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CA20832\Documents\Finance\"/>
    </mc:Choice>
  </mc:AlternateContent>
  <xr:revisionPtr revIDLastSave="0" documentId="8_{B1E6ED91-DD5F-428C-A8E7-3C070FDC82C2}" xr6:coauthVersionLast="45" xr6:coauthVersionMax="45" xr10:uidLastSave="{00000000-0000-0000-0000-000000000000}"/>
  <bookViews>
    <workbookView xWindow="-120" yWindow="-120" windowWidth="20730" windowHeight="11160" activeTab="1" xr2:uid="{00000000-000D-0000-FFFF-FFFF00000000}"/>
  </bookViews>
  <sheets>
    <sheet name="Overview" sheetId="6" r:id="rId1"/>
    <sheet name="Davidson" sheetId="9" r:id="rId2"/>
    <sheet name="Hamilton" sheetId="2" r:id="rId3"/>
    <sheet name="Knox" sheetId="10" r:id="rId4"/>
    <sheet name="Shelby" sheetId="5" r:id="rId5"/>
    <sheet name="Robertson" sheetId="11" state="hidden" r:id="rId6"/>
  </sheets>
  <externalReferences>
    <externalReference r:id="rId7"/>
  </externalReferences>
  <definedNames>
    <definedName name="_xlnm.Print_Area" localSheetId="1">Davidson!$A$1:$I$36</definedName>
    <definedName name="_xlnm.Print_Area" localSheetId="0">Overview!$A$1:$G$46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5" l="1"/>
  <c r="D20" i="5"/>
  <c r="D10" i="5"/>
  <c r="D9" i="5"/>
  <c r="I17" i="2"/>
  <c r="D20" i="10" l="1"/>
  <c r="D11" i="10"/>
  <c r="D10" i="10"/>
  <c r="D9" i="10"/>
  <c r="I8" i="2"/>
  <c r="D10" i="2"/>
  <c r="D9" i="2"/>
  <c r="D8" i="2"/>
  <c r="I8" i="9"/>
  <c r="I8" i="10" l="1"/>
  <c r="I8" i="5" l="1"/>
  <c r="D11" i="9" l="1"/>
  <c r="D10" i="9"/>
  <c r="D8" i="11" l="1"/>
  <c r="D10" i="11"/>
  <c r="D17" i="11" s="1"/>
  <c r="D24" i="11" s="1"/>
  <c r="I8" i="11"/>
  <c r="D22" i="11"/>
  <c r="I19" i="11"/>
  <c r="I14" i="11"/>
  <c r="I10" i="11"/>
  <c r="G10" i="11"/>
  <c r="G19" i="11" s="1"/>
  <c r="I16" i="11"/>
  <c r="I6" i="11"/>
  <c r="D6" i="11"/>
  <c r="D22" i="10"/>
  <c r="I19" i="10"/>
  <c r="D19" i="10"/>
  <c r="D17" i="10"/>
  <c r="I16" i="10"/>
  <c r="I14" i="10"/>
  <c r="I10" i="10"/>
  <c r="G10" i="10"/>
  <c r="G19" i="10"/>
  <c r="I6" i="10"/>
  <c r="D6" i="10"/>
  <c r="I14" i="9"/>
  <c r="I6" i="9"/>
  <c r="D21" i="9"/>
  <c r="I14" i="5"/>
  <c r="I6" i="5"/>
  <c r="D19" i="5"/>
  <c r="D19" i="2"/>
  <c r="I14" i="2" s="1"/>
  <c r="I6" i="2"/>
  <c r="G10" i="9"/>
  <c r="G19" i="9"/>
  <c r="G10" i="5"/>
  <c r="G19" i="5" s="1"/>
  <c r="D6" i="5"/>
  <c r="D6" i="2"/>
  <c r="G10" i="2"/>
  <c r="G19" i="2" s="1"/>
  <c r="D17" i="2"/>
  <c r="D17" i="5"/>
  <c r="I19" i="9"/>
  <c r="D24" i="9"/>
  <c r="D19" i="9"/>
  <c r="I10" i="9"/>
  <c r="I16" i="9"/>
  <c r="D22" i="5"/>
  <c r="I19" i="5"/>
  <c r="I16" i="5"/>
  <c r="I10" i="5"/>
  <c r="D22" i="2"/>
  <c r="I19" i="2"/>
  <c r="I16" i="2"/>
  <c r="I10" i="2"/>
  <c r="I7" i="11" l="1"/>
  <c r="I9" i="11" s="1"/>
  <c r="I12" i="11" s="1"/>
  <c r="I15" i="11"/>
  <c r="I18" i="11" s="1"/>
  <c r="I21" i="11" s="1"/>
  <c r="D29" i="11"/>
  <c r="D31" i="11" s="1"/>
  <c r="D24" i="10"/>
  <c r="I7" i="10"/>
  <c r="I9" i="10" s="1"/>
  <c r="I12" i="10" s="1"/>
  <c r="D29" i="10"/>
  <c r="I15" i="10"/>
  <c r="I18" i="10" s="1"/>
  <c r="I21" i="10" s="1"/>
  <c r="D24" i="2"/>
  <c r="I15" i="2" s="1"/>
  <c r="I18" i="2" s="1"/>
  <c r="I21" i="2" s="1"/>
  <c r="D24" i="5"/>
  <c r="I7" i="5" s="1"/>
  <c r="I9" i="5" s="1"/>
  <c r="I12" i="5" s="1"/>
  <c r="D26" i="9"/>
  <c r="D31" i="9" s="1"/>
  <c r="I7" i="2" l="1"/>
  <c r="I9" i="2" s="1"/>
  <c r="I12" i="2" s="1"/>
  <c r="I15" i="5"/>
  <c r="I18" i="5" s="1"/>
  <c r="I21" i="5" s="1"/>
  <c r="D29" i="5"/>
  <c r="D29" i="2"/>
  <c r="I7" i="9"/>
  <c r="I9" i="9" s="1"/>
  <c r="I12" i="9" s="1"/>
  <c r="I15" i="9"/>
  <c r="I18" i="9" s="1"/>
  <c r="I21" i="9" s="1"/>
</calcChain>
</file>

<file path=xl/sharedStrings.xml><?xml version="1.0" encoding="utf-8"?>
<sst xmlns="http://schemas.openxmlformats.org/spreadsheetml/2006/main" count="437" uniqueCount="161">
  <si>
    <t>Licenses and Permits</t>
  </si>
  <si>
    <t>Investment Income</t>
  </si>
  <si>
    <t>City General Fund Transfer</t>
  </si>
  <si>
    <t>BEP</t>
  </si>
  <si>
    <t>fiscal year</t>
  </si>
  <si>
    <t>Local Option Sales Tax</t>
  </si>
  <si>
    <t>County Property Taxes</t>
  </si>
  <si>
    <t>Total Local Revenue</t>
  </si>
  <si>
    <t>40220-40290</t>
  </si>
  <si>
    <t>Other County Local Option Taxes</t>
  </si>
  <si>
    <t>40320-40390</t>
  </si>
  <si>
    <t>Statutory Local Taxes</t>
  </si>
  <si>
    <t>41110-41590</t>
  </si>
  <si>
    <t>40110-40163</t>
  </si>
  <si>
    <t>Using Local and State Revenues from General Purpose Fund</t>
  </si>
  <si>
    <t>Description</t>
  </si>
  <si>
    <t>46810-46851</t>
  </si>
  <si>
    <t>Other State Revenues</t>
  </si>
  <si>
    <r>
      <t>Local Revenue</t>
    </r>
    <r>
      <rPr>
        <b/>
        <u/>
        <sz val="11"/>
        <color theme="1"/>
        <rFont val="Calibri"/>
        <family val="2"/>
      </rPr>
      <t>¹</t>
    </r>
  </si>
  <si>
    <r>
      <t>State Revenue</t>
    </r>
    <r>
      <rPr>
        <b/>
        <u/>
        <sz val="11"/>
        <color theme="1"/>
        <rFont val="Calibri"/>
        <family val="2"/>
      </rPr>
      <t>¹</t>
    </r>
  </si>
  <si>
    <t>Total State Revenue</t>
  </si>
  <si>
    <t>Total State and Local Revenue</t>
  </si>
  <si>
    <t>Funding for Charter Schools that do not provide Transportation</t>
  </si>
  <si>
    <t>Less:  BEP Capital Outlay, State Funded Portion</t>
  </si>
  <si>
    <t>Adjusted State and Local Revenue</t>
  </si>
  <si>
    <t>Per Pupil Funding for Charter Schools Providing Transportation</t>
  </si>
  <si>
    <t>Less:  Transportation (72710)</t>
  </si>
  <si>
    <t>Funding for Charter Schools that provide Transportation</t>
  </si>
  <si>
    <t>Total Funding Achievement School District</t>
  </si>
  <si>
    <t>Per Pupil Funding for</t>
  </si>
  <si>
    <t>Achievement School District, if applicable</t>
  </si>
  <si>
    <t xml:space="preserve">Per Pupil Funding for Charter Schools </t>
  </si>
  <si>
    <t>Not Providing Transportation</t>
  </si>
  <si>
    <r>
      <rPr>
        <b/>
        <sz val="11"/>
        <color theme="1"/>
        <rFont val="Calibri"/>
        <family val="2"/>
      </rPr>
      <t xml:space="preserve">¹ </t>
    </r>
    <r>
      <rPr>
        <b/>
        <i/>
        <sz val="11"/>
        <color theme="1"/>
        <rFont val="Calibri"/>
        <family val="2"/>
      </rPr>
      <t>Include revenues from all revenue accounts in the noted range</t>
    </r>
  </si>
  <si>
    <t>Per Pupil Funding for Achievement School District and Charter Schools</t>
  </si>
  <si>
    <t>40610-40650</t>
  </si>
  <si>
    <t>City/SSD Property Taxes</t>
  </si>
  <si>
    <t>Property Tax Refund (MDHA)</t>
  </si>
  <si>
    <t>Local Revenue¹</t>
  </si>
  <si>
    <t>State Revenue¹</t>
  </si>
  <si>
    <t>¹ Include revenues from all revenue accounts in the noted range</t>
  </si>
  <si>
    <t>Hamilton County Schools</t>
  </si>
  <si>
    <t>Shelby County Schools</t>
  </si>
  <si>
    <t xml:space="preserve">Instructions for Payments and Adjustments </t>
  </si>
  <si>
    <t>Pay in equal installments (plus/minus adjustments) ten months a year (no payments in</t>
  </si>
  <si>
    <t xml:space="preserve">   July and May)</t>
  </si>
  <si>
    <r>
      <t xml:space="preserve">October, February, and June:  </t>
    </r>
    <r>
      <rPr>
        <sz val="11"/>
        <color rgb="FF000000"/>
        <rFont val="Calibri"/>
        <family val="2"/>
        <scheme val="minor"/>
      </rPr>
      <t>Adjust to Current Year ADMs for ASD, Charters,</t>
    </r>
  </si>
  <si>
    <t xml:space="preserve">   and LEA--same weighting applies</t>
  </si>
  <si>
    <r>
      <t xml:space="preserve">June:  </t>
    </r>
    <r>
      <rPr>
        <sz val="11"/>
        <color rgb="FF000000"/>
        <rFont val="Calibri"/>
        <family val="2"/>
        <scheme val="minor"/>
      </rPr>
      <t>Use Actual Revenues for Current Fiscal Year, rather than Budgeted Revenues--BEP</t>
    </r>
  </si>
  <si>
    <t xml:space="preserve">    should include January insurance increase as well as Growth</t>
  </si>
  <si>
    <t>Source</t>
  </si>
  <si>
    <t>Explanation</t>
  </si>
  <si>
    <t>Flow through to charter schools?</t>
  </si>
  <si>
    <t>Basic Education Program (BEP), including:</t>
  </si>
  <si>
    <t>* Transportation</t>
  </si>
  <si>
    <t>* Local education revenue</t>
  </si>
  <si>
    <t>* Capital outlay</t>
  </si>
  <si>
    <t>The State's funding formula, with differing percentages paid by the State and local funding bodies.  More detail here.</t>
  </si>
  <si>
    <t>Detailed BEP information available online.</t>
  </si>
  <si>
    <t>100%, depending on whether providing transportation.</t>
  </si>
  <si>
    <t>Yes.  Paid directly by the Department to charter schools.  This reduces the BEP payment that comes from the LEA.</t>
  </si>
  <si>
    <t>100%.</t>
  </si>
  <si>
    <t>If charter schools provide transportation in accordance with applicable statutes and rules (e.g., T.C.A. 49-6-2100 et seq.), the LEA must pass through the transportation component of the BEP.</t>
  </si>
  <si>
    <t>Just as an LEA receives all of the transportation component regardless of how many students actually use the LEA's transportation services, a charter school providing compliant transportation services receives the BEP transportation funds for all its students, not just those who use the services.</t>
  </si>
  <si>
    <t>High cost special education reimbursement</t>
  </si>
  <si>
    <t>Services provided to charter school students should be included in these requests, and, if paid for by the charter school originally, be passed through.</t>
  </si>
  <si>
    <t>Federal Revenue</t>
  </si>
  <si>
    <t>State Revenue</t>
  </si>
  <si>
    <t>Title I</t>
  </si>
  <si>
    <t xml:space="preserve">LEAs must pass through funds for schoolwide services just as they do for non-chartered schools in the LEA.  LEAs must also make districtwide services available to charter schools.  Conditions for those funds or programs apply to charter schools, too (so, e.g., if a district agrees to pay the salary of a licensed instructional coach, the charter school may be required to use a licensed person in that role, too). </t>
  </si>
  <si>
    <t>IDEA Part B</t>
  </si>
  <si>
    <t>Funds provided on reimbursement basis for services provided to students eligible pursuant to the Individuals with Disabilities Education Act.  Note that these funds, together with the BEP funds generated based on special education, may be insufficient to cover the actual cost of all services necessary to provide eligible students a free, appropriate public education (FAPE).</t>
  </si>
  <si>
    <t>LEAs must treat charter schools like other non-chartered schools in the LEA in the provision of special education services.  This includes proportional distribution of funds, even if the LEA doesn't distribute the funds to its non-chartered schools.  Charter schools may be allowed to purchase services from any provider, depending on LEA policy.</t>
  </si>
  <si>
    <t>USDA School Nutrition</t>
  </si>
  <si>
    <t>Charter schools that elect to be their own School Food Authority (SFA) may apply directly to the State for reimbursement from the federal program.  Charter schools may also receive food services from another SFA, such as the LEA.</t>
  </si>
  <si>
    <t>Tennessee State, Local and Federal Education Funding Sources</t>
  </si>
  <si>
    <t>School Improvement Grants</t>
  </si>
  <si>
    <t>Race to the Top/TN First to the Top</t>
  </si>
  <si>
    <t>A $500 million, four year grant awarded to Tennessee, with half the funds to be spent in Departmental programs to benefit all students, and the other half provided to LEAs based on their Title I populations, to be used according to individual LEA plans.</t>
  </si>
  <si>
    <t>Other federal formula funds</t>
  </si>
  <si>
    <t>Some funds are provided to LEAs for homeless students, education technology, migrant students, etc.</t>
  </si>
  <si>
    <t>These funds are usually much smaller on a per pupil basis, and usually used district wide.  Charter schools should review information on these programs with LEA and Department staff overseeing the programs.</t>
  </si>
  <si>
    <t>Statutory or Regulatory Basis</t>
  </si>
  <si>
    <t>Sample amounts, per pupil</t>
  </si>
  <si>
    <t>T.C.A. 49-13-112</t>
  </si>
  <si>
    <t xml:space="preserve">49-13-112(c) </t>
  </si>
  <si>
    <t>49-13-114; 49-6-21xx</t>
  </si>
  <si>
    <t>49-13-112(b)(1)</t>
  </si>
  <si>
    <t>$6,589 - $8,989</t>
  </si>
  <si>
    <t>One non-classroom component of the BEP.  Varies by grade (e.g., elementary, middle or high).  This is not the same as debt proceeds which may be used to fund capital projects by LEAs or schools.</t>
  </si>
  <si>
    <t>$140 - $350</t>
  </si>
  <si>
    <t>Included in total above.</t>
  </si>
  <si>
    <t>Varies by student and year.</t>
  </si>
  <si>
    <t>$183-$490 Excluded from total above if not providing transportation.</t>
  </si>
  <si>
    <t>ESEA Sec. 1003, 1116</t>
  </si>
  <si>
    <t>Grants awarded to LEAs for schools identified for improvement (turnaround, restart, closure or transformation).</t>
  </si>
  <si>
    <t>IDEA Regs. 34 C.F.R. 300.209</t>
  </si>
  <si>
    <t>$200 - $300</t>
  </si>
  <si>
    <t xml:space="preserve">No.  Charter schools benefit from statewide programs funded through this grant, and may also have access to programs funded at the LEA level. </t>
  </si>
  <si>
    <t>At the end of each year, LEAs may apply to the Department for reimbursement of costs of providing certain high cost services to eligible students (subject to availability of funds).</t>
  </si>
  <si>
    <t>Public Law 108-446, Sections 602(8) and 611(e)(3).</t>
  </si>
  <si>
    <t>ESEA 5206</t>
  </si>
  <si>
    <t>The School Nutrition Program reimburses school nutrition programs for meals served to all students based upon the student's eligibility.  Funds are also available for Afterschool Snack Program, the Fresh Fruit and Vegetable Program, and the Seamless Summer Option.</t>
  </si>
  <si>
    <t xml:space="preserve">Only if included in an LEA's School Improvement Plan.  </t>
  </si>
  <si>
    <t>Tennessee law requires local boards of education to "allocate to the charter school an amount equal to the per student state and local funds received by the LEA and all appropriate allocations under federal law or regulation, including, but not limited to, Title I and ESEA funds."  T.C.A. 49-13-112(a).  Because the Achievement School District (ASD) is funded directly by the State, its per pupil allocations are nearly identical to those for public charter schools authorized by local boards of education.  A list of revenue sources and whether and how they flow to public charter schools is below.  The accompanying worksheets show the Basic Education Program (BEP) calculations for the ASD and charter schools.</t>
  </si>
  <si>
    <t>All local funds generated through the BEP formula must be passed through on a per pupil basis. Payments made in 9 or 10 installments. Initial payments based on projected local revenues. Adjustments may be made later in the year based on actual local revenues received.</t>
  </si>
  <si>
    <t>Total federal allocations by district available online.</t>
  </si>
  <si>
    <t xml:space="preserve">"Formula funding" generated based on the number of students eligible for free or reduced price lunch.  LEAs submit a plan for a portion of these funds to be used for districtwide services.  Another portion is dedicated for schools with a majority of poor students, for schoolwide services.  </t>
  </si>
  <si>
    <t>Davidson County Schools</t>
  </si>
  <si>
    <t>72310-510</t>
  </si>
  <si>
    <t>Trustee Commission</t>
  </si>
  <si>
    <t>² Weighted Average of Periods 2, 3, 6, 7</t>
  </si>
  <si>
    <t>Current Year ADM²</t>
  </si>
  <si>
    <t>Actual ADM for Achievement School District</t>
  </si>
  <si>
    <t>Actual Amount</t>
  </si>
  <si>
    <t>Knox County Schools</t>
  </si>
  <si>
    <t>Robertson County Schools</t>
  </si>
  <si>
    <t>Projected Amount</t>
  </si>
  <si>
    <r>
      <t>BEP--</t>
    </r>
    <r>
      <rPr>
        <b/>
        <i/>
        <sz val="11"/>
        <color theme="1"/>
        <rFont val="Calibri"/>
        <family val="2"/>
        <scheme val="minor"/>
      </rPr>
      <t>FY18 April Estimate</t>
    </r>
  </si>
  <si>
    <t>72310-599</t>
  </si>
  <si>
    <t>Prior Year ADM²</t>
  </si>
  <si>
    <r>
      <t>Prior Year ADM</t>
    </r>
    <r>
      <rPr>
        <b/>
        <sz val="11"/>
        <color theme="1"/>
        <rFont val="Calibri"/>
        <family val="2"/>
      </rPr>
      <t>²</t>
    </r>
  </si>
  <si>
    <t>2019-20</t>
  </si>
  <si>
    <t>Account</t>
  </si>
  <si>
    <t>Account Description</t>
  </si>
  <si>
    <t>Budget 2019-2020</t>
  </si>
  <si>
    <t>Amended Budget 2018-2019</t>
  </si>
  <si>
    <t>Original Budget 2018-2019</t>
  </si>
  <si>
    <t>AFR 2018-2019</t>
  </si>
  <si>
    <t>Actual vs. Budget 2018-2019</t>
  </si>
  <si>
    <t>2020 Budget vs. 2019 Budget</t>
  </si>
  <si>
    <t>Comment (if variance is greater than 5%)</t>
  </si>
  <si>
    <t>Current Property Taxes</t>
  </si>
  <si>
    <t>Trustee's Collections - Prior Year</t>
  </si>
  <si>
    <t>Curcuit Clk./Clk. &amp; Master Coll. - Prior Yrs.</t>
  </si>
  <si>
    <t>Payments in Lieu of Taxes - Local Utilities</t>
  </si>
  <si>
    <t>Mixed Drink Tax</t>
  </si>
  <si>
    <t>Interstate Telecommunications Tax</t>
  </si>
  <si>
    <t>Total County Taxes</t>
  </si>
  <si>
    <t>Marriage Licenses</t>
  </si>
  <si>
    <t>Lease/Rentals</t>
  </si>
  <si>
    <t>Public Law 874 - Maintenance &amp; Operation</t>
  </si>
  <si>
    <t>City General Fund Transfers</t>
  </si>
  <si>
    <t>Total Local Revenue per School Records</t>
  </si>
  <si>
    <t>Capital Outlay</t>
  </si>
  <si>
    <t>(Less) Local revenue increases for Capital Outlay</t>
  </si>
  <si>
    <t>Debt Service</t>
  </si>
  <si>
    <t>(Less) Local revenue increases for Debt Service</t>
  </si>
  <si>
    <t>Total Adjusted Local Revenue</t>
  </si>
  <si>
    <t>Local Match Adjustment</t>
  </si>
  <si>
    <t>Revised Total Adjusted Local Revenue</t>
  </si>
  <si>
    <t>Required Local Match</t>
  </si>
  <si>
    <t>Expand</t>
  </si>
  <si>
    <t>Trustee's Collection - Bankruptcy</t>
  </si>
  <si>
    <t>Interest &amp; Penalty</t>
  </si>
  <si>
    <t>Payments in Lieu of Taxes - T.V.A.</t>
  </si>
  <si>
    <t>Payments in Lieu of Taxes - Other</t>
  </si>
  <si>
    <t>Wheel Tax</t>
  </si>
  <si>
    <t>Other Statutory Local Taxes</t>
  </si>
  <si>
    <t>Pickup Taxes</t>
  </si>
  <si>
    <t>Business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</si>
</sst>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s>
  <fonts count="31" x14ac:knownFonts="1">
    <font>
      <sz val="11"/>
      <color theme="1"/>
      <name val="Calibri"/>
      <family val="2"/>
      <scheme val="minor"/>
    </font>
    <font>
      <u/>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sz val="10"/>
      <color theme="1"/>
      <name val="Calibri"/>
      <family val="2"/>
      <scheme val="minor"/>
    </font>
    <font>
      <sz val="12"/>
      <color theme="1"/>
      <name val="Calibri"/>
      <family val="2"/>
      <scheme val="minor"/>
    </font>
    <font>
      <b/>
      <u/>
      <sz val="11"/>
      <color theme="1"/>
      <name val="Calibri"/>
      <family val="2"/>
      <scheme val="minor"/>
    </font>
    <font>
      <b/>
      <u/>
      <sz val="11"/>
      <color theme="1"/>
      <name val="Calibri"/>
      <family val="2"/>
    </font>
    <font>
      <b/>
      <i/>
      <sz val="11"/>
      <color theme="1"/>
      <name val="Calibri"/>
      <family val="2"/>
    </font>
    <font>
      <b/>
      <sz val="11"/>
      <color theme="1"/>
      <name val="Calibri"/>
      <family val="2"/>
    </font>
    <font>
      <b/>
      <u val="doubleAccounting"/>
      <sz val="12"/>
      <color theme="1"/>
      <name val="Calibri"/>
      <family val="2"/>
      <scheme val="minor"/>
    </font>
    <font>
      <b/>
      <u val="doubleAccounting"/>
      <sz val="14"/>
      <color theme="1"/>
      <name val="Calibri"/>
      <family val="2"/>
      <scheme val="minor"/>
    </font>
    <font>
      <b/>
      <i/>
      <sz val="11"/>
      <color theme="1"/>
      <name val="Calibri"/>
      <family val="2"/>
      <scheme val="minor"/>
    </font>
    <font>
      <b/>
      <i/>
      <sz val="12"/>
      <color theme="1"/>
      <name val="Calibri"/>
      <family val="2"/>
      <scheme val="minor"/>
    </font>
    <font>
      <b/>
      <u/>
      <sz val="12"/>
      <color theme="1"/>
      <name val="Calibri"/>
      <family val="2"/>
      <scheme val="minor"/>
    </font>
    <font>
      <u val="singleAccounting"/>
      <sz val="12"/>
      <color theme="1"/>
      <name val="Calibri"/>
      <family val="2"/>
      <scheme val="minor"/>
    </font>
    <font>
      <sz val="10"/>
      <color theme="1"/>
      <name val="Calibri"/>
      <family val="2"/>
      <scheme val="minor"/>
    </font>
    <font>
      <b/>
      <u/>
      <sz val="11"/>
      <color rgb="FF000000"/>
      <name val="Calibri"/>
      <family val="2"/>
      <scheme val="minor"/>
    </font>
    <font>
      <sz val="11"/>
      <color rgb="FF000000"/>
      <name val="Calibri"/>
      <family val="2"/>
      <scheme val="minor"/>
    </font>
    <font>
      <b/>
      <sz val="11"/>
      <color rgb="FF000000"/>
      <name val="Calibri"/>
      <family val="2"/>
      <scheme val="minor"/>
    </font>
    <font>
      <u/>
      <sz val="9.25"/>
      <color theme="10"/>
      <name val="Calibri"/>
      <family val="2"/>
    </font>
    <font>
      <u/>
      <sz val="11"/>
      <color theme="10"/>
      <name val="Calibri"/>
      <family val="2"/>
    </font>
    <font>
      <sz val="8"/>
      <color theme="1"/>
      <name val="Calibri"/>
      <family val="2"/>
      <scheme val="minor"/>
    </font>
    <font>
      <u/>
      <sz val="8"/>
      <color theme="10"/>
      <name val="Calibri"/>
      <family val="2"/>
      <scheme val="minor"/>
    </font>
    <font>
      <b/>
      <sz val="8"/>
      <color theme="1"/>
      <name val="Calibri"/>
      <family val="2"/>
      <scheme val="minor"/>
    </font>
    <font>
      <b/>
      <u/>
      <sz val="12"/>
      <color theme="10"/>
      <name val="Calibri"/>
      <family val="2"/>
      <scheme val="minor"/>
    </font>
    <font>
      <u val="singleAccounting"/>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EEEEEE"/>
        <bgColor indexed="64"/>
      </patternFill>
    </fill>
  </fills>
  <borders count="25">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alignment vertical="top"/>
      <protection locked="0"/>
    </xf>
  </cellStyleXfs>
  <cellXfs count="184">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11" fillId="0" borderId="0" xfId="0" applyFont="1"/>
    <xf numFmtId="0" fontId="1" fillId="0" borderId="0" xfId="0" applyFont="1" applyBorder="1"/>
    <xf numFmtId="0" fontId="0" fillId="0" borderId="0" xfId="0" applyBorder="1"/>
    <xf numFmtId="0" fontId="0" fillId="3" borderId="0" xfId="0" applyFill="1" applyBorder="1"/>
    <xf numFmtId="0" fontId="0" fillId="4" borderId="0" xfId="0" applyFill="1" applyBorder="1"/>
    <xf numFmtId="0" fontId="0" fillId="0" borderId="0" xfId="0" applyFill="1"/>
    <xf numFmtId="0" fontId="0" fillId="4" borderId="1" xfId="0" applyFill="1" applyBorder="1"/>
    <xf numFmtId="164" fontId="14" fillId="4" borderId="6" xfId="0" applyNumberFormat="1" applyFont="1" applyFill="1" applyBorder="1"/>
    <xf numFmtId="0" fontId="0" fillId="3" borderId="1" xfId="0" applyFill="1" applyBorder="1"/>
    <xf numFmtId="164" fontId="14" fillId="3" borderId="6" xfId="0" applyNumberFormat="1" applyFont="1" applyFill="1" applyBorder="1"/>
    <xf numFmtId="0" fontId="5" fillId="5" borderId="5" xfId="0" applyFont="1" applyFill="1" applyBorder="1" applyAlignment="1">
      <alignment horizontal="center"/>
    </xf>
    <xf numFmtId="0" fontId="0" fillId="5" borderId="1" xfId="0" applyFill="1" applyBorder="1"/>
    <xf numFmtId="0" fontId="0" fillId="5" borderId="0" xfId="0" applyFill="1" applyBorder="1"/>
    <xf numFmtId="0" fontId="9" fillId="5" borderId="1" xfId="0" applyFont="1" applyFill="1" applyBorder="1"/>
    <xf numFmtId="0" fontId="9" fillId="5" borderId="0" xfId="0" applyFont="1" applyFill="1" applyBorder="1"/>
    <xf numFmtId="0" fontId="9" fillId="5" borderId="6" xfId="0" applyFont="1" applyFill="1" applyBorder="1" applyAlignment="1">
      <alignment horizontal="center"/>
    </xf>
    <xf numFmtId="0" fontId="0" fillId="5" borderId="1" xfId="0" applyFill="1" applyBorder="1" applyAlignment="1">
      <alignment horizontal="center"/>
    </xf>
    <xf numFmtId="0" fontId="0" fillId="5" borderId="0" xfId="0" applyFill="1" applyBorder="1" applyAlignment="1">
      <alignment horizontal="center"/>
    </xf>
    <xf numFmtId="0" fontId="0" fillId="5" borderId="0" xfId="0" applyFill="1" applyBorder="1" applyAlignment="1">
      <alignment horizontal="left" wrapText="1"/>
    </xf>
    <xf numFmtId="0" fontId="0" fillId="5" borderId="0" xfId="0" applyFont="1" applyFill="1" applyBorder="1" applyAlignment="1">
      <alignment horizontal="left" wrapText="1"/>
    </xf>
    <xf numFmtId="0" fontId="15" fillId="5" borderId="0" xfId="0" applyFont="1" applyFill="1" applyBorder="1"/>
    <xf numFmtId="164" fontId="16" fillId="5" borderId="6" xfId="0" applyNumberFormat="1" applyFont="1" applyFill="1" applyBorder="1"/>
    <xf numFmtId="0" fontId="3" fillId="5" borderId="1" xfId="0" applyFont="1" applyFill="1" applyBorder="1"/>
    <xf numFmtId="0" fontId="3" fillId="5" borderId="0" xfId="0" applyFont="1" applyFill="1" applyBorder="1"/>
    <xf numFmtId="164" fontId="0" fillId="5" borderId="6" xfId="0" applyNumberFormat="1" applyFill="1" applyBorder="1"/>
    <xf numFmtId="164" fontId="3" fillId="5" borderId="6" xfId="0" applyNumberFormat="1" applyFont="1" applyFill="1" applyBorder="1"/>
    <xf numFmtId="0" fontId="5" fillId="5" borderId="0" xfId="0" applyFont="1" applyFill="1" applyBorder="1"/>
    <xf numFmtId="164" fontId="14" fillId="5" borderId="6" xfId="0" applyNumberFormat="1" applyFont="1" applyFill="1" applyBorder="1"/>
    <xf numFmtId="37" fontId="6" fillId="5" borderId="6" xfId="0" applyNumberFormat="1" applyFont="1" applyFill="1" applyBorder="1"/>
    <xf numFmtId="0" fontId="0" fillId="4" borderId="7" xfId="0" applyFill="1" applyBorder="1"/>
    <xf numFmtId="0" fontId="0" fillId="4" borderId="8" xfId="0" applyFill="1" applyBorder="1"/>
    <xf numFmtId="0" fontId="0" fillId="3" borderId="7" xfId="0" applyFill="1" applyBorder="1"/>
    <xf numFmtId="0" fontId="0" fillId="3" borderId="8" xfId="0" applyFill="1" applyBorder="1"/>
    <xf numFmtId="0" fontId="7" fillId="0" borderId="0" xfId="0" applyFont="1" applyAlignment="1">
      <alignment horizontal="right"/>
    </xf>
    <xf numFmtId="0" fontId="0" fillId="5" borderId="7" xfId="0" applyFill="1" applyBorder="1"/>
    <xf numFmtId="0" fontId="0" fillId="5" borderId="8" xfId="0" applyFill="1" applyBorder="1"/>
    <xf numFmtId="164" fontId="14" fillId="2" borderId="2" xfId="0" applyNumberFormat="1" applyFont="1" applyFill="1" applyBorder="1"/>
    <xf numFmtId="164" fontId="4" fillId="4" borderId="6" xfId="0" applyNumberFormat="1" applyFont="1" applyFill="1" applyBorder="1"/>
    <xf numFmtId="164" fontId="13" fillId="4" borderId="6" xfId="0" applyNumberFormat="1" applyFont="1" applyFill="1" applyBorder="1"/>
    <xf numFmtId="0" fontId="4" fillId="4" borderId="0" xfId="0" applyFont="1" applyFill="1" applyBorder="1"/>
    <xf numFmtId="0" fontId="4" fillId="3" borderId="0" xfId="0" applyFont="1" applyFill="1" applyBorder="1"/>
    <xf numFmtId="164" fontId="8" fillId="5" borderId="6" xfId="2" applyNumberFormat="1" applyFont="1" applyFill="1" applyBorder="1"/>
    <xf numFmtId="164" fontId="18" fillId="5" borderId="6" xfId="2" applyNumberFormat="1" applyFont="1" applyFill="1" applyBorder="1"/>
    <xf numFmtId="164" fontId="4" fillId="3" borderId="6" xfId="0" applyNumberFormat="1" applyFont="1" applyFill="1" applyBorder="1"/>
    <xf numFmtId="164" fontId="13" fillId="3" borderId="6" xfId="0" applyNumberFormat="1" applyFont="1" applyFill="1" applyBorder="1"/>
    <xf numFmtId="0" fontId="5" fillId="5" borderId="8" xfId="0" applyFont="1" applyFill="1" applyBorder="1"/>
    <xf numFmtId="0" fontId="5" fillId="5" borderId="0" xfId="0" applyFont="1" applyFill="1" applyBorder="1" applyAlignment="1"/>
    <xf numFmtId="0" fontId="5" fillId="3" borderId="0" xfId="0" applyFont="1" applyFill="1" applyBorder="1" applyAlignment="1"/>
    <xf numFmtId="0" fontId="5" fillId="3" borderId="8" xfId="0" applyFont="1" applyFill="1" applyBorder="1" applyAlignment="1"/>
    <xf numFmtId="0" fontId="9" fillId="4" borderId="5" xfId="0" applyFont="1" applyFill="1" applyBorder="1" applyAlignment="1">
      <alignment horizontal="center"/>
    </xf>
    <xf numFmtId="0" fontId="9" fillId="3" borderId="5" xfId="0" applyFont="1" applyFill="1" applyBorder="1" applyAlignment="1">
      <alignment horizontal="center"/>
    </xf>
    <xf numFmtId="0" fontId="0" fillId="5" borderId="3" xfId="0" applyFill="1" applyBorder="1"/>
    <xf numFmtId="0" fontId="0" fillId="5" borderId="4" xfId="0" applyFill="1" applyBorder="1"/>
    <xf numFmtId="43" fontId="0" fillId="0" borderId="0" xfId="1" applyFont="1" applyFill="1"/>
    <xf numFmtId="165" fontId="0" fillId="0" borderId="0" xfId="1" applyNumberFormat="1" applyFont="1" applyFill="1"/>
    <xf numFmtId="37" fontId="0" fillId="0" borderId="0" xfId="0" applyNumberFormat="1" applyFill="1"/>
    <xf numFmtId="0" fontId="1" fillId="5" borderId="1" xfId="0" applyFont="1" applyFill="1" applyBorder="1" applyAlignment="1">
      <alignment horizontal="center"/>
    </xf>
    <xf numFmtId="43" fontId="0" fillId="0" borderId="0" xfId="0" applyNumberFormat="1"/>
    <xf numFmtId="0" fontId="19" fillId="0" borderId="0" xfId="0" applyFont="1" applyAlignment="1">
      <alignment horizontal="right"/>
    </xf>
    <xf numFmtId="0" fontId="15" fillId="0" borderId="0" xfId="0" applyFont="1"/>
    <xf numFmtId="0" fontId="9" fillId="5" borderId="6" xfId="0" applyFont="1" applyFill="1" applyBorder="1"/>
    <xf numFmtId="0" fontId="0" fillId="5" borderId="1" xfId="0" quotePrefix="1" applyFill="1" applyBorder="1" applyAlignment="1">
      <alignment horizontal="center"/>
    </xf>
    <xf numFmtId="164" fontId="0" fillId="5" borderId="18" xfId="0" applyNumberFormat="1" applyFill="1" applyBorder="1"/>
    <xf numFmtId="164" fontId="5" fillId="5" borderId="18" xfId="0" applyNumberFormat="1" applyFont="1" applyFill="1" applyBorder="1"/>
    <xf numFmtId="37" fontId="0" fillId="5" borderId="6" xfId="0" applyNumberFormat="1" applyFill="1" applyBorder="1"/>
    <xf numFmtId="0" fontId="17" fillId="4" borderId="3" xfId="0" applyFont="1" applyFill="1" applyBorder="1"/>
    <xf numFmtId="0" fontId="0" fillId="4" borderId="4" xfId="0" applyFill="1" applyBorder="1"/>
    <xf numFmtId="0" fontId="9" fillId="4" borderId="5" xfId="0" applyFont="1" applyFill="1" applyBorder="1"/>
    <xf numFmtId="164" fontId="4" fillId="4" borderId="18" xfId="0" applyNumberFormat="1" applyFont="1" applyFill="1" applyBorder="1"/>
    <xf numFmtId="164" fontId="0" fillId="4" borderId="6" xfId="0" applyNumberFormat="1" applyFill="1" applyBorder="1"/>
    <xf numFmtId="0" fontId="15" fillId="0" borderId="0" xfId="0" applyFont="1" applyAlignment="1"/>
    <xf numFmtId="164" fontId="5" fillId="2" borderId="19" xfId="0" applyNumberFormat="1" applyFont="1" applyFill="1" applyBorder="1"/>
    <xf numFmtId="164" fontId="5" fillId="2" borderId="9" xfId="0" applyNumberFormat="1" applyFont="1" applyFill="1" applyBorder="1"/>
    <xf numFmtId="164" fontId="14" fillId="2" borderId="9" xfId="0" applyNumberFormat="1" applyFont="1" applyFill="1" applyBorder="1"/>
    <xf numFmtId="0" fontId="17" fillId="3" borderId="3" xfId="0" applyFont="1" applyFill="1" applyBorder="1"/>
    <xf numFmtId="0" fontId="0" fillId="3" borderId="4" xfId="0" applyFill="1" applyBorder="1"/>
    <xf numFmtId="0" fontId="9" fillId="3" borderId="5" xfId="0" applyFont="1" applyFill="1" applyBorder="1"/>
    <xf numFmtId="164" fontId="4" fillId="3" borderId="19" xfId="0" applyNumberFormat="1" applyFont="1" applyFill="1" applyBorder="1"/>
    <xf numFmtId="164" fontId="4" fillId="3" borderId="18" xfId="0" applyNumberFormat="1" applyFont="1" applyFill="1" applyBorder="1"/>
    <xf numFmtId="0" fontId="5" fillId="3" borderId="0" xfId="0" applyFont="1" applyFill="1" applyBorder="1" applyAlignment="1">
      <alignment wrapText="1"/>
    </xf>
    <xf numFmtId="164" fontId="0" fillId="3" borderId="6" xfId="0" applyNumberFormat="1" applyFill="1" applyBorder="1"/>
    <xf numFmtId="0" fontId="5" fillId="3" borderId="8" xfId="0" applyFont="1" applyFill="1" applyBorder="1" applyAlignment="1">
      <alignment wrapText="1"/>
    </xf>
    <xf numFmtId="0" fontId="5" fillId="3" borderId="0" xfId="0" applyFont="1" applyFill="1" applyBorder="1"/>
    <xf numFmtId="0" fontId="5" fillId="3" borderId="8" xfId="0" applyFont="1" applyFill="1" applyBorder="1"/>
    <xf numFmtId="0" fontId="20" fillId="0" borderId="11" xfId="0" applyFont="1" applyBorder="1"/>
    <xf numFmtId="0" fontId="0" fillId="0" borderId="12" xfId="0" applyBorder="1"/>
    <xf numFmtId="0" fontId="0" fillId="0" borderId="13" xfId="0" applyBorder="1"/>
    <xf numFmtId="0" fontId="21" fillId="0" borderId="14" xfId="0" applyFont="1" applyBorder="1"/>
    <xf numFmtId="0" fontId="0" fillId="0" borderId="15" xfId="0" applyBorder="1"/>
    <xf numFmtId="0" fontId="22" fillId="0" borderId="14" xfId="0" applyFont="1" applyBorder="1"/>
    <xf numFmtId="0" fontId="21" fillId="0" borderId="17" xfId="0" applyFont="1" applyBorder="1"/>
    <xf numFmtId="0" fontId="0" fillId="0" borderId="10" xfId="0" applyBorder="1"/>
    <xf numFmtId="0" fontId="0" fillId="0" borderId="16" xfId="0" applyBorder="1"/>
    <xf numFmtId="0" fontId="5" fillId="0" borderId="0" xfId="0" applyFont="1" applyFill="1" applyBorder="1" applyAlignment="1"/>
    <xf numFmtId="0" fontId="0" fillId="5" borderId="1" xfId="0" applyNumberFormat="1" applyFill="1" applyBorder="1" applyAlignment="1">
      <alignment vertical="top" wrapText="1"/>
    </xf>
    <xf numFmtId="0" fontId="0" fillId="5" borderId="0" xfId="0" applyNumberFormat="1" applyFont="1" applyFill="1" applyBorder="1" applyAlignment="1">
      <alignment vertical="top" wrapText="1"/>
    </xf>
    <xf numFmtId="0" fontId="0" fillId="5" borderId="0" xfId="0" applyFont="1" applyFill="1" applyBorder="1" applyAlignment="1">
      <alignment vertical="top" wrapText="1"/>
    </xf>
    <xf numFmtId="0" fontId="8" fillId="5" borderId="0" xfId="0" applyNumberFormat="1" applyFont="1" applyFill="1" applyBorder="1" applyAlignment="1">
      <alignment vertical="top" wrapText="1"/>
    </xf>
    <xf numFmtId="0" fontId="8" fillId="5" borderId="6" xfId="0" applyNumberFormat="1" applyFont="1" applyFill="1" applyBorder="1" applyAlignment="1">
      <alignment vertical="top" wrapText="1"/>
    </xf>
    <xf numFmtId="0" fontId="0" fillId="5" borderId="7" xfId="0" applyNumberFormat="1" applyFont="1" applyFill="1" applyBorder="1" applyAlignment="1">
      <alignment vertical="top" wrapText="1"/>
    </xf>
    <xf numFmtId="0" fontId="0" fillId="5" borderId="8" xfId="0" applyNumberFormat="1" applyFont="1" applyFill="1" applyBorder="1" applyAlignment="1">
      <alignment vertical="top" wrapText="1"/>
    </xf>
    <xf numFmtId="0" fontId="8" fillId="5" borderId="8" xfId="0" applyNumberFormat="1" applyFont="1" applyFill="1" applyBorder="1" applyAlignment="1">
      <alignment vertical="top" wrapText="1"/>
    </xf>
    <xf numFmtId="0" fontId="0" fillId="5" borderId="8" xfId="0" applyFont="1" applyFill="1" applyBorder="1" applyAlignment="1">
      <alignment vertical="top" wrapText="1"/>
    </xf>
    <xf numFmtId="0" fontId="8" fillId="5" borderId="9" xfId="0" applyNumberFormat="1" applyFont="1" applyFill="1" applyBorder="1" applyAlignment="1">
      <alignment vertical="top" wrapText="1"/>
    </xf>
    <xf numFmtId="164" fontId="4" fillId="5" borderId="20" xfId="0" applyNumberFormat="1" applyFont="1" applyFill="1" applyBorder="1" applyAlignment="1">
      <alignment vertical="center" wrapText="1"/>
    </xf>
    <xf numFmtId="0" fontId="8" fillId="5" borderId="21" xfId="0" applyFont="1" applyFill="1" applyBorder="1" applyAlignment="1">
      <alignment vertical="center"/>
    </xf>
    <xf numFmtId="0" fontId="4" fillId="5" borderId="21" xfId="0" applyFont="1" applyFill="1" applyBorder="1" applyAlignment="1">
      <alignment vertical="center"/>
    </xf>
    <xf numFmtId="164" fontId="4" fillId="5" borderId="22" xfId="0" applyNumberFormat="1" applyFont="1" applyFill="1" applyBorder="1" applyAlignment="1">
      <alignment vertical="center" wrapText="1"/>
    </xf>
    <xf numFmtId="0" fontId="24" fillId="5" borderId="0" xfId="3" applyNumberFormat="1" applyFont="1" applyFill="1" applyBorder="1" applyAlignment="1" applyProtection="1">
      <alignment vertical="top" wrapText="1"/>
    </xf>
    <xf numFmtId="0" fontId="25" fillId="0" borderId="0" xfId="0" applyFont="1"/>
    <xf numFmtId="0" fontId="25" fillId="4" borderId="1" xfId="0" applyNumberFormat="1" applyFont="1" applyFill="1" applyBorder="1" applyAlignment="1">
      <alignment vertical="top" wrapText="1"/>
    </xf>
    <xf numFmtId="0" fontId="25" fillId="4" borderId="0" xfId="0" applyNumberFormat="1" applyFont="1" applyFill="1" applyBorder="1" applyAlignment="1">
      <alignment vertical="top" wrapText="1"/>
    </xf>
    <xf numFmtId="0" fontId="26" fillId="4" borderId="0" xfId="3" applyNumberFormat="1" applyFont="1" applyFill="1" applyBorder="1" applyAlignment="1" applyProtection="1">
      <alignment vertical="top" wrapText="1"/>
    </xf>
    <xf numFmtId="0" fontId="25" fillId="4" borderId="0" xfId="0" applyFont="1" applyFill="1" applyBorder="1" applyAlignment="1">
      <alignment vertical="top" wrapText="1"/>
    </xf>
    <xf numFmtId="0" fontId="25" fillId="4" borderId="6" xfId="0" applyNumberFormat="1" applyFont="1" applyFill="1" applyBorder="1" applyAlignment="1">
      <alignment vertical="top" wrapText="1"/>
    </xf>
    <xf numFmtId="0" fontId="25" fillId="6" borderId="1" xfId="0" applyNumberFormat="1" applyFont="1" applyFill="1" applyBorder="1" applyAlignment="1">
      <alignment vertical="top" wrapText="1"/>
    </xf>
    <xf numFmtId="0" fontId="25" fillId="6" borderId="0" xfId="0" applyNumberFormat="1" applyFont="1" applyFill="1" applyBorder="1" applyAlignment="1">
      <alignment vertical="top" wrapText="1"/>
    </xf>
    <xf numFmtId="0" fontId="26" fillId="6" borderId="0" xfId="3" applyNumberFormat="1" applyFont="1" applyFill="1" applyBorder="1" applyAlignment="1" applyProtection="1">
      <alignment vertical="top" wrapText="1"/>
    </xf>
    <xf numFmtId="0" fontId="25" fillId="6" borderId="0" xfId="0" applyFont="1" applyFill="1" applyBorder="1" applyAlignment="1">
      <alignment vertical="top" wrapText="1"/>
    </xf>
    <xf numFmtId="0" fontId="25" fillId="6" borderId="6" xfId="0" applyNumberFormat="1" applyFont="1" applyFill="1" applyBorder="1" applyAlignment="1">
      <alignment vertical="top" wrapText="1"/>
    </xf>
    <xf numFmtId="164" fontId="4" fillId="5" borderId="1" xfId="0" applyNumberFormat="1" applyFont="1" applyFill="1" applyBorder="1" applyAlignment="1">
      <alignment vertical="center" wrapText="1"/>
    </xf>
    <xf numFmtId="0" fontId="8" fillId="5" borderId="0" xfId="0" applyFont="1" applyFill="1" applyBorder="1" applyAlignment="1">
      <alignment vertical="center"/>
    </xf>
    <xf numFmtId="0" fontId="4" fillId="5" borderId="4" xfId="0" applyFont="1" applyFill="1" applyBorder="1" applyAlignment="1">
      <alignment vertical="center"/>
    </xf>
    <xf numFmtId="164" fontId="4" fillId="5" borderId="5" xfId="0" applyNumberFormat="1" applyFont="1" applyFill="1" applyBorder="1" applyAlignment="1">
      <alignment vertical="center" wrapText="1"/>
    </xf>
    <xf numFmtId="0" fontId="8" fillId="5" borderId="4" xfId="0" applyFont="1" applyFill="1" applyBorder="1" applyAlignment="1">
      <alignment vertical="center"/>
    </xf>
    <xf numFmtId="0" fontId="4" fillId="5" borderId="0" xfId="0" applyFont="1" applyFill="1" applyBorder="1" applyAlignment="1">
      <alignment vertical="center"/>
    </xf>
    <xf numFmtId="164" fontId="4" fillId="5" borderId="6" xfId="0" applyNumberFormat="1" applyFont="1" applyFill="1" applyBorder="1" applyAlignment="1">
      <alignment vertical="center" wrapText="1"/>
    </xf>
    <xf numFmtId="0" fontId="27" fillId="4" borderId="6" xfId="0" applyNumberFormat="1" applyFont="1" applyFill="1" applyBorder="1" applyAlignment="1">
      <alignment horizontal="center" vertical="center" wrapText="1"/>
    </xf>
    <xf numFmtId="0" fontId="25" fillId="4" borderId="6" xfId="0"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27" fillId="6" borderId="6" xfId="0" applyNumberFormat="1" applyFont="1" applyFill="1" applyBorder="1" applyAlignment="1">
      <alignment horizontal="center" vertical="center" wrapText="1"/>
    </xf>
    <xf numFmtId="0" fontId="25" fillId="6" borderId="6"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top" wrapText="1"/>
    </xf>
    <xf numFmtId="6" fontId="4" fillId="5" borderId="6" xfId="0" applyNumberFormat="1" applyFont="1" applyFill="1" applyBorder="1" applyAlignment="1">
      <alignment horizontal="center" vertical="center" wrapText="1"/>
    </xf>
    <xf numFmtId="0" fontId="24" fillId="5" borderId="1" xfId="3" applyNumberFormat="1" applyFont="1" applyFill="1" applyBorder="1" applyAlignment="1" applyProtection="1">
      <alignment vertical="top" wrapText="1"/>
    </xf>
    <xf numFmtId="0" fontId="24" fillId="5" borderId="6" xfId="3" applyNumberFormat="1" applyFont="1" applyFill="1" applyBorder="1" applyAlignment="1" applyProtection="1">
      <alignment horizontal="center" vertical="center" wrapText="1"/>
    </xf>
    <xf numFmtId="0" fontId="2" fillId="4" borderId="6"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3" fillId="0" borderId="0" xfId="3" applyAlignment="1" applyProtection="1"/>
    <xf numFmtId="0" fontId="28" fillId="5" borderId="0" xfId="3" applyFont="1" applyFill="1" applyBorder="1" applyAlignment="1" applyProtection="1">
      <alignment vertical="center"/>
    </xf>
    <xf numFmtId="164" fontId="0" fillId="5" borderId="6" xfId="2" applyNumberFormat="1" applyFont="1" applyFill="1" applyBorder="1"/>
    <xf numFmtId="164" fontId="0" fillId="0" borderId="0" xfId="0" applyNumberFormat="1"/>
    <xf numFmtId="39" fontId="0" fillId="5" borderId="6" xfId="0" applyNumberFormat="1" applyFill="1" applyBorder="1"/>
    <xf numFmtId="164" fontId="4" fillId="5" borderId="6" xfId="0" applyNumberFormat="1" applyFont="1" applyFill="1" applyBorder="1"/>
    <xf numFmtId="43" fontId="0" fillId="0" borderId="0" xfId="1" applyFont="1"/>
    <xf numFmtId="164" fontId="0" fillId="5" borderId="6" xfId="0" applyNumberFormat="1" applyFont="1" applyFill="1" applyBorder="1"/>
    <xf numFmtId="164" fontId="29" fillId="5" borderId="6" xfId="0" applyNumberFormat="1" applyFont="1" applyFill="1" applyBorder="1"/>
    <xf numFmtId="0" fontId="5" fillId="5" borderId="8" xfId="0" applyFont="1" applyFill="1" applyBorder="1" applyAlignment="1"/>
    <xf numFmtId="0" fontId="3" fillId="0" borderId="0" xfId="0" applyFont="1" applyAlignment="1">
      <alignment horizontal="left" vertical="center" wrapText="1"/>
    </xf>
    <xf numFmtId="0" fontId="3" fillId="0" borderId="0" xfId="0" applyFont="1" applyAlignment="1">
      <alignment horizontal="right" vertical="center" wrapText="1"/>
    </xf>
    <xf numFmtId="0" fontId="0" fillId="0" borderId="0" xfId="0" applyAlignment="1">
      <alignment vertical="center" wrapText="1"/>
    </xf>
    <xf numFmtId="8" fontId="0" fillId="0" borderId="0" xfId="0" applyNumberFormat="1"/>
    <xf numFmtId="8" fontId="0" fillId="0" borderId="0" xfId="0" applyNumberFormat="1" applyAlignment="1">
      <alignment horizontal="right" vertical="center" wrapText="1"/>
    </xf>
    <xf numFmtId="8" fontId="21" fillId="0" borderId="0" xfId="0" applyNumberFormat="1" applyFont="1" applyAlignment="1">
      <alignment horizontal="right" vertical="center" wrapText="1"/>
    </xf>
    <xf numFmtId="8" fontId="30" fillId="0" borderId="0" xfId="0" applyNumberFormat="1" applyFont="1" applyAlignment="1">
      <alignment horizontal="right" vertical="center" wrapText="1"/>
    </xf>
    <xf numFmtId="0" fontId="3" fillId="7" borderId="0" xfId="0" applyFont="1" applyFill="1" applyAlignment="1">
      <alignment vertical="center" wrapText="1"/>
    </xf>
    <xf numFmtId="8" fontId="3" fillId="7" borderId="0" xfId="0" applyNumberFormat="1" applyFont="1" applyFill="1" applyAlignment="1">
      <alignment horizontal="right" vertical="center" wrapText="1"/>
    </xf>
    <xf numFmtId="0" fontId="5" fillId="0" borderId="1" xfId="0" applyFont="1" applyFill="1" applyBorder="1" applyAlignment="1"/>
    <xf numFmtId="0" fontId="5" fillId="0" borderId="0" xfId="0" applyFont="1" applyFill="1" applyBorder="1" applyAlignment="1"/>
    <xf numFmtId="0" fontId="0" fillId="0" borderId="0" xfId="0" applyFill="1" applyBorder="1" applyAlignment="1">
      <alignment vertical="top" wrapText="1"/>
    </xf>
    <xf numFmtId="0" fontId="0" fillId="0" borderId="0" xfId="0" applyFont="1" applyFill="1" applyBorder="1" applyAlignment="1">
      <alignment vertical="top" wrapText="1"/>
    </xf>
    <xf numFmtId="164" fontId="4" fillId="5" borderId="23" xfId="0" applyNumberFormat="1" applyFont="1" applyFill="1" applyBorder="1" applyAlignment="1">
      <alignment horizontal="center" vertical="center" wrapText="1"/>
    </xf>
    <xf numFmtId="164" fontId="4" fillId="5" borderId="24" xfId="0" applyNumberFormat="1" applyFont="1" applyFill="1" applyBorder="1" applyAlignment="1">
      <alignment horizontal="center" vertical="center" wrapText="1"/>
    </xf>
    <xf numFmtId="0" fontId="8" fillId="5" borderId="23"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5" fillId="0" borderId="3" xfId="0" applyFont="1" applyFill="1" applyBorder="1" applyAlignment="1"/>
    <xf numFmtId="0" fontId="5" fillId="0" borderId="4" xfId="0" applyFont="1" applyFill="1" applyBorder="1" applyAlignment="1"/>
    <xf numFmtId="0" fontId="0" fillId="0" borderId="4" xfId="0" applyFill="1" applyBorder="1" applyAlignment="1"/>
    <xf numFmtId="0" fontId="17" fillId="4" borderId="3" xfId="0" applyFont="1" applyFill="1" applyBorder="1" applyAlignment="1">
      <alignment wrapText="1"/>
    </xf>
    <xf numFmtId="0" fontId="1" fillId="0" borderId="4" xfId="0" applyFont="1" applyBorder="1" applyAlignment="1">
      <alignment wrapText="1"/>
    </xf>
    <xf numFmtId="0" fontId="5" fillId="4" borderId="0" xfId="0" applyFont="1" applyFill="1" applyBorder="1" applyAlignment="1">
      <alignment wrapText="1"/>
    </xf>
    <xf numFmtId="0" fontId="0" fillId="0" borderId="8" xfId="0" applyBorder="1" applyAlignment="1">
      <alignment wrapText="1"/>
    </xf>
    <xf numFmtId="0" fontId="17" fillId="3" borderId="3" xfId="0" applyFont="1" applyFill="1" applyBorder="1" applyAlignment="1">
      <alignment wrapText="1"/>
    </xf>
    <xf numFmtId="0" fontId="17" fillId="3" borderId="4" xfId="0" applyFont="1" applyFill="1" applyBorder="1" applyAlignment="1">
      <alignment wrapText="1"/>
    </xf>
    <xf numFmtId="0" fontId="5" fillId="4" borderId="0" xfId="0" applyFont="1" applyFill="1" applyBorder="1" applyAlignment="1">
      <alignment horizontal="left" wrapText="1"/>
    </xf>
    <xf numFmtId="0" fontId="5" fillId="4" borderId="8" xfId="0" applyFont="1"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86352</xdr:colOff>
      <xdr:row>34</xdr:row>
      <xdr:rowOff>0</xdr:rowOff>
    </xdr:from>
    <xdr:to>
      <xdr:col>4</xdr:col>
      <xdr:colOff>929821</xdr:colOff>
      <xdr:row>45</xdr:row>
      <xdr:rowOff>113392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352" y="6629120"/>
          <a:ext cx="5481237" cy="22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baseline="0"/>
            <a:t>The following worksheets break down the local and State  BEP amounts on a per pupil basis for charter and Achievement School District (ASD) schools, by local education agency (LEA).</a:t>
          </a:r>
        </a:p>
        <a:p>
          <a:r>
            <a:rPr lang="en-US" sz="1100" baseline="0"/>
            <a:t>The difference between per pupil allotments for charter schools that provide transportation and ASD schools  represents the capital outlay portion of the BEP which  is paid directly from the Department to charter schools.</a:t>
          </a:r>
        </a:p>
        <a:p>
          <a:r>
            <a:rPr lang="en-US" sz="1100" baseline="0"/>
            <a:t>The Department pays in equal installments (plus/minus adjustments) ten months a year (no payments in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63674</xdr:colOff>
      <xdr:row>25</xdr:row>
      <xdr:rowOff>120370</xdr:rowOff>
    </xdr:from>
    <xdr:to>
      <xdr:col>9</xdr:col>
      <xdr:colOff>11339</xdr:colOff>
      <xdr:row>31</xdr:row>
      <xdr:rowOff>68035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59674" y="6597370"/>
          <a:ext cx="5481690" cy="1452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Instructions</a:t>
          </a:r>
          <a:r>
            <a:rPr lang="en-US" sz="1100" b="1" u="sng" baseline="0"/>
            <a:t> for Payments and Adjustments </a:t>
          </a:r>
        </a:p>
        <a:p>
          <a:r>
            <a:rPr lang="en-US" sz="1100" baseline="0"/>
            <a:t>Pay in equal installments (plus/minus adjustments) ten months a year (no payments in</a:t>
          </a:r>
        </a:p>
        <a:p>
          <a:r>
            <a:rPr lang="en-US" sz="1100" baseline="0"/>
            <a:t>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25</xdr:row>
      <xdr:rowOff>0</xdr:rowOff>
    </xdr:from>
    <xdr:to>
      <xdr:col>20</xdr:col>
      <xdr:colOff>161925</xdr:colOff>
      <xdr:row>25</xdr:row>
      <xdr:rowOff>161925</xdr:rowOff>
    </xdr:to>
    <xdr:pic>
      <xdr:nvPicPr>
        <xdr:cNvPr id="4" name="Picture 3" descr="Expan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8825" y="7581900"/>
          <a:ext cx="1619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20</xdr:row>
      <xdr:rowOff>0</xdr:rowOff>
    </xdr:from>
    <xdr:to>
      <xdr:col>19</xdr:col>
      <xdr:colOff>161925</xdr:colOff>
      <xdr:row>20</xdr:row>
      <xdr:rowOff>161925</xdr:rowOff>
    </xdr:to>
    <xdr:pic>
      <xdr:nvPicPr>
        <xdr:cNvPr id="3" name="Picture 2" descr="Expand">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6248400"/>
          <a:ext cx="1619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10317/Desktop/BEP/BEP/FY20/FY20%20July%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PFINAL"/>
      <sheetName val="admhistory"/>
      <sheetName val="Assumptions"/>
      <sheetName val="CDFs"/>
      <sheetName val="Equalizing"/>
      <sheetName val="TACIR"/>
      <sheetName val="FOX"/>
      <sheetName val="TACIR-FOX Mix"/>
      <sheetName val="How to"/>
      <sheetName val="BEP Allocation"/>
      <sheetName val="local contribution"/>
      <sheetName val="Instructional"/>
      <sheetName val="Classroom"/>
      <sheetName val="Non-classroom"/>
      <sheetName val="Insurance"/>
      <sheetName val="Positions"/>
      <sheetName val="Equipment"/>
      <sheetName val="Capital"/>
      <sheetName val="ADMs"/>
      <sheetName val="At Risk"/>
      <sheetName val="ASD"/>
      <sheetName val="State Board"/>
      <sheetName val="Module 1"/>
      <sheetName val="Charter schools"/>
      <sheetName val="last year adms"/>
      <sheetName val="Sheet2"/>
    </sheetNames>
    <sheetDataSet>
      <sheetData sheetId="0">
        <row r="84">
          <cell r="X84">
            <v>230236000</v>
          </cell>
        </row>
        <row r="126">
          <cell r="X126">
            <v>638820000</v>
          </cell>
        </row>
      </sheetData>
      <sheetData sheetId="1"/>
      <sheetData sheetId="2"/>
      <sheetData sheetId="3"/>
      <sheetData sheetId="4"/>
      <sheetData sheetId="5"/>
      <sheetData sheetId="6"/>
      <sheetData sheetId="7"/>
      <sheetData sheetId="8">
        <row r="210">
          <cell r="O210">
            <v>45359499.682591885</v>
          </cell>
        </row>
        <row r="233">
          <cell r="R233">
            <v>91814076.671989501</v>
          </cell>
        </row>
        <row r="238">
          <cell r="T238">
            <v>0.5385672538825127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n.gov/firsttothetop/programs.html" TargetMode="External"/><Relationship Id="rId13" Type="http://schemas.openxmlformats.org/officeDocument/2006/relationships/hyperlink" Target="http://www.tn.gov/education/fedprog/fpfiscalinfo.shtml" TargetMode="External"/><Relationship Id="rId3" Type="http://schemas.openxmlformats.org/officeDocument/2006/relationships/hyperlink" Target="http://idea.ed.gov/explore/view/p/,root,regs,300,C,300%252E209," TargetMode="External"/><Relationship Id="rId7" Type="http://schemas.openxmlformats.org/officeDocument/2006/relationships/hyperlink" Target="http://www.tennessee.gov/education/fedprog/fpschlimprove.shtml" TargetMode="External"/><Relationship Id="rId12" Type="http://schemas.openxmlformats.org/officeDocument/2006/relationships/hyperlink" Target="http://www2.ed.gov/policy/elsec/leg/esea02/pg62.html" TargetMode="External"/><Relationship Id="rId2" Type="http://schemas.openxmlformats.org/officeDocument/2006/relationships/hyperlink" Target="http://www2.ed.gov/policy/elsec/leg/esea02/pg1.html" TargetMode="External"/><Relationship Id="rId1" Type="http://schemas.openxmlformats.org/officeDocument/2006/relationships/hyperlink" Target="http://tn.gov/sbe/bep.html" TargetMode="External"/><Relationship Id="rId6" Type="http://schemas.openxmlformats.org/officeDocument/2006/relationships/hyperlink" Target="http://www.tn.gov/education/support/nutrition.shtml" TargetMode="External"/><Relationship Id="rId11" Type="http://schemas.openxmlformats.org/officeDocument/2006/relationships/hyperlink" Target="http://www.copyright.gov/legislation/pl108-446.pdf" TargetMode="External"/><Relationship Id="rId5" Type="http://schemas.openxmlformats.org/officeDocument/2006/relationships/hyperlink" Target="http://www.tn.gov/education/speced/legal.shtml" TargetMode="External"/><Relationship Id="rId15" Type="http://schemas.openxmlformats.org/officeDocument/2006/relationships/drawing" Target="../drawings/drawing1.xml"/><Relationship Id="rId10" Type="http://schemas.openxmlformats.org/officeDocument/2006/relationships/hyperlink" Target="http://tn.gov/sbe/bep.html" TargetMode="External"/><Relationship Id="rId4" Type="http://schemas.openxmlformats.org/officeDocument/2006/relationships/hyperlink" Target="http://www.tennessee.gov/education/fedprog/fptitle1.shtml" TargetMode="External"/><Relationship Id="rId9" Type="http://schemas.openxmlformats.org/officeDocument/2006/relationships/hyperlink" Target="http://www.tn.gov/education/speced/management_ser.s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zoomScale="84" zoomScaleNormal="84" workbookViewId="0">
      <selection activeCell="F8" sqref="F8:F11"/>
    </sheetView>
  </sheetViews>
  <sheetFormatPr defaultRowHeight="15" x14ac:dyDescent="0.25"/>
  <cols>
    <col min="1" max="1" width="30.42578125" customWidth="1"/>
    <col min="2" max="2" width="2.28515625" customWidth="1"/>
    <col min="3" max="3" width="51.140625" customWidth="1"/>
    <col min="4" max="4" width="2.28515625" customWidth="1"/>
    <col min="5" max="5" width="46.7109375" customWidth="1"/>
    <col min="6" max="6" width="19" customWidth="1"/>
    <col min="7" max="7" width="22.85546875" customWidth="1"/>
    <col min="8" max="8" width="48.5703125" customWidth="1"/>
    <col min="9" max="9" width="8.7109375" customWidth="1"/>
    <col min="10" max="10" width="19" customWidth="1"/>
  </cols>
  <sheetData>
    <row r="1" spans="1:7" ht="18.75" x14ac:dyDescent="0.3">
      <c r="A1" s="165" t="s">
        <v>75</v>
      </c>
      <c r="B1" s="166"/>
      <c r="C1" s="166"/>
      <c r="D1" s="166"/>
      <c r="E1" s="166"/>
    </row>
    <row r="2" spans="1:7" ht="18.75" x14ac:dyDescent="0.3">
      <c r="A2" s="98"/>
      <c r="B2" s="98"/>
      <c r="C2" s="98"/>
      <c r="D2" s="98"/>
      <c r="E2" s="98"/>
    </row>
    <row r="3" spans="1:7" x14ac:dyDescent="0.25">
      <c r="A3" s="167" t="s">
        <v>104</v>
      </c>
      <c r="B3" s="168"/>
      <c r="C3" s="168"/>
      <c r="D3" s="168"/>
      <c r="E3" s="168"/>
    </row>
    <row r="4" spans="1:7" x14ac:dyDescent="0.25">
      <c r="A4" s="168"/>
      <c r="B4" s="168"/>
      <c r="C4" s="168"/>
      <c r="D4" s="168"/>
      <c r="E4" s="168"/>
    </row>
    <row r="5" spans="1:7" ht="51" customHeight="1" x14ac:dyDescent="0.25">
      <c r="A5" s="168"/>
      <c r="B5" s="168"/>
      <c r="C5" s="168"/>
      <c r="D5" s="168"/>
      <c r="E5" s="168"/>
    </row>
    <row r="6" spans="1:7" ht="12.75" customHeight="1" thickBot="1" x14ac:dyDescent="0.3">
      <c r="A6" s="4"/>
      <c r="B6" s="4"/>
      <c r="D6" s="4"/>
    </row>
    <row r="7" spans="1:7" ht="32.25" thickBot="1" x14ac:dyDescent="0.3">
      <c r="A7" s="109" t="s">
        <v>50</v>
      </c>
      <c r="B7" s="110"/>
      <c r="C7" s="111" t="s">
        <v>51</v>
      </c>
      <c r="D7" s="110"/>
      <c r="E7" s="112" t="s">
        <v>52</v>
      </c>
      <c r="F7" s="112" t="s">
        <v>83</v>
      </c>
      <c r="G7" s="112" t="s">
        <v>82</v>
      </c>
    </row>
    <row r="8" spans="1:7" ht="15.75" x14ac:dyDescent="0.25">
      <c r="A8" s="125"/>
      <c r="B8" s="126"/>
      <c r="C8" s="127"/>
      <c r="D8" s="129"/>
      <c r="E8" s="128"/>
      <c r="F8" s="169" t="s">
        <v>88</v>
      </c>
      <c r="G8" s="171" t="s">
        <v>84</v>
      </c>
    </row>
    <row r="9" spans="1:7" ht="15.75" x14ac:dyDescent="0.25">
      <c r="A9" s="125" t="s">
        <v>67</v>
      </c>
      <c r="B9" s="126"/>
      <c r="C9" s="130"/>
      <c r="D9" s="126"/>
      <c r="E9" s="131"/>
      <c r="F9" s="170"/>
      <c r="G9" s="172"/>
    </row>
    <row r="10" spans="1:7" ht="47.25" x14ac:dyDescent="0.25">
      <c r="A10" s="142" t="s">
        <v>53</v>
      </c>
      <c r="B10" s="100"/>
      <c r="C10" s="102" t="s">
        <v>57</v>
      </c>
      <c r="D10" s="101"/>
      <c r="E10" s="103" t="s">
        <v>59</v>
      </c>
      <c r="F10" s="170"/>
      <c r="G10" s="172"/>
    </row>
    <row r="11" spans="1:7" ht="15.75" x14ac:dyDescent="0.25">
      <c r="A11" s="99"/>
      <c r="B11" s="100"/>
      <c r="C11" s="113" t="s">
        <v>58</v>
      </c>
      <c r="D11" s="101"/>
      <c r="E11" s="103"/>
      <c r="F11" s="170"/>
      <c r="G11" s="172"/>
    </row>
    <row r="12" spans="1:7" s="114" customFormat="1" ht="11.25" x14ac:dyDescent="0.2">
      <c r="A12" s="115"/>
      <c r="B12" s="116"/>
      <c r="C12" s="117"/>
      <c r="D12" s="118"/>
      <c r="E12" s="119"/>
      <c r="F12" s="132"/>
      <c r="G12" s="133"/>
    </row>
    <row r="13" spans="1:7" ht="63" x14ac:dyDescent="0.25">
      <c r="A13" s="99" t="s">
        <v>56</v>
      </c>
      <c r="B13" s="100"/>
      <c r="C13" s="102" t="s">
        <v>89</v>
      </c>
      <c r="D13" s="101"/>
      <c r="E13" s="103" t="s">
        <v>60</v>
      </c>
      <c r="F13" s="134" t="s">
        <v>90</v>
      </c>
      <c r="G13" s="135" t="s">
        <v>85</v>
      </c>
    </row>
    <row r="14" spans="1:7" s="114" customFormat="1" ht="11.25" x14ac:dyDescent="0.2">
      <c r="A14" s="115"/>
      <c r="B14" s="116"/>
      <c r="C14" s="117"/>
      <c r="D14" s="118"/>
      <c r="E14" s="119"/>
      <c r="F14" s="132"/>
      <c r="G14" s="133"/>
    </row>
    <row r="15" spans="1:7" ht="94.5" x14ac:dyDescent="0.25">
      <c r="A15" s="99" t="s">
        <v>55</v>
      </c>
      <c r="B15" s="100"/>
      <c r="C15" s="102" t="s">
        <v>105</v>
      </c>
      <c r="D15" s="101"/>
      <c r="E15" s="103" t="s">
        <v>61</v>
      </c>
      <c r="F15" s="134" t="s">
        <v>91</v>
      </c>
      <c r="G15" s="135" t="s">
        <v>87</v>
      </c>
    </row>
    <row r="16" spans="1:7" s="114" customFormat="1" ht="11.25" x14ac:dyDescent="0.2">
      <c r="A16" s="115"/>
      <c r="B16" s="116"/>
      <c r="C16" s="117"/>
      <c r="D16" s="118"/>
      <c r="E16" s="119"/>
      <c r="F16" s="132"/>
      <c r="G16" s="133"/>
    </row>
    <row r="17" spans="1:8" ht="110.25" x14ac:dyDescent="0.25">
      <c r="A17" s="99" t="s">
        <v>54</v>
      </c>
      <c r="B17" s="100"/>
      <c r="C17" s="102" t="s">
        <v>62</v>
      </c>
      <c r="D17" s="101"/>
      <c r="E17" s="103" t="s">
        <v>63</v>
      </c>
      <c r="F17" s="134" t="s">
        <v>93</v>
      </c>
      <c r="G17" s="135" t="s">
        <v>86</v>
      </c>
    </row>
    <row r="18" spans="1:8" s="114" customFormat="1" ht="11.25" x14ac:dyDescent="0.2">
      <c r="A18" s="120"/>
      <c r="B18" s="121"/>
      <c r="C18" s="122"/>
      <c r="D18" s="123"/>
      <c r="E18" s="124"/>
      <c r="F18" s="136"/>
      <c r="G18" s="137"/>
    </row>
    <row r="19" spans="1:8" ht="15.75" x14ac:dyDescent="0.25">
      <c r="A19" s="125" t="s">
        <v>66</v>
      </c>
      <c r="B19" s="126"/>
      <c r="C19" s="147" t="s">
        <v>106</v>
      </c>
      <c r="D19" s="126"/>
      <c r="E19" s="131"/>
      <c r="F19" s="138"/>
      <c r="G19" s="138"/>
    </row>
    <row r="20" spans="1:8" ht="162.75" customHeight="1" x14ac:dyDescent="0.25">
      <c r="A20" s="142" t="s">
        <v>68</v>
      </c>
      <c r="B20" s="100"/>
      <c r="C20" s="102" t="s">
        <v>107</v>
      </c>
      <c r="D20" s="101"/>
      <c r="E20" s="103" t="s">
        <v>69</v>
      </c>
      <c r="F20" s="134" t="s">
        <v>97</v>
      </c>
      <c r="G20" s="143" t="s">
        <v>101</v>
      </c>
      <c r="H20" s="146"/>
    </row>
    <row r="21" spans="1:8" s="114" customFormat="1" ht="11.25" x14ac:dyDescent="0.2">
      <c r="A21" s="115"/>
      <c r="B21" s="116"/>
      <c r="C21" s="117"/>
      <c r="D21" s="118"/>
      <c r="E21" s="119"/>
      <c r="F21" s="132"/>
      <c r="G21" s="133"/>
    </row>
    <row r="22" spans="1:8" ht="133.5" customHeight="1" x14ac:dyDescent="0.25">
      <c r="A22" s="142" t="s">
        <v>70</v>
      </c>
      <c r="B22" s="100"/>
      <c r="C22" s="102" t="s">
        <v>71</v>
      </c>
      <c r="D22" s="101"/>
      <c r="E22" s="103" t="s">
        <v>72</v>
      </c>
      <c r="F22" s="141">
        <v>1500</v>
      </c>
      <c r="G22" s="143" t="s">
        <v>96</v>
      </c>
    </row>
    <row r="23" spans="1:8" s="114" customFormat="1" ht="11.25" x14ac:dyDescent="0.2">
      <c r="A23" s="115"/>
      <c r="B23" s="116"/>
      <c r="C23" s="117"/>
      <c r="D23" s="118"/>
      <c r="E23" s="119"/>
      <c r="F23" s="132"/>
      <c r="G23" s="133"/>
    </row>
    <row r="24" spans="1:8" ht="63" x14ac:dyDescent="0.25">
      <c r="A24" s="142" t="s">
        <v>64</v>
      </c>
      <c r="B24" s="100"/>
      <c r="C24" s="102" t="s">
        <v>99</v>
      </c>
      <c r="D24" s="101"/>
      <c r="E24" s="103" t="s">
        <v>65</v>
      </c>
      <c r="F24" s="134" t="s">
        <v>92</v>
      </c>
      <c r="G24" s="143" t="s">
        <v>100</v>
      </c>
    </row>
    <row r="25" spans="1:8" s="114" customFormat="1" x14ac:dyDescent="0.2">
      <c r="A25" s="115"/>
      <c r="B25" s="116"/>
      <c r="C25" s="117"/>
      <c r="D25" s="118"/>
      <c r="E25" s="119"/>
      <c r="F25" s="132"/>
      <c r="G25" s="144"/>
    </row>
    <row r="26" spans="1:8" ht="94.5" x14ac:dyDescent="0.25">
      <c r="A26" s="142" t="s">
        <v>73</v>
      </c>
      <c r="B26" s="100"/>
      <c r="C26" s="102" t="s">
        <v>102</v>
      </c>
      <c r="D26" s="101"/>
      <c r="E26" s="103" t="s">
        <v>74</v>
      </c>
      <c r="F26" s="134"/>
      <c r="G26" s="145"/>
    </row>
    <row r="27" spans="1:8" s="114" customFormat="1" x14ac:dyDescent="0.2">
      <c r="A27" s="115"/>
      <c r="B27" s="116"/>
      <c r="C27" s="117"/>
      <c r="D27" s="118"/>
      <c r="E27" s="119"/>
      <c r="F27" s="132"/>
      <c r="G27" s="144"/>
    </row>
    <row r="28" spans="1:8" s="10" customFormat="1" ht="78.75" x14ac:dyDescent="0.25">
      <c r="A28" s="99" t="s">
        <v>79</v>
      </c>
      <c r="B28" s="100"/>
      <c r="C28" s="102" t="s">
        <v>80</v>
      </c>
      <c r="D28" s="101"/>
      <c r="E28" s="103" t="s">
        <v>81</v>
      </c>
      <c r="F28" s="134"/>
      <c r="G28" s="145"/>
    </row>
    <row r="29" spans="1:8" s="114" customFormat="1" x14ac:dyDescent="0.2">
      <c r="A29" s="115"/>
      <c r="B29" s="116"/>
      <c r="C29" s="117"/>
      <c r="D29" s="118"/>
      <c r="E29" s="119"/>
      <c r="F29" s="132"/>
      <c r="G29" s="144"/>
    </row>
    <row r="30" spans="1:8" ht="47.25" x14ac:dyDescent="0.25">
      <c r="A30" s="142" t="s">
        <v>76</v>
      </c>
      <c r="B30" s="100"/>
      <c r="C30" s="102" t="s">
        <v>95</v>
      </c>
      <c r="D30" s="101"/>
      <c r="E30" s="103" t="s">
        <v>103</v>
      </c>
      <c r="F30" s="134"/>
      <c r="G30" s="143" t="s">
        <v>94</v>
      </c>
    </row>
    <row r="31" spans="1:8" s="114" customFormat="1" x14ac:dyDescent="0.2">
      <c r="A31" s="115"/>
      <c r="B31" s="116"/>
      <c r="C31" s="117"/>
      <c r="D31" s="118"/>
      <c r="E31" s="119"/>
      <c r="F31" s="132"/>
      <c r="G31" s="144"/>
    </row>
    <row r="32" spans="1:8" s="10" customFormat="1" ht="94.5" x14ac:dyDescent="0.25">
      <c r="A32" s="142" t="s">
        <v>77</v>
      </c>
      <c r="B32" s="100"/>
      <c r="C32" s="102" t="s">
        <v>78</v>
      </c>
      <c r="D32" s="101"/>
      <c r="E32" s="103" t="s">
        <v>98</v>
      </c>
      <c r="F32" s="134"/>
      <c r="G32" s="145"/>
    </row>
    <row r="33" spans="1:7" s="10" customFormat="1" ht="16.5" thickBot="1" x14ac:dyDescent="0.3">
      <c r="A33" s="104"/>
      <c r="B33" s="105"/>
      <c r="C33" s="106"/>
      <c r="D33" s="107"/>
      <c r="E33" s="108"/>
      <c r="F33" s="139"/>
      <c r="G33" s="140"/>
    </row>
    <row r="34" spans="1:7" s="10" customFormat="1" x14ac:dyDescent="0.25">
      <c r="E34" s="58"/>
    </row>
    <row r="35" spans="1:7" s="10" customFormat="1" x14ac:dyDescent="0.25">
      <c r="E35" s="59"/>
    </row>
    <row r="36" spans="1:7" s="10" customFormat="1" x14ac:dyDescent="0.25">
      <c r="E36" s="60"/>
    </row>
    <row r="37" spans="1:7" s="10" customFormat="1" x14ac:dyDescent="0.25"/>
    <row r="38" spans="1:7" s="10" customFormat="1" x14ac:dyDescent="0.25">
      <c r="E38" s="60"/>
    </row>
    <row r="39" spans="1:7" s="10" customFormat="1" x14ac:dyDescent="0.25"/>
    <row r="40" spans="1:7" s="10" customFormat="1" x14ac:dyDescent="0.25"/>
    <row r="41" spans="1:7" s="10" customFormat="1" x14ac:dyDescent="0.25"/>
    <row r="42" spans="1:7" s="10" customFormat="1" x14ac:dyDescent="0.25"/>
    <row r="43" spans="1:7" s="10" customFormat="1" x14ac:dyDescent="0.25"/>
    <row r="44" spans="1:7" s="10" customFormat="1" x14ac:dyDescent="0.25"/>
    <row r="45" spans="1:7" s="10" customFormat="1" x14ac:dyDescent="0.25"/>
    <row r="46" spans="1:7" s="10" customFormat="1" x14ac:dyDescent="0.25"/>
    <row r="47" spans="1:7" s="10" customFormat="1" x14ac:dyDescent="0.25"/>
    <row r="48" spans="1:7" s="10" customFormat="1" x14ac:dyDescent="0.25">
      <c r="A48"/>
      <c r="B48"/>
      <c r="C48"/>
      <c r="D48"/>
      <c r="E48"/>
    </row>
    <row r="49" spans="2:4" x14ac:dyDescent="0.25">
      <c r="B49" s="5"/>
      <c r="D49" s="5"/>
    </row>
  </sheetData>
  <mergeCells count="4">
    <mergeCell ref="A1:E1"/>
    <mergeCell ref="A3:E5"/>
    <mergeCell ref="F8:F11"/>
    <mergeCell ref="G8:G11"/>
  </mergeCells>
  <hyperlinks>
    <hyperlink ref="C11" r:id="rId1" xr:uid="{00000000-0004-0000-0000-000000000000}"/>
    <hyperlink ref="G30" r:id="rId2" location="sec1003" xr:uid="{00000000-0004-0000-0000-000001000000}"/>
    <hyperlink ref="G22" r:id="rId3" xr:uid="{00000000-0004-0000-0000-000002000000}"/>
    <hyperlink ref="A20" r:id="rId4" xr:uid="{00000000-0004-0000-0000-000003000000}"/>
    <hyperlink ref="A22" r:id="rId5" xr:uid="{00000000-0004-0000-0000-000004000000}"/>
    <hyperlink ref="A26" r:id="rId6" xr:uid="{00000000-0004-0000-0000-000005000000}"/>
    <hyperlink ref="A30" r:id="rId7" xr:uid="{00000000-0004-0000-0000-000006000000}"/>
    <hyperlink ref="A32" r:id="rId8" xr:uid="{00000000-0004-0000-0000-000007000000}"/>
    <hyperlink ref="A24" r:id="rId9" xr:uid="{00000000-0004-0000-0000-000008000000}"/>
    <hyperlink ref="A10" r:id="rId10" xr:uid="{00000000-0004-0000-0000-000009000000}"/>
    <hyperlink ref="G24" r:id="rId11" xr:uid="{00000000-0004-0000-0000-00000A000000}"/>
    <hyperlink ref="G20" r:id="rId12" location="sec5206" xr:uid="{00000000-0004-0000-0000-00000B000000}"/>
    <hyperlink ref="C19" r:id="rId13" location="Allocations" xr:uid="{00000000-0004-0000-0000-00000C000000}"/>
  </hyperlinks>
  <pageMargins left="0.7" right="0.7" top="0.75" bottom="0.75" header="0.3" footer="0.3"/>
  <pageSetup scale="65" fitToHeight="2" orientation="landscape" r:id="rId14"/>
  <headerFooter>
    <oddFooter>&amp;L&amp;D&amp;C&amp;F&amp;RPage &amp;P of &amp;N</oddFooter>
  </headerFooter>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51"/>
  <sheetViews>
    <sheetView tabSelected="1" zoomScale="70" zoomScaleNormal="70" workbookViewId="0">
      <selection activeCell="K1" sqref="K1:W1048576"/>
    </sheetView>
  </sheetViews>
  <sheetFormatPr defaultRowHeight="15" x14ac:dyDescent="0.25"/>
  <cols>
    <col min="1" max="1" width="15.42578125" customWidth="1"/>
    <col min="2" max="2" width="2.28515625" customWidth="1"/>
    <col min="3" max="3" width="51.140625" customWidth="1"/>
    <col min="4" max="4" width="22.7109375" customWidth="1"/>
    <col min="5" max="5" width="4.28515625" customWidth="1"/>
    <col min="6" max="6" width="6.7109375" customWidth="1"/>
    <col min="7" max="7" width="48.5703125" customWidth="1"/>
    <col min="8" max="8" width="8.7109375" customWidth="1"/>
    <col min="9" max="9" width="19" customWidth="1"/>
    <col min="11" max="11" width="10.28515625" hidden="1" customWidth="1"/>
    <col min="12" max="12" width="27.7109375" hidden="1" customWidth="1"/>
    <col min="13" max="13" width="25.28515625" hidden="1" customWidth="1"/>
    <col min="14" max="23" width="0" hidden="1" customWidth="1"/>
  </cols>
  <sheetData>
    <row r="1" spans="1:19" ht="18.75" x14ac:dyDescent="0.3">
      <c r="A1" s="173" t="s">
        <v>108</v>
      </c>
      <c r="B1" s="174"/>
      <c r="C1" s="175"/>
    </row>
    <row r="2" spans="1:19" ht="18.75" x14ac:dyDescent="0.3">
      <c r="A2" s="3" t="s">
        <v>34</v>
      </c>
      <c r="B2" s="3"/>
    </row>
    <row r="3" spans="1:19" ht="15.75" x14ac:dyDescent="0.25">
      <c r="A3" s="2" t="s">
        <v>14</v>
      </c>
      <c r="B3" s="4"/>
    </row>
    <row r="4" spans="1:19" ht="12.75" customHeight="1" x14ac:dyDescent="0.25">
      <c r="A4" s="4"/>
      <c r="B4" s="4"/>
    </row>
    <row r="5" spans="1:19" ht="15.75" thickBot="1" x14ac:dyDescent="0.3">
      <c r="D5" s="38" t="s">
        <v>4</v>
      </c>
    </row>
    <row r="6" spans="1:19" ht="15" customHeight="1" x14ac:dyDescent="0.3">
      <c r="A6" s="56"/>
      <c r="B6" s="57"/>
      <c r="C6" s="57"/>
      <c r="D6" s="15" t="s">
        <v>122</v>
      </c>
      <c r="F6" s="176" t="s">
        <v>27</v>
      </c>
      <c r="G6" s="177"/>
      <c r="H6" s="177"/>
      <c r="I6" s="54" t="str">
        <f>+D7</f>
        <v>Actual Amount</v>
      </c>
      <c r="K6" t="s">
        <v>123</v>
      </c>
      <c r="L6" t="s">
        <v>124</v>
      </c>
      <c r="M6" t="s">
        <v>125</v>
      </c>
      <c r="N6" t="s">
        <v>126</v>
      </c>
      <c r="O6" t="s">
        <v>127</v>
      </c>
      <c r="P6" t="s">
        <v>128</v>
      </c>
      <c r="Q6" t="s">
        <v>129</v>
      </c>
      <c r="R6" t="s">
        <v>130</v>
      </c>
      <c r="S6" t="s">
        <v>131</v>
      </c>
    </row>
    <row r="7" spans="1:19" ht="15.75" x14ac:dyDescent="0.25">
      <c r="A7" s="18" t="s">
        <v>18</v>
      </c>
      <c r="B7" s="19"/>
      <c r="C7" s="19" t="s">
        <v>15</v>
      </c>
      <c r="D7" s="20" t="s">
        <v>114</v>
      </c>
      <c r="E7" s="6"/>
      <c r="F7" s="11"/>
      <c r="G7" s="44" t="s">
        <v>21</v>
      </c>
      <c r="H7" s="9"/>
      <c r="I7" s="42">
        <f>+D26</f>
        <v>1015201500</v>
      </c>
      <c r="K7">
        <v>40110</v>
      </c>
      <c r="L7" t="s">
        <v>132</v>
      </c>
      <c r="M7" s="159">
        <v>358699200</v>
      </c>
      <c r="N7" s="159">
        <v>349476100</v>
      </c>
      <c r="O7" s="159">
        <v>349476100</v>
      </c>
      <c r="P7" s="159">
        <v>349722186.68000001</v>
      </c>
      <c r="Q7" s="159">
        <v>246086.68</v>
      </c>
      <c r="R7" s="159">
        <v>9223100</v>
      </c>
    </row>
    <row r="8" spans="1:19" ht="15.75" customHeight="1" x14ac:dyDescent="0.4">
      <c r="A8" s="21" t="s">
        <v>13</v>
      </c>
      <c r="B8" s="22"/>
      <c r="C8" s="23" t="s">
        <v>6</v>
      </c>
      <c r="D8" s="46">
        <v>372615200</v>
      </c>
      <c r="E8" s="7"/>
      <c r="F8" s="11"/>
      <c r="G8" s="44" t="s">
        <v>23</v>
      </c>
      <c r="H8" s="9"/>
      <c r="I8" s="43">
        <f>-65376974*0.25</f>
        <v>-16344243.5</v>
      </c>
      <c r="K8">
        <v>40120</v>
      </c>
      <c r="L8" t="s">
        <v>133</v>
      </c>
      <c r="M8" s="159">
        <v>1639400</v>
      </c>
      <c r="N8" s="159">
        <v>1607600</v>
      </c>
      <c r="O8" s="159">
        <v>1607600</v>
      </c>
      <c r="P8" s="159">
        <v>926382.54</v>
      </c>
      <c r="Q8" s="159">
        <v>-681217.46</v>
      </c>
      <c r="R8" s="159">
        <v>31800</v>
      </c>
    </row>
    <row r="9" spans="1:19" ht="15.75" x14ac:dyDescent="0.25">
      <c r="A9" s="21">
        <v>40210</v>
      </c>
      <c r="B9" s="22"/>
      <c r="C9" s="24" t="s">
        <v>5</v>
      </c>
      <c r="D9" s="46">
        <v>328535100</v>
      </c>
      <c r="E9" s="7"/>
      <c r="F9" s="11"/>
      <c r="G9" s="44" t="s">
        <v>24</v>
      </c>
      <c r="H9" s="9"/>
      <c r="I9" s="42">
        <f>SUM(I7:I8)</f>
        <v>998857256.5</v>
      </c>
      <c r="K9">
        <v>40130</v>
      </c>
      <c r="L9" t="s">
        <v>134</v>
      </c>
      <c r="M9" s="149">
        <v>8998200</v>
      </c>
      <c r="N9" s="159">
        <v>8671300</v>
      </c>
      <c r="O9" s="159">
        <v>8671300</v>
      </c>
      <c r="P9" s="159">
        <v>7991556.8300000001</v>
      </c>
      <c r="Q9" s="159">
        <v>-679743.17</v>
      </c>
      <c r="R9" s="159">
        <v>326900</v>
      </c>
    </row>
    <row r="10" spans="1:19" ht="21.75" customHeight="1" x14ac:dyDescent="0.4">
      <c r="A10" s="21" t="s">
        <v>8</v>
      </c>
      <c r="B10" s="22"/>
      <c r="C10" s="23" t="s">
        <v>9</v>
      </c>
      <c r="D10" s="46">
        <f>+M12</f>
        <v>25251300</v>
      </c>
      <c r="E10" s="7"/>
      <c r="F10" s="11"/>
      <c r="G10" s="44" t="str">
        <f>+C28</f>
        <v>Prior Year ADM²</v>
      </c>
      <c r="H10" s="9"/>
      <c r="I10" s="43">
        <f>+D28</f>
        <v>81876</v>
      </c>
      <c r="K10">
        <v>40162</v>
      </c>
      <c r="L10" t="s">
        <v>135</v>
      </c>
      <c r="M10" s="159">
        <v>3278400</v>
      </c>
      <c r="N10" s="159">
        <v>3099400</v>
      </c>
      <c r="O10" s="159">
        <v>3099400</v>
      </c>
      <c r="P10" s="159">
        <v>3458801.63</v>
      </c>
      <c r="Q10" s="159">
        <v>359401.63</v>
      </c>
      <c r="R10" s="159">
        <v>179000</v>
      </c>
    </row>
    <row r="11" spans="1:19" ht="21.75" thickBot="1" x14ac:dyDescent="0.5">
      <c r="A11" s="21" t="s">
        <v>10</v>
      </c>
      <c r="B11" s="22"/>
      <c r="C11" s="23" t="s">
        <v>11</v>
      </c>
      <c r="D11" s="46">
        <f>+M13</f>
        <v>770900</v>
      </c>
      <c r="E11" s="7"/>
      <c r="F11" s="11"/>
      <c r="G11" s="178" t="s">
        <v>25</v>
      </c>
      <c r="H11" s="9"/>
      <c r="I11" s="12"/>
      <c r="K11">
        <v>40210</v>
      </c>
      <c r="L11" t="s">
        <v>5</v>
      </c>
      <c r="M11" s="159">
        <v>328535100</v>
      </c>
      <c r="N11" s="159">
        <v>294161500</v>
      </c>
      <c r="O11" s="159">
        <v>294161500</v>
      </c>
      <c r="P11" s="159">
        <v>305455385.85000002</v>
      </c>
      <c r="Q11" s="159">
        <v>11293885.85</v>
      </c>
      <c r="R11" s="159">
        <v>34373600</v>
      </c>
    </row>
    <row r="12" spans="1:19" ht="21.75" thickBot="1" x14ac:dyDescent="0.5">
      <c r="A12" s="21" t="s">
        <v>35</v>
      </c>
      <c r="B12" s="22"/>
      <c r="C12" s="23" t="s">
        <v>36</v>
      </c>
      <c r="D12" s="46">
        <v>0</v>
      </c>
      <c r="E12" s="7"/>
      <c r="F12" s="34"/>
      <c r="G12" s="179"/>
      <c r="H12" s="35"/>
      <c r="I12" s="41">
        <f>+I9/I10</f>
        <v>12199.634282329376</v>
      </c>
      <c r="K12">
        <v>40275</v>
      </c>
      <c r="L12" t="s">
        <v>136</v>
      </c>
      <c r="M12" s="159">
        <v>25251300</v>
      </c>
      <c r="N12" s="159">
        <v>20172200</v>
      </c>
      <c r="O12" s="159">
        <v>20172200</v>
      </c>
      <c r="P12" s="159">
        <v>22249086.059999999</v>
      </c>
      <c r="Q12" s="159">
        <v>2076886.06</v>
      </c>
      <c r="R12" s="159">
        <v>5079100</v>
      </c>
    </row>
    <row r="13" spans="1:19" ht="15.75" customHeight="1" thickBot="1" x14ac:dyDescent="0.3">
      <c r="A13" s="21" t="s">
        <v>12</v>
      </c>
      <c r="B13" s="22"/>
      <c r="C13" s="23" t="s">
        <v>0</v>
      </c>
      <c r="D13" s="46">
        <v>60000</v>
      </c>
      <c r="E13" s="7"/>
      <c r="K13">
        <v>40350</v>
      </c>
      <c r="L13" t="s">
        <v>137</v>
      </c>
      <c r="M13" s="159">
        <v>770900</v>
      </c>
      <c r="N13" s="159">
        <v>500000</v>
      </c>
      <c r="O13" s="159">
        <v>500000</v>
      </c>
      <c r="P13" s="159">
        <v>656688.61</v>
      </c>
      <c r="Q13" s="159">
        <v>156688.60999999999</v>
      </c>
      <c r="R13" s="159">
        <v>270900</v>
      </c>
    </row>
    <row r="14" spans="1:19" ht="18" customHeight="1" x14ac:dyDescent="0.25">
      <c r="A14" s="21">
        <v>44110</v>
      </c>
      <c r="B14" s="22"/>
      <c r="C14" s="24" t="s">
        <v>1</v>
      </c>
      <c r="D14" s="46">
        <v>1600000</v>
      </c>
      <c r="E14" s="7"/>
      <c r="F14" s="180" t="s">
        <v>22</v>
      </c>
      <c r="G14" s="181"/>
      <c r="H14" s="181"/>
      <c r="I14" s="55" t="str">
        <f>+D7</f>
        <v>Actual Amount</v>
      </c>
      <c r="L14" t="s">
        <v>138</v>
      </c>
      <c r="M14" s="159">
        <v>727172500</v>
      </c>
      <c r="N14" s="159">
        <v>677688100</v>
      </c>
      <c r="O14" s="159">
        <v>677688100</v>
      </c>
      <c r="P14" s="159">
        <v>690460088.20000005</v>
      </c>
      <c r="Q14" s="159">
        <v>12771988.199999999</v>
      </c>
      <c r="R14" s="159">
        <v>49484400</v>
      </c>
    </row>
    <row r="15" spans="1:19" ht="15.75" customHeight="1" x14ac:dyDescent="0.25">
      <c r="A15" s="21">
        <v>49810</v>
      </c>
      <c r="B15" s="22"/>
      <c r="C15" s="17" t="s">
        <v>2</v>
      </c>
      <c r="D15" s="46">
        <v>0</v>
      </c>
      <c r="E15" s="7"/>
      <c r="F15" s="13"/>
      <c r="G15" s="45" t="s">
        <v>21</v>
      </c>
      <c r="H15" s="8"/>
      <c r="I15" s="48">
        <f>+D26</f>
        <v>1015201500</v>
      </c>
      <c r="K15">
        <v>41110</v>
      </c>
      <c r="L15" t="s">
        <v>139</v>
      </c>
      <c r="M15" s="159">
        <v>60000</v>
      </c>
      <c r="N15" s="159">
        <v>60000</v>
      </c>
      <c r="O15" s="159">
        <v>60000</v>
      </c>
      <c r="P15" s="159">
        <v>73475.86</v>
      </c>
      <c r="Q15" s="159">
        <v>13475.86</v>
      </c>
      <c r="R15" s="159">
        <v>0</v>
      </c>
    </row>
    <row r="16" spans="1:19" ht="15.75" customHeight="1" x14ac:dyDescent="0.4">
      <c r="A16" s="21"/>
      <c r="B16" s="22"/>
      <c r="C16" s="17"/>
      <c r="D16" s="47">
        <v>0</v>
      </c>
      <c r="E16" s="7"/>
      <c r="F16" s="13"/>
      <c r="G16" s="45" t="s">
        <v>23</v>
      </c>
      <c r="H16" s="8"/>
      <c r="I16" s="48">
        <f>+I8</f>
        <v>-16344243.5</v>
      </c>
      <c r="K16">
        <v>44110</v>
      </c>
      <c r="L16" t="s">
        <v>1</v>
      </c>
      <c r="M16" s="159">
        <v>0</v>
      </c>
      <c r="N16" s="159">
        <v>97000</v>
      </c>
      <c r="O16" s="159">
        <v>97000</v>
      </c>
      <c r="P16" s="159">
        <v>992583.32</v>
      </c>
      <c r="Q16" s="159">
        <v>895583.32</v>
      </c>
      <c r="R16" s="159">
        <v>-97000</v>
      </c>
    </row>
    <row r="17" spans="1:18" ht="15.75" customHeight="1" x14ac:dyDescent="0.4">
      <c r="A17" s="21" t="s">
        <v>119</v>
      </c>
      <c r="B17" s="22"/>
      <c r="C17" s="17" t="s">
        <v>37</v>
      </c>
      <c r="D17" s="47"/>
      <c r="E17" s="7"/>
      <c r="F17" s="13"/>
      <c r="G17" s="45" t="s">
        <v>26</v>
      </c>
      <c r="H17" s="8"/>
      <c r="I17" s="49">
        <v>-7055349</v>
      </c>
      <c r="K17">
        <v>44120</v>
      </c>
      <c r="L17" t="s">
        <v>140</v>
      </c>
      <c r="M17" s="159">
        <v>1600000</v>
      </c>
      <c r="N17" s="159">
        <v>1600000</v>
      </c>
      <c r="O17" s="159">
        <v>1600000</v>
      </c>
      <c r="P17" s="159">
        <v>1805125.28</v>
      </c>
      <c r="Q17" s="159">
        <v>205125.28</v>
      </c>
      <c r="R17" s="159">
        <v>0</v>
      </c>
    </row>
    <row r="18" spans="1:18" ht="15.75" customHeight="1" x14ac:dyDescent="0.4">
      <c r="A18" s="61"/>
      <c r="B18" s="22"/>
      <c r="C18" s="17"/>
      <c r="D18" s="47"/>
      <c r="E18" s="7"/>
      <c r="F18" s="13"/>
      <c r="G18" s="45" t="s">
        <v>24</v>
      </c>
      <c r="H18" s="8"/>
      <c r="I18" s="48">
        <f>SUM(I15:I17)</f>
        <v>991801907.5</v>
      </c>
      <c r="K18">
        <v>47630</v>
      </c>
      <c r="L18" t="s">
        <v>141</v>
      </c>
      <c r="M18" s="159">
        <v>0</v>
      </c>
      <c r="N18" s="159">
        <v>100000</v>
      </c>
      <c r="O18" s="159">
        <v>100000</v>
      </c>
      <c r="P18" s="159">
        <v>0</v>
      </c>
      <c r="Q18" s="159">
        <v>-100000</v>
      </c>
      <c r="R18" s="159">
        <v>-100000</v>
      </c>
    </row>
    <row r="19" spans="1:18" ht="15.75" customHeight="1" x14ac:dyDescent="0.4">
      <c r="A19" s="16"/>
      <c r="B19" s="17"/>
      <c r="C19" s="25" t="s">
        <v>7</v>
      </c>
      <c r="D19" s="26">
        <f>SUM(D8:D18)</f>
        <v>728832500</v>
      </c>
      <c r="E19" s="7"/>
      <c r="F19" s="13"/>
      <c r="G19" s="45" t="str">
        <f>+G10</f>
        <v>Prior Year ADM²</v>
      </c>
      <c r="H19" s="8"/>
      <c r="I19" s="49">
        <f>+D28</f>
        <v>81876</v>
      </c>
      <c r="K19">
        <v>49810</v>
      </c>
      <c r="L19" t="s">
        <v>142</v>
      </c>
      <c r="M19" s="159">
        <v>0</v>
      </c>
      <c r="N19" s="159">
        <v>0</v>
      </c>
      <c r="O19" s="159">
        <v>0</v>
      </c>
      <c r="P19" s="159">
        <v>2000584.44</v>
      </c>
      <c r="Q19" s="159">
        <v>2000584.44</v>
      </c>
      <c r="R19" s="159">
        <v>0</v>
      </c>
    </row>
    <row r="20" spans="1:18" ht="19.5" customHeight="1" thickBot="1" x14ac:dyDescent="0.5">
      <c r="A20" s="27"/>
      <c r="B20" s="28"/>
      <c r="C20" s="17"/>
      <c r="D20" s="29"/>
      <c r="E20" s="7"/>
      <c r="F20" s="13"/>
      <c r="G20" s="52" t="s">
        <v>31</v>
      </c>
      <c r="H20" s="8"/>
      <c r="I20" s="14"/>
      <c r="L20" t="s">
        <v>143</v>
      </c>
      <c r="M20" s="159">
        <v>728832500</v>
      </c>
      <c r="N20" s="159">
        <v>679545100</v>
      </c>
      <c r="O20" s="159">
        <v>679545100</v>
      </c>
      <c r="P20" s="159">
        <v>695331857.10000002</v>
      </c>
      <c r="Q20" s="159">
        <v>15786757.1</v>
      </c>
      <c r="R20" s="159">
        <v>49287400</v>
      </c>
    </row>
    <row r="21" spans="1:18" ht="24.75" customHeight="1" thickBot="1" x14ac:dyDescent="0.5">
      <c r="A21" s="18" t="s">
        <v>19</v>
      </c>
      <c r="B21" s="19"/>
      <c r="C21" s="19" t="s">
        <v>15</v>
      </c>
      <c r="D21" s="20" t="str">
        <f>+D7</f>
        <v>Actual Amount</v>
      </c>
      <c r="E21" s="7"/>
      <c r="F21" s="36"/>
      <c r="G21" s="53" t="s">
        <v>32</v>
      </c>
      <c r="H21" s="37"/>
      <c r="I21" s="41">
        <f>+I18/I19</f>
        <v>12113.463133274709</v>
      </c>
      <c r="K21" t="s">
        <v>144</v>
      </c>
      <c r="L21" t="s">
        <v>145</v>
      </c>
      <c r="M21" s="159">
        <v>0</v>
      </c>
      <c r="N21" s="159">
        <v>0</v>
      </c>
      <c r="O21" s="159">
        <v>0</v>
      </c>
      <c r="P21" s="159">
        <v>0</v>
      </c>
      <c r="Q21" s="159">
        <v>0</v>
      </c>
      <c r="R21" s="159">
        <v>0</v>
      </c>
    </row>
    <row r="22" spans="1:18" ht="15.75" x14ac:dyDescent="0.25">
      <c r="A22" s="21">
        <v>46511</v>
      </c>
      <c r="B22" s="22"/>
      <c r="C22" s="17" t="s">
        <v>3</v>
      </c>
      <c r="D22" s="46">
        <v>286369000</v>
      </c>
      <c r="E22" s="7"/>
      <c r="K22" t="s">
        <v>146</v>
      </c>
      <c r="L22" t="s">
        <v>147</v>
      </c>
      <c r="M22" s="159">
        <v>0</v>
      </c>
      <c r="N22" s="159">
        <v>0</v>
      </c>
      <c r="O22" s="159">
        <v>0</v>
      </c>
      <c r="P22" s="159">
        <v>0</v>
      </c>
      <c r="Q22" s="159">
        <v>0</v>
      </c>
      <c r="R22" s="159">
        <v>0</v>
      </c>
    </row>
    <row r="23" spans="1:18" ht="21.75" customHeight="1" x14ac:dyDescent="0.4">
      <c r="A23" s="21" t="s">
        <v>16</v>
      </c>
      <c r="B23" s="22"/>
      <c r="C23" s="23" t="s">
        <v>17</v>
      </c>
      <c r="D23" s="47"/>
      <c r="E23" s="7"/>
      <c r="F23" s="5" t="s">
        <v>33</v>
      </c>
      <c r="K23" t="s">
        <v>152</v>
      </c>
      <c r="L23" t="s">
        <v>148</v>
      </c>
      <c r="M23" s="159">
        <v>728832500</v>
      </c>
      <c r="N23" s="159">
        <v>679545100</v>
      </c>
      <c r="O23" s="159">
        <v>679545100</v>
      </c>
      <c r="P23" s="159">
        <v>695331857.10000002</v>
      </c>
      <c r="Q23" s="159">
        <v>15786757.1</v>
      </c>
      <c r="R23" s="159">
        <v>49287400</v>
      </c>
    </row>
    <row r="24" spans="1:18" ht="20.25" customHeight="1" x14ac:dyDescent="0.25">
      <c r="A24" s="16"/>
      <c r="B24" s="17"/>
      <c r="C24" s="25" t="s">
        <v>20</v>
      </c>
      <c r="D24" s="26">
        <f>SUM(D22:D23)</f>
        <v>286369000</v>
      </c>
      <c r="E24" s="7"/>
      <c r="F24" s="5" t="s">
        <v>111</v>
      </c>
      <c r="L24" t="s">
        <v>149</v>
      </c>
      <c r="M24" s="159">
        <v>0</v>
      </c>
    </row>
    <row r="25" spans="1:18" x14ac:dyDescent="0.25">
      <c r="A25" s="27"/>
      <c r="B25" s="28"/>
      <c r="C25" s="17"/>
      <c r="D25" s="30"/>
      <c r="E25" s="7"/>
      <c r="F25" s="1"/>
      <c r="L25" t="s">
        <v>150</v>
      </c>
      <c r="M25" s="159">
        <v>728832500</v>
      </c>
    </row>
    <row r="26" spans="1:18" ht="20.25" customHeight="1" x14ac:dyDescent="0.45">
      <c r="A26" s="16"/>
      <c r="B26" s="17"/>
      <c r="C26" s="31" t="s">
        <v>21</v>
      </c>
      <c r="D26" s="32">
        <f>+D19+D24</f>
        <v>1015201500</v>
      </c>
      <c r="L26" t="s">
        <v>151</v>
      </c>
      <c r="M26" s="159">
        <v>385242000</v>
      </c>
    </row>
    <row r="27" spans="1:18" ht="21" customHeight="1" x14ac:dyDescent="0.45">
      <c r="A27" s="16"/>
      <c r="B27" s="17"/>
      <c r="C27" s="31"/>
      <c r="D27" s="32"/>
    </row>
    <row r="28" spans="1:18" ht="18.75" customHeight="1" x14ac:dyDescent="0.3">
      <c r="A28" s="16"/>
      <c r="B28" s="17"/>
      <c r="C28" s="28" t="s">
        <v>121</v>
      </c>
      <c r="D28" s="33">
        <v>81876</v>
      </c>
      <c r="F28" s="10"/>
      <c r="G28" s="10"/>
      <c r="H28" s="10"/>
      <c r="I28" s="10"/>
    </row>
    <row r="29" spans="1:18" ht="18.75" x14ac:dyDescent="0.3">
      <c r="A29" s="16"/>
      <c r="B29" s="17"/>
      <c r="C29" s="28"/>
      <c r="D29" s="33"/>
      <c r="F29" s="10"/>
      <c r="G29" s="10"/>
      <c r="H29" s="10"/>
      <c r="I29" s="10"/>
    </row>
    <row r="30" spans="1:18" ht="16.5" customHeight="1" x14ac:dyDescent="0.45">
      <c r="A30" s="16"/>
      <c r="B30" s="17"/>
      <c r="C30" s="51" t="s">
        <v>29</v>
      </c>
      <c r="D30" s="32"/>
      <c r="F30" s="10"/>
      <c r="G30" s="10"/>
      <c r="H30" s="10"/>
      <c r="I30" s="10"/>
    </row>
    <row r="31" spans="1:18" ht="18" customHeight="1" thickBot="1" x14ac:dyDescent="0.5">
      <c r="A31" s="39"/>
      <c r="B31" s="40"/>
      <c r="C31" s="155" t="s">
        <v>30</v>
      </c>
      <c r="D31" s="78">
        <f>+D26/D28</f>
        <v>12399.256192290781</v>
      </c>
      <c r="F31" s="10"/>
      <c r="G31" s="10"/>
      <c r="H31" s="10"/>
      <c r="I31" s="10"/>
    </row>
    <row r="32" spans="1:18" s="10" customFormat="1" x14ac:dyDescent="0.25">
      <c r="D32" s="58"/>
    </row>
    <row r="33" spans="1:9" s="10" customFormat="1" x14ac:dyDescent="0.25"/>
    <row r="34" spans="1:9" s="10" customFormat="1" x14ac:dyDescent="0.25">
      <c r="D34" s="59"/>
    </row>
    <row r="35" spans="1:9" s="10" customFormat="1" ht="21" customHeight="1" x14ac:dyDescent="0.25">
      <c r="D35" s="60"/>
    </row>
    <row r="36" spans="1:9" s="10" customFormat="1" x14ac:dyDescent="0.25"/>
    <row r="37" spans="1:9" s="10" customFormat="1" x14ac:dyDescent="0.25">
      <c r="D37" s="60"/>
    </row>
    <row r="38" spans="1:9" s="10" customFormat="1" x14ac:dyDescent="0.25"/>
    <row r="39" spans="1:9" s="10" customFormat="1" x14ac:dyDescent="0.25"/>
    <row r="40" spans="1:9" s="10" customFormat="1" x14ac:dyDescent="0.25"/>
    <row r="41" spans="1:9" s="10" customFormat="1" x14ac:dyDescent="0.25"/>
    <row r="42" spans="1:9" s="10" customFormat="1" x14ac:dyDescent="0.25"/>
    <row r="43" spans="1:9" s="10" customFormat="1" x14ac:dyDescent="0.25"/>
    <row r="44" spans="1:9" s="10" customFormat="1" x14ac:dyDescent="0.25"/>
    <row r="45" spans="1:9" s="10" customFormat="1" x14ac:dyDescent="0.25"/>
    <row r="46" spans="1:9" s="10" customFormat="1" x14ac:dyDescent="0.25"/>
    <row r="47" spans="1:9" s="10" customFormat="1" x14ac:dyDescent="0.25">
      <c r="A47"/>
      <c r="B47"/>
      <c r="C47"/>
      <c r="D47"/>
    </row>
    <row r="48" spans="1:9" s="10" customFormat="1" x14ac:dyDescent="0.25">
      <c r="A48"/>
      <c r="B48" s="5"/>
      <c r="C48"/>
      <c r="D48"/>
      <c r="F48"/>
      <c r="G48"/>
      <c r="H48"/>
      <c r="I48"/>
    </row>
    <row r="49" spans="1:9" s="10" customFormat="1" x14ac:dyDescent="0.25">
      <c r="A49"/>
      <c r="B49"/>
      <c r="C49"/>
      <c r="D49"/>
      <c r="F49"/>
      <c r="G49"/>
      <c r="H49"/>
      <c r="I49"/>
    </row>
    <row r="50" spans="1:9" s="10" customFormat="1" x14ac:dyDescent="0.25">
      <c r="A50"/>
      <c r="B50"/>
      <c r="C50"/>
      <c r="D50"/>
      <c r="F50"/>
      <c r="G50"/>
      <c r="H50"/>
      <c r="I50"/>
    </row>
    <row r="51" spans="1:9" s="10" customFormat="1" x14ac:dyDescent="0.25">
      <c r="A51"/>
      <c r="B51"/>
      <c r="C51"/>
      <c r="D51"/>
      <c r="F51"/>
      <c r="G51"/>
      <c r="H51"/>
      <c r="I51"/>
    </row>
  </sheetData>
  <mergeCells count="4">
    <mergeCell ref="A1:C1"/>
    <mergeCell ref="F6:H6"/>
    <mergeCell ref="G11:G12"/>
    <mergeCell ref="F14:H14"/>
  </mergeCells>
  <pageMargins left="0.7" right="0.7" top="0.75" bottom="0.75" header="0.3" footer="0.3"/>
  <pageSetup scale="70" orientation="landscape" r:id="rId1"/>
  <headerFooter>
    <oddFooter>&amp;L&amp;D&amp;C&amp;F&amp;RPage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T32"/>
  <sheetViews>
    <sheetView zoomScale="70" zoomScaleNormal="70" workbookViewId="0">
      <selection activeCell="L1" sqref="L1:T1048576"/>
    </sheetView>
  </sheetViews>
  <sheetFormatPr defaultRowHeight="15" x14ac:dyDescent="0.25"/>
  <cols>
    <col min="1" max="1" width="17.7109375" customWidth="1"/>
    <col min="2" max="2" width="5.42578125" customWidth="1"/>
    <col min="3" max="3" width="51.140625" customWidth="1"/>
    <col min="4" max="4" width="19.7109375" customWidth="1"/>
    <col min="7" max="7" width="48.5703125" customWidth="1"/>
    <col min="8" max="8" width="3.5703125" customWidth="1"/>
    <col min="9" max="9" width="17.42578125" bestFit="1" customWidth="1"/>
    <col min="11" max="11" width="10.85546875" bestFit="1" customWidth="1"/>
    <col min="12" max="12" width="0" hidden="1" customWidth="1"/>
    <col min="13" max="13" width="18" hidden="1" customWidth="1"/>
    <col min="14" max="14" width="24.85546875" hidden="1" customWidth="1"/>
    <col min="15" max="20" width="0" hidden="1" customWidth="1"/>
  </cols>
  <sheetData>
    <row r="1" spans="1:20" ht="18.75" x14ac:dyDescent="0.3">
      <c r="A1" s="3" t="s">
        <v>41</v>
      </c>
    </row>
    <row r="2" spans="1:20" ht="18.75" x14ac:dyDescent="0.3">
      <c r="A2" s="3" t="s">
        <v>34</v>
      </c>
    </row>
    <row r="3" spans="1:20" ht="15.75" x14ac:dyDescent="0.25">
      <c r="A3" s="2" t="s">
        <v>14</v>
      </c>
    </row>
    <row r="5" spans="1:20" ht="15.75" thickBot="1" x14ac:dyDescent="0.3">
      <c r="D5" s="63" t="s">
        <v>4</v>
      </c>
    </row>
    <row r="6" spans="1:20" ht="90" x14ac:dyDescent="0.3">
      <c r="A6" s="56"/>
      <c r="B6" s="57"/>
      <c r="C6" s="57"/>
      <c r="D6" s="15" t="str">
        <f>+Davidson!D6</f>
        <v>2019-20</v>
      </c>
      <c r="F6" s="70" t="s">
        <v>27</v>
      </c>
      <c r="G6" s="71"/>
      <c r="H6" s="71"/>
      <c r="I6" s="72" t="str">
        <f>+D7</f>
        <v>Actual Amount</v>
      </c>
      <c r="L6" s="156" t="s">
        <v>123</v>
      </c>
      <c r="M6" s="156" t="s">
        <v>124</v>
      </c>
      <c r="N6" s="157" t="s">
        <v>125</v>
      </c>
      <c r="O6" s="157" t="s">
        <v>126</v>
      </c>
      <c r="P6" s="157" t="s">
        <v>127</v>
      </c>
      <c r="Q6" s="157" t="s">
        <v>128</v>
      </c>
      <c r="R6" s="157" t="s">
        <v>129</v>
      </c>
      <c r="S6" s="157" t="s">
        <v>130</v>
      </c>
      <c r="T6" s="156" t="s">
        <v>131</v>
      </c>
    </row>
    <row r="7" spans="1:20" ht="45" customHeight="1" x14ac:dyDescent="0.25">
      <c r="A7" s="18" t="s">
        <v>38</v>
      </c>
      <c r="B7" s="19"/>
      <c r="C7" s="19" t="s">
        <v>15</v>
      </c>
      <c r="D7" s="65" t="s">
        <v>114</v>
      </c>
      <c r="F7" s="11"/>
      <c r="G7" s="44" t="s">
        <v>21</v>
      </c>
      <c r="H7" s="9"/>
      <c r="I7" s="42">
        <f>+D24</f>
        <v>397840337</v>
      </c>
      <c r="L7" s="158">
        <v>40110</v>
      </c>
      <c r="M7" s="158" t="s">
        <v>132</v>
      </c>
      <c r="N7" s="160">
        <v>123000000</v>
      </c>
      <c r="O7" s="160">
        <v>120877585</v>
      </c>
      <c r="P7" s="160">
        <v>120877585</v>
      </c>
      <c r="Q7" s="160">
        <v>120544176</v>
      </c>
      <c r="R7" s="161">
        <v>-333409</v>
      </c>
      <c r="S7" s="161">
        <v>2122415</v>
      </c>
      <c r="T7" s="158"/>
    </row>
    <row r="8" spans="1:20" ht="21" customHeight="1" x14ac:dyDescent="0.25">
      <c r="A8" s="21" t="s">
        <v>13</v>
      </c>
      <c r="B8" s="17"/>
      <c r="C8" s="17" t="s">
        <v>6</v>
      </c>
      <c r="D8" s="29">
        <f>SUM(N7:N14)</f>
        <v>148850000</v>
      </c>
      <c r="F8" s="11"/>
      <c r="G8" s="44" t="s">
        <v>23</v>
      </c>
      <c r="H8" s="9"/>
      <c r="I8" s="73">
        <f>-35164974*0.3093</f>
        <v>-10876526.4582</v>
      </c>
      <c r="L8" s="158">
        <v>40120</v>
      </c>
      <c r="M8" s="158" t="s">
        <v>133</v>
      </c>
      <c r="N8" s="160">
        <v>2500000</v>
      </c>
      <c r="O8" s="160">
        <v>2314000</v>
      </c>
      <c r="P8" s="160">
        <v>2314000</v>
      </c>
      <c r="Q8" s="160">
        <v>1626195</v>
      </c>
      <c r="R8" s="162">
        <v>-687805</v>
      </c>
      <c r="S8" s="162">
        <v>186000</v>
      </c>
      <c r="T8" s="158"/>
    </row>
    <row r="9" spans="1:20" ht="21" customHeight="1" x14ac:dyDescent="0.25">
      <c r="A9" s="66">
        <v>40210</v>
      </c>
      <c r="B9" s="17"/>
      <c r="C9" s="17" t="s">
        <v>5</v>
      </c>
      <c r="D9" s="29">
        <f>+N15</f>
        <v>80000000</v>
      </c>
      <c r="F9" s="11"/>
      <c r="G9" s="44" t="s">
        <v>24</v>
      </c>
      <c r="H9" s="9"/>
      <c r="I9" s="42">
        <f>SUM(I7:I8)</f>
        <v>386963810.54180002</v>
      </c>
      <c r="L9" s="158">
        <v>40125</v>
      </c>
      <c r="M9" s="158" t="s">
        <v>153</v>
      </c>
      <c r="N9" s="160">
        <v>2100000</v>
      </c>
      <c r="O9" s="160">
        <v>0</v>
      </c>
      <c r="P9" s="160">
        <v>0</v>
      </c>
      <c r="Q9" s="160">
        <v>0</v>
      </c>
      <c r="R9" s="161">
        <v>0</v>
      </c>
      <c r="S9" s="162">
        <v>2100000</v>
      </c>
      <c r="T9" s="158"/>
    </row>
    <row r="10" spans="1:20" ht="21" customHeight="1" x14ac:dyDescent="0.25">
      <c r="A10" s="21" t="s">
        <v>8</v>
      </c>
      <c r="B10" s="17"/>
      <c r="C10" s="17" t="s">
        <v>9</v>
      </c>
      <c r="D10" s="148">
        <f>+N16</f>
        <v>1700000</v>
      </c>
      <c r="F10" s="11"/>
      <c r="G10" s="44" t="str">
        <f>+C26</f>
        <v>Prior Year ADM²</v>
      </c>
      <c r="H10" s="9"/>
      <c r="I10" s="73">
        <f>+D26</f>
        <v>43857.765349999994</v>
      </c>
      <c r="L10" s="158">
        <v>40130</v>
      </c>
      <c r="M10" s="158" t="s">
        <v>134</v>
      </c>
      <c r="N10" s="160">
        <v>0</v>
      </c>
      <c r="O10" s="160">
        <v>2060400</v>
      </c>
      <c r="P10" s="160">
        <v>2060400</v>
      </c>
      <c r="Q10" s="160">
        <v>1819063</v>
      </c>
      <c r="R10" s="162">
        <v>-241337</v>
      </c>
      <c r="S10" s="162">
        <v>-2060400</v>
      </c>
      <c r="T10" s="158"/>
    </row>
    <row r="11" spans="1:20" ht="21" customHeight="1" x14ac:dyDescent="0.25">
      <c r="A11" s="21" t="s">
        <v>10</v>
      </c>
      <c r="B11" s="17"/>
      <c r="C11" s="17" t="s">
        <v>11</v>
      </c>
      <c r="D11" s="29">
        <v>50000</v>
      </c>
      <c r="F11" s="11"/>
      <c r="G11" s="182" t="s">
        <v>25</v>
      </c>
      <c r="H11" s="9"/>
      <c r="I11" s="74"/>
      <c r="L11" s="158">
        <v>40140</v>
      </c>
      <c r="M11" s="158" t="s">
        <v>154</v>
      </c>
      <c r="N11" s="160">
        <v>1150000</v>
      </c>
      <c r="O11" s="160">
        <v>1133220</v>
      </c>
      <c r="P11" s="160">
        <v>1133220</v>
      </c>
      <c r="Q11" s="160">
        <v>1235008</v>
      </c>
      <c r="R11" s="162">
        <v>101788</v>
      </c>
      <c r="S11" s="161">
        <v>16780</v>
      </c>
      <c r="T11" s="158"/>
    </row>
    <row r="12" spans="1:20" ht="21" customHeight="1" thickBot="1" x14ac:dyDescent="0.5">
      <c r="A12" s="21" t="s">
        <v>35</v>
      </c>
      <c r="B12" s="17"/>
      <c r="C12" s="17" t="s">
        <v>36</v>
      </c>
      <c r="D12" s="29">
        <v>0</v>
      </c>
      <c r="F12" s="34"/>
      <c r="G12" s="183"/>
      <c r="H12" s="35"/>
      <c r="I12" s="78">
        <f>+I9/I10</f>
        <v>8823.1538349867169</v>
      </c>
      <c r="L12" s="158">
        <v>40161</v>
      </c>
      <c r="M12" s="158" t="s">
        <v>155</v>
      </c>
      <c r="N12" s="160">
        <v>6500000</v>
      </c>
      <c r="O12" s="160">
        <v>6216000</v>
      </c>
      <c r="P12" s="160">
        <v>6216000</v>
      </c>
      <c r="Q12" s="160">
        <v>6561915</v>
      </c>
      <c r="R12" s="162">
        <v>345915</v>
      </c>
      <c r="S12" s="161">
        <v>284000</v>
      </c>
      <c r="T12" s="158"/>
    </row>
    <row r="13" spans="1:20" ht="21" customHeight="1" thickBot="1" x14ac:dyDescent="0.3">
      <c r="A13" s="21" t="s">
        <v>12</v>
      </c>
      <c r="B13" s="17"/>
      <c r="C13" s="17" t="s">
        <v>0</v>
      </c>
      <c r="D13" s="29">
        <v>12000</v>
      </c>
      <c r="L13" s="158">
        <v>40162</v>
      </c>
      <c r="M13" s="158" t="s">
        <v>135</v>
      </c>
      <c r="N13" s="160">
        <v>4600000</v>
      </c>
      <c r="O13" s="160">
        <v>4600000</v>
      </c>
      <c r="P13" s="160">
        <v>4600000</v>
      </c>
      <c r="Q13" s="160">
        <v>4138900</v>
      </c>
      <c r="R13" s="162">
        <v>-461100</v>
      </c>
      <c r="S13" s="161">
        <v>0</v>
      </c>
      <c r="T13" s="158"/>
    </row>
    <row r="14" spans="1:20" ht="21" customHeight="1" x14ac:dyDescent="0.25">
      <c r="A14" s="66">
        <v>44110</v>
      </c>
      <c r="B14" s="17"/>
      <c r="C14" s="17" t="s">
        <v>1</v>
      </c>
      <c r="D14" s="29">
        <v>1000000</v>
      </c>
      <c r="F14" s="79" t="s">
        <v>22</v>
      </c>
      <c r="G14" s="80"/>
      <c r="H14" s="80"/>
      <c r="I14" s="81" t="str">
        <f>+D19</f>
        <v>Actual Amount</v>
      </c>
      <c r="L14" s="158">
        <v>40163</v>
      </c>
      <c r="M14" s="158" t="s">
        <v>156</v>
      </c>
      <c r="N14" s="160">
        <v>9000000</v>
      </c>
      <c r="O14" s="160">
        <v>7000000</v>
      </c>
      <c r="P14" s="160">
        <v>7000000</v>
      </c>
      <c r="Q14" s="160">
        <v>8955929</v>
      </c>
      <c r="R14" s="162">
        <v>1955929</v>
      </c>
      <c r="S14" s="162">
        <v>2000000</v>
      </c>
      <c r="T14" s="158"/>
    </row>
    <row r="15" spans="1:20" ht="21" customHeight="1" x14ac:dyDescent="0.25">
      <c r="A15" s="21">
        <v>49810</v>
      </c>
      <c r="B15" s="17"/>
      <c r="C15" s="17" t="s">
        <v>2</v>
      </c>
      <c r="D15" s="29"/>
      <c r="F15" s="13"/>
      <c r="G15" s="45" t="s">
        <v>21</v>
      </c>
      <c r="H15" s="8"/>
      <c r="I15" s="48">
        <f>+D24</f>
        <v>397840337</v>
      </c>
      <c r="L15" s="158">
        <v>40210</v>
      </c>
      <c r="M15" s="158" t="s">
        <v>5</v>
      </c>
      <c r="N15" s="160">
        <v>80000000</v>
      </c>
      <c r="O15" s="160">
        <v>73021904</v>
      </c>
      <c r="P15" s="160">
        <v>73021904</v>
      </c>
      <c r="Q15" s="160">
        <v>81365111</v>
      </c>
      <c r="R15" s="162">
        <v>8343207</v>
      </c>
      <c r="S15" s="162">
        <v>6978096</v>
      </c>
      <c r="T15" s="158"/>
    </row>
    <row r="16" spans="1:20" ht="21" customHeight="1" x14ac:dyDescent="0.25">
      <c r="A16" s="21" t="s">
        <v>109</v>
      </c>
      <c r="B16" s="17"/>
      <c r="C16" s="17" t="s">
        <v>110</v>
      </c>
      <c r="D16" s="67">
        <v>-3800663</v>
      </c>
      <c r="F16" s="13"/>
      <c r="G16" s="45" t="s">
        <v>23</v>
      </c>
      <c r="H16" s="8"/>
      <c r="I16" s="48">
        <f>+I8</f>
        <v>-10876526.4582</v>
      </c>
      <c r="L16" s="158">
        <v>40275</v>
      </c>
      <c r="M16" s="158" t="s">
        <v>136</v>
      </c>
      <c r="N16" s="160">
        <v>1700000</v>
      </c>
      <c r="O16" s="160">
        <v>1115000</v>
      </c>
      <c r="P16" s="160">
        <v>1115000</v>
      </c>
      <c r="Q16" s="160">
        <v>1797075</v>
      </c>
      <c r="R16" s="162">
        <v>682075</v>
      </c>
      <c r="S16" s="162">
        <v>585000</v>
      </c>
      <c r="T16" s="158"/>
    </row>
    <row r="17" spans="1:20" ht="21" customHeight="1" thickBot="1" x14ac:dyDescent="0.3">
      <c r="A17" s="16"/>
      <c r="B17" s="17"/>
      <c r="C17" s="25" t="s">
        <v>7</v>
      </c>
      <c r="D17" s="26">
        <f>SUM(D8:D16)</f>
        <v>227811337</v>
      </c>
      <c r="F17" s="13"/>
      <c r="G17" s="45" t="s">
        <v>26</v>
      </c>
      <c r="H17" s="8"/>
      <c r="I17" s="82">
        <f>-4513266</f>
        <v>-4513266</v>
      </c>
      <c r="L17" s="158">
        <v>40350</v>
      </c>
      <c r="M17" s="158" t="s">
        <v>137</v>
      </c>
      <c r="N17" s="160">
        <v>50000</v>
      </c>
      <c r="O17" s="160">
        <v>50000</v>
      </c>
      <c r="P17" s="160">
        <v>50000</v>
      </c>
      <c r="Q17" s="160">
        <v>2107</v>
      </c>
      <c r="R17" s="162">
        <v>-47893</v>
      </c>
      <c r="S17" s="161">
        <v>0</v>
      </c>
      <c r="T17" s="158"/>
    </row>
    <row r="18" spans="1:20" ht="21" customHeight="1" thickTop="1" x14ac:dyDescent="0.25">
      <c r="A18" s="16"/>
      <c r="B18" s="17"/>
      <c r="C18" s="17"/>
      <c r="D18" s="29"/>
      <c r="F18" s="13"/>
      <c r="G18" s="45" t="s">
        <v>24</v>
      </c>
      <c r="H18" s="8"/>
      <c r="I18" s="48">
        <f>SUM(I15:I17)</f>
        <v>382450544.54180002</v>
      </c>
      <c r="L18" s="163"/>
      <c r="M18" s="163" t="s">
        <v>138</v>
      </c>
      <c r="N18" s="164">
        <v>230600000</v>
      </c>
      <c r="O18" s="164">
        <v>218388109</v>
      </c>
      <c r="P18" s="164">
        <v>218388109</v>
      </c>
      <c r="Q18" s="164">
        <v>228045479</v>
      </c>
      <c r="R18" s="164">
        <v>9657370</v>
      </c>
      <c r="S18" s="164">
        <v>12211891</v>
      </c>
      <c r="T18" s="163"/>
    </row>
    <row r="19" spans="1:20" ht="21" customHeight="1" x14ac:dyDescent="0.25">
      <c r="A19" s="18" t="s">
        <v>39</v>
      </c>
      <c r="B19" s="19"/>
      <c r="C19" s="19" t="s">
        <v>15</v>
      </c>
      <c r="D19" s="65" t="str">
        <f>+D7</f>
        <v>Actual Amount</v>
      </c>
      <c r="F19" s="13"/>
      <c r="G19" s="45" t="str">
        <f>+G10</f>
        <v>Prior Year ADM²</v>
      </c>
      <c r="H19" s="8"/>
      <c r="I19" s="83">
        <f>+D26</f>
        <v>43857.765349999994</v>
      </c>
      <c r="L19" s="158">
        <v>41110</v>
      </c>
      <c r="M19" s="158" t="s">
        <v>139</v>
      </c>
      <c r="N19" s="160">
        <v>12000</v>
      </c>
      <c r="O19" s="160">
        <v>12500</v>
      </c>
      <c r="P19" s="160">
        <v>12500</v>
      </c>
      <c r="Q19" s="160">
        <v>11847</v>
      </c>
      <c r="R19" s="162">
        <v>-653</v>
      </c>
      <c r="S19" s="161">
        <v>-500</v>
      </c>
      <c r="T19" s="158"/>
    </row>
    <row r="20" spans="1:20" ht="21" customHeight="1" x14ac:dyDescent="0.3">
      <c r="A20" s="21">
        <v>46511</v>
      </c>
      <c r="B20" s="17"/>
      <c r="C20" s="17" t="s">
        <v>3</v>
      </c>
      <c r="D20" s="29">
        <v>170029000</v>
      </c>
      <c r="F20" s="13"/>
      <c r="G20" s="84" t="s">
        <v>31</v>
      </c>
      <c r="H20" s="8"/>
      <c r="I20" s="85"/>
      <c r="L20" s="158">
        <v>44110</v>
      </c>
      <c r="M20" s="158" t="s">
        <v>1</v>
      </c>
      <c r="N20" s="160">
        <v>1000000</v>
      </c>
      <c r="O20" s="160">
        <v>250000</v>
      </c>
      <c r="P20" s="160">
        <v>250000</v>
      </c>
      <c r="Q20" s="160">
        <v>2906327</v>
      </c>
      <c r="R20" s="162">
        <v>2656327</v>
      </c>
      <c r="S20" s="162">
        <v>750000</v>
      </c>
      <c r="T20" s="158"/>
    </row>
    <row r="21" spans="1:20" ht="21" customHeight="1" thickBot="1" x14ac:dyDescent="0.5">
      <c r="A21" s="21" t="s">
        <v>16</v>
      </c>
      <c r="B21" s="17"/>
      <c r="C21" s="17" t="s">
        <v>17</v>
      </c>
      <c r="D21" s="67">
        <v>0</v>
      </c>
      <c r="F21" s="36"/>
      <c r="G21" s="86" t="s">
        <v>32</v>
      </c>
      <c r="H21" s="37"/>
      <c r="I21" s="78">
        <f>+I18/I19</f>
        <v>8720.2469503339635</v>
      </c>
      <c r="L21" s="158">
        <v>44120</v>
      </c>
      <c r="M21" s="158" t="s">
        <v>140</v>
      </c>
      <c r="N21" s="160">
        <v>0</v>
      </c>
      <c r="O21" s="160">
        <v>0</v>
      </c>
      <c r="P21" s="160">
        <v>0</v>
      </c>
      <c r="Q21" s="160">
        <v>7200</v>
      </c>
      <c r="R21" s="162">
        <v>7200</v>
      </c>
      <c r="S21" s="161">
        <v>0</v>
      </c>
      <c r="T21" s="158"/>
    </row>
    <row r="22" spans="1:20" ht="21" customHeight="1" x14ac:dyDescent="0.25">
      <c r="A22" s="16"/>
      <c r="B22" s="17"/>
      <c r="C22" s="25" t="s">
        <v>20</v>
      </c>
      <c r="D22" s="26">
        <f>SUM(D20:D21)</f>
        <v>170029000</v>
      </c>
      <c r="L22" s="158">
        <v>47630</v>
      </c>
      <c r="M22" s="158" t="s">
        <v>141</v>
      </c>
      <c r="N22" s="160">
        <v>0</v>
      </c>
      <c r="O22" s="160">
        <v>40000</v>
      </c>
      <c r="P22" s="160">
        <v>40000</v>
      </c>
      <c r="Q22" s="160">
        <v>5026</v>
      </c>
      <c r="R22" s="162">
        <v>-34974</v>
      </c>
      <c r="S22" s="162">
        <v>-40000</v>
      </c>
      <c r="T22" s="158"/>
    </row>
    <row r="23" spans="1:20" ht="21" customHeight="1" x14ac:dyDescent="0.25">
      <c r="A23" s="16"/>
      <c r="B23" s="17"/>
      <c r="C23" s="17"/>
      <c r="D23" s="29"/>
      <c r="F23" s="75" t="s">
        <v>40</v>
      </c>
      <c r="L23" s="163"/>
      <c r="M23" s="163" t="s">
        <v>143</v>
      </c>
      <c r="N23" s="164">
        <v>231612000</v>
      </c>
      <c r="O23" s="164">
        <v>218690609</v>
      </c>
      <c r="P23" s="164">
        <v>218690609</v>
      </c>
      <c r="Q23" s="164">
        <v>230975879</v>
      </c>
      <c r="R23" s="164">
        <v>12285270</v>
      </c>
      <c r="S23" s="164">
        <v>12921391</v>
      </c>
      <c r="T23" s="163"/>
    </row>
    <row r="24" spans="1:20" ht="21" customHeight="1" x14ac:dyDescent="0.3">
      <c r="A24" s="16"/>
      <c r="B24" s="17"/>
      <c r="C24" s="31" t="s">
        <v>21</v>
      </c>
      <c r="D24" s="68">
        <f>+D17+D22</f>
        <v>397840337</v>
      </c>
      <c r="F24" s="75" t="s">
        <v>111</v>
      </c>
      <c r="L24" s="158" t="s">
        <v>144</v>
      </c>
      <c r="M24" s="158" t="s">
        <v>145</v>
      </c>
      <c r="N24" s="160">
        <v>0</v>
      </c>
      <c r="O24" s="160">
        <v>0</v>
      </c>
      <c r="P24" s="160">
        <v>0</v>
      </c>
      <c r="Q24" s="160">
        <v>0</v>
      </c>
      <c r="R24" s="160">
        <v>0</v>
      </c>
      <c r="S24" s="160">
        <v>0</v>
      </c>
      <c r="T24" s="158"/>
    </row>
    <row r="25" spans="1:20" ht="21" customHeight="1" x14ac:dyDescent="0.25">
      <c r="A25" s="16"/>
      <c r="B25" s="17"/>
      <c r="C25" s="17"/>
      <c r="D25" s="29"/>
      <c r="L25" s="158" t="s">
        <v>146</v>
      </c>
      <c r="M25" s="158" t="s">
        <v>147</v>
      </c>
      <c r="N25" s="160">
        <v>0</v>
      </c>
      <c r="O25" s="160">
        <v>0</v>
      </c>
      <c r="P25" s="160">
        <v>0</v>
      </c>
      <c r="Q25" s="160">
        <v>0</v>
      </c>
      <c r="R25" s="160">
        <v>0</v>
      </c>
      <c r="S25" s="160">
        <v>0</v>
      </c>
      <c r="T25" s="158"/>
    </row>
    <row r="26" spans="1:20" ht="21" customHeight="1" x14ac:dyDescent="0.3">
      <c r="A26" s="16"/>
      <c r="B26" s="17"/>
      <c r="C26" s="28" t="s">
        <v>120</v>
      </c>
      <c r="D26" s="33">
        <v>43857.765349999994</v>
      </c>
      <c r="F26" s="89" t="s">
        <v>43</v>
      </c>
      <c r="G26" s="90"/>
      <c r="H26" s="90"/>
      <c r="I26" s="91"/>
      <c r="L26" s="163"/>
      <c r="M26" s="163" t="s">
        <v>148</v>
      </c>
      <c r="N26" s="164">
        <v>231612000</v>
      </c>
      <c r="O26" s="164">
        <v>218690609</v>
      </c>
      <c r="P26" s="164">
        <v>218690609</v>
      </c>
      <c r="Q26" s="164">
        <v>230975879</v>
      </c>
      <c r="R26" s="164">
        <v>12285270</v>
      </c>
      <c r="S26" s="164">
        <v>12921391</v>
      </c>
      <c r="T26" s="163"/>
    </row>
    <row r="27" spans="1:20" ht="21" customHeight="1" x14ac:dyDescent="0.25">
      <c r="A27" s="16"/>
      <c r="B27" s="17"/>
      <c r="C27" s="17"/>
      <c r="D27" s="150"/>
      <c r="F27" s="92" t="s">
        <v>44</v>
      </c>
      <c r="G27" s="7"/>
      <c r="H27" s="7"/>
      <c r="I27" s="93"/>
    </row>
    <row r="28" spans="1:20" ht="21" customHeight="1" x14ac:dyDescent="0.3">
      <c r="A28" s="16"/>
      <c r="B28" s="17"/>
      <c r="C28" s="31" t="s">
        <v>29</v>
      </c>
      <c r="D28" s="29"/>
      <c r="F28" s="92" t="s">
        <v>45</v>
      </c>
      <c r="G28" s="7"/>
      <c r="H28" s="7"/>
      <c r="I28" s="93"/>
    </row>
    <row r="29" spans="1:20" ht="21" customHeight="1" thickBot="1" x14ac:dyDescent="0.35">
      <c r="A29" s="39"/>
      <c r="B29" s="40"/>
      <c r="C29" s="50" t="s">
        <v>30</v>
      </c>
      <c r="D29" s="77">
        <f>+D24/D26</f>
        <v>9071.1492896434138</v>
      </c>
      <c r="F29" s="94" t="s">
        <v>46</v>
      </c>
      <c r="G29" s="7"/>
      <c r="H29" s="7"/>
      <c r="I29" s="93"/>
    </row>
    <row r="30" spans="1:20" ht="21" customHeight="1" x14ac:dyDescent="0.25">
      <c r="D30" s="62"/>
      <c r="F30" s="92" t="s">
        <v>47</v>
      </c>
      <c r="G30" s="7"/>
      <c r="H30" s="7"/>
      <c r="I30" s="93"/>
    </row>
    <row r="31" spans="1:20" ht="21" customHeight="1" x14ac:dyDescent="0.25">
      <c r="F31" s="94" t="s">
        <v>48</v>
      </c>
      <c r="G31" s="7"/>
      <c r="H31" s="7"/>
      <c r="I31" s="93"/>
    </row>
    <row r="32" spans="1:20" x14ac:dyDescent="0.25">
      <c r="F32" s="95" t="s">
        <v>49</v>
      </c>
      <c r="G32" s="96"/>
      <c r="H32" s="96"/>
      <c r="I32" s="97"/>
    </row>
  </sheetData>
  <mergeCells count="1">
    <mergeCell ref="G11:G12"/>
  </mergeCells>
  <pageMargins left="0.7" right="0.7" top="0.75" bottom="0.75" header="0.3" footer="0.3"/>
  <pageSetup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32"/>
  <sheetViews>
    <sheetView zoomScale="70" zoomScaleNormal="70" workbookViewId="0">
      <selection activeCell="K1" sqref="K1:S1048576"/>
    </sheetView>
  </sheetViews>
  <sheetFormatPr defaultRowHeight="15" x14ac:dyDescent="0.25"/>
  <cols>
    <col min="1" max="1" width="16.140625" customWidth="1"/>
    <col min="3" max="3" width="51.140625" customWidth="1"/>
    <col min="4" max="4" width="19.7109375" customWidth="1"/>
    <col min="5" max="5" width="6.85546875" customWidth="1"/>
    <col min="6" max="6" width="6" customWidth="1"/>
    <col min="7" max="7" width="58.5703125" customWidth="1"/>
    <col min="8" max="8" width="4" customWidth="1"/>
    <col min="9" max="9" width="19.28515625" customWidth="1"/>
    <col min="10" max="10" width="10.85546875" bestFit="1" customWidth="1"/>
    <col min="11" max="11" width="17.85546875" hidden="1" customWidth="1"/>
    <col min="12" max="12" width="13.5703125" hidden="1" customWidth="1"/>
    <col min="13" max="13" width="21.42578125" hidden="1" customWidth="1"/>
    <col min="14" max="19" width="0" hidden="1" customWidth="1"/>
  </cols>
  <sheetData>
    <row r="1" spans="1:19" ht="18.75" x14ac:dyDescent="0.3">
      <c r="A1" s="3" t="s">
        <v>115</v>
      </c>
    </row>
    <row r="2" spans="1:19" ht="18.75" x14ac:dyDescent="0.3">
      <c r="A2" s="3" t="s">
        <v>34</v>
      </c>
    </row>
    <row r="3" spans="1:19" ht="15.75" x14ac:dyDescent="0.25">
      <c r="A3" s="2" t="s">
        <v>14</v>
      </c>
    </row>
    <row r="5" spans="1:19" ht="15.75" thickBot="1" x14ac:dyDescent="0.3">
      <c r="D5" s="63" t="s">
        <v>4</v>
      </c>
    </row>
    <row r="6" spans="1:19" ht="90" x14ac:dyDescent="0.3">
      <c r="A6" s="56"/>
      <c r="B6" s="57"/>
      <c r="C6" s="57"/>
      <c r="D6" s="15" t="str">
        <f>+Davidson!D6</f>
        <v>2019-20</v>
      </c>
      <c r="F6" s="70" t="s">
        <v>27</v>
      </c>
      <c r="G6" s="71"/>
      <c r="H6" s="71"/>
      <c r="I6" s="72" t="str">
        <f>+D7</f>
        <v>Actual Amount</v>
      </c>
      <c r="K6" s="156" t="s">
        <v>123</v>
      </c>
      <c r="L6" s="156" t="s">
        <v>124</v>
      </c>
      <c r="M6" s="157" t="s">
        <v>125</v>
      </c>
      <c r="N6" s="157" t="s">
        <v>126</v>
      </c>
      <c r="O6" s="157" t="s">
        <v>127</v>
      </c>
      <c r="P6" s="157" t="s">
        <v>128</v>
      </c>
      <c r="Q6" s="157" t="s">
        <v>129</v>
      </c>
      <c r="R6" s="157" t="s">
        <v>130</v>
      </c>
      <c r="S6" s="156" t="s">
        <v>131</v>
      </c>
    </row>
    <row r="7" spans="1:19" ht="45" x14ac:dyDescent="0.25">
      <c r="A7" s="18" t="s">
        <v>38</v>
      </c>
      <c r="B7" s="19"/>
      <c r="C7" s="19" t="s">
        <v>15</v>
      </c>
      <c r="D7" s="65" t="s">
        <v>114</v>
      </c>
      <c r="F7" s="11"/>
      <c r="G7" s="44" t="s">
        <v>21</v>
      </c>
      <c r="H7" s="9"/>
      <c r="I7" s="42">
        <f>+D24</f>
        <v>495543134</v>
      </c>
      <c r="K7" s="158">
        <v>40110</v>
      </c>
      <c r="L7" s="158" t="s">
        <v>132</v>
      </c>
      <c r="M7" s="160">
        <v>101120000</v>
      </c>
      <c r="N7" s="160">
        <v>99060000</v>
      </c>
      <c r="O7" s="160">
        <v>99060000</v>
      </c>
      <c r="P7" s="160">
        <v>98943406.120000005</v>
      </c>
      <c r="Q7" s="161">
        <v>-116593.88</v>
      </c>
      <c r="R7" s="161">
        <v>2060000</v>
      </c>
      <c r="S7" s="158"/>
    </row>
    <row r="8" spans="1:19" ht="21" customHeight="1" x14ac:dyDescent="0.25">
      <c r="A8" s="21" t="s">
        <v>13</v>
      </c>
      <c r="B8" s="17"/>
      <c r="C8" s="17" t="s">
        <v>6</v>
      </c>
      <c r="D8" s="29">
        <v>104570000</v>
      </c>
      <c r="F8" s="11"/>
      <c r="G8" s="44" t="s">
        <v>23</v>
      </c>
      <c r="H8" s="9"/>
      <c r="I8" s="73">
        <f>-+'[1]How to'!$R$233*0.3314</f>
        <v>-30427185.009097319</v>
      </c>
      <c r="K8" s="158">
        <v>40120</v>
      </c>
      <c r="L8" s="158" t="s">
        <v>133</v>
      </c>
      <c r="M8" s="160">
        <v>1050000</v>
      </c>
      <c r="N8" s="160">
        <v>980000</v>
      </c>
      <c r="O8" s="160">
        <v>980000</v>
      </c>
      <c r="P8" s="160">
        <v>1126406.79</v>
      </c>
      <c r="Q8" s="162">
        <v>146406.79</v>
      </c>
      <c r="R8" s="162">
        <v>70000</v>
      </c>
      <c r="S8" s="158"/>
    </row>
    <row r="9" spans="1:19" ht="21" customHeight="1" x14ac:dyDescent="0.25">
      <c r="A9" s="21">
        <v>40210</v>
      </c>
      <c r="B9" s="17"/>
      <c r="C9" s="17" t="s">
        <v>5</v>
      </c>
      <c r="D9" s="29">
        <f>+M11</f>
        <v>159439000</v>
      </c>
      <c r="F9" s="11"/>
      <c r="G9" s="44" t="s">
        <v>24</v>
      </c>
      <c r="H9" s="9"/>
      <c r="I9" s="42">
        <f>SUM(I7:I8)</f>
        <v>465115948.99090266</v>
      </c>
      <c r="K9" s="158">
        <v>40130</v>
      </c>
      <c r="L9" s="158" t="s">
        <v>134</v>
      </c>
      <c r="M9" s="160">
        <v>1500000</v>
      </c>
      <c r="N9" s="160">
        <v>1750000</v>
      </c>
      <c r="O9" s="160">
        <v>1750000</v>
      </c>
      <c r="P9" s="160">
        <v>1184883.7</v>
      </c>
      <c r="Q9" s="162">
        <v>-565116.30000000005</v>
      </c>
      <c r="R9" s="162">
        <v>-250000</v>
      </c>
      <c r="S9" s="158"/>
    </row>
    <row r="10" spans="1:19" ht="21" customHeight="1" x14ac:dyDescent="0.25">
      <c r="A10" s="21" t="s">
        <v>8</v>
      </c>
      <c r="B10" s="17"/>
      <c r="C10" s="17" t="s">
        <v>9</v>
      </c>
      <c r="D10" s="29">
        <f>SUM(M12:M13)</f>
        <v>4004000</v>
      </c>
      <c r="F10" s="11"/>
      <c r="G10" s="44" t="str">
        <f>+C26</f>
        <v>Prior Year ADM²</v>
      </c>
      <c r="H10" s="9"/>
      <c r="I10" s="73">
        <f>+D26</f>
        <v>58918</v>
      </c>
      <c r="K10" s="158">
        <v>40140</v>
      </c>
      <c r="L10" s="158" t="s">
        <v>154</v>
      </c>
      <c r="M10" s="160">
        <v>900000</v>
      </c>
      <c r="N10" s="160">
        <v>925000</v>
      </c>
      <c r="O10" s="160">
        <v>925000</v>
      </c>
      <c r="P10" s="160">
        <v>670897.64</v>
      </c>
      <c r="Q10" s="162">
        <v>-254102.36</v>
      </c>
      <c r="R10" s="161">
        <v>-25000</v>
      </c>
      <c r="S10" s="158"/>
    </row>
    <row r="11" spans="1:19" ht="21" customHeight="1" x14ac:dyDescent="0.25">
      <c r="A11" s="21" t="s">
        <v>10</v>
      </c>
      <c r="B11" s="17"/>
      <c r="C11" s="17" t="s">
        <v>11</v>
      </c>
      <c r="D11" s="29">
        <f>+M14</f>
        <v>1000000</v>
      </c>
      <c r="F11" s="11"/>
      <c r="G11" s="182" t="s">
        <v>25</v>
      </c>
      <c r="H11" s="9"/>
      <c r="I11" s="74"/>
      <c r="K11" s="158">
        <v>40210</v>
      </c>
      <c r="L11" s="158" t="s">
        <v>5</v>
      </c>
      <c r="M11" s="160">
        <v>159439000</v>
      </c>
      <c r="N11" s="160">
        <v>149761000</v>
      </c>
      <c r="O11" s="160">
        <v>149810000</v>
      </c>
      <c r="P11" s="160">
        <v>158056554.41999999</v>
      </c>
      <c r="Q11" s="162">
        <v>8295554.4199999999</v>
      </c>
      <c r="R11" s="162">
        <v>9678000</v>
      </c>
      <c r="S11" s="158"/>
    </row>
    <row r="12" spans="1:19" ht="21" customHeight="1" thickBot="1" x14ac:dyDescent="0.5">
      <c r="A12" s="21" t="s">
        <v>35</v>
      </c>
      <c r="B12" s="17"/>
      <c r="C12" s="17" t="s">
        <v>36</v>
      </c>
      <c r="D12" s="29"/>
      <c r="F12" s="34"/>
      <c r="G12" s="183"/>
      <c r="H12" s="35"/>
      <c r="I12" s="78">
        <f>+I9/I10</f>
        <v>7894.2928984504342</v>
      </c>
      <c r="K12" s="158">
        <v>40240</v>
      </c>
      <c r="L12" s="158" t="s">
        <v>157</v>
      </c>
      <c r="M12" s="160">
        <v>1704000</v>
      </c>
      <c r="N12" s="160">
        <v>1650000</v>
      </c>
      <c r="O12" s="160">
        <v>1650000</v>
      </c>
      <c r="P12" s="160">
        <v>1719671.56</v>
      </c>
      <c r="Q12" s="161">
        <v>69671.56</v>
      </c>
      <c r="R12" s="161">
        <v>54000</v>
      </c>
      <c r="S12" s="158"/>
    </row>
    <row r="13" spans="1:19" ht="21" customHeight="1" thickBot="1" x14ac:dyDescent="0.3">
      <c r="A13" s="21" t="s">
        <v>12</v>
      </c>
      <c r="B13" s="17"/>
      <c r="C13" s="17" t="s">
        <v>0</v>
      </c>
      <c r="D13" s="29">
        <v>35000</v>
      </c>
      <c r="K13" s="158">
        <v>40275</v>
      </c>
      <c r="L13" s="158" t="s">
        <v>136</v>
      </c>
      <c r="M13" s="160">
        <v>2300000</v>
      </c>
      <c r="N13" s="160">
        <v>2300000</v>
      </c>
      <c r="O13" s="160">
        <v>2300000</v>
      </c>
      <c r="P13" s="160">
        <v>2047077.65</v>
      </c>
      <c r="Q13" s="162">
        <v>-252922.35</v>
      </c>
      <c r="R13" s="161">
        <v>0</v>
      </c>
      <c r="S13" s="158"/>
    </row>
    <row r="14" spans="1:19" ht="21" customHeight="1" x14ac:dyDescent="0.25">
      <c r="A14" s="21">
        <v>44110</v>
      </c>
      <c r="B14" s="17"/>
      <c r="C14" s="17" t="s">
        <v>1</v>
      </c>
      <c r="D14" s="29">
        <v>500000</v>
      </c>
      <c r="F14" s="79" t="s">
        <v>22</v>
      </c>
      <c r="G14" s="80"/>
      <c r="H14" s="80"/>
      <c r="I14" s="81" t="str">
        <f>+D7</f>
        <v>Actual Amount</v>
      </c>
      <c r="K14" s="158">
        <v>40390</v>
      </c>
      <c r="L14" s="158" t="s">
        <v>158</v>
      </c>
      <c r="M14" s="160">
        <v>1000000</v>
      </c>
      <c r="N14" s="160">
        <v>1080000</v>
      </c>
      <c r="O14" s="160">
        <v>1080000</v>
      </c>
      <c r="P14" s="160">
        <v>1079817.1200000001</v>
      </c>
      <c r="Q14" s="161">
        <v>-182.88</v>
      </c>
      <c r="R14" s="162">
        <v>-80000</v>
      </c>
      <c r="S14" s="158"/>
    </row>
    <row r="15" spans="1:19" ht="21" customHeight="1" x14ac:dyDescent="0.25">
      <c r="A15" s="21">
        <v>49810</v>
      </c>
      <c r="B15" s="17"/>
      <c r="C15" s="17" t="s">
        <v>2</v>
      </c>
      <c r="D15" s="29">
        <v>0</v>
      </c>
      <c r="F15" s="13"/>
      <c r="G15" s="45" t="s">
        <v>21</v>
      </c>
      <c r="H15" s="8"/>
      <c r="I15" s="48">
        <f>+D24</f>
        <v>495543134</v>
      </c>
      <c r="K15" s="163"/>
      <c r="L15" s="163" t="s">
        <v>138</v>
      </c>
      <c r="M15" s="164">
        <v>269013000</v>
      </c>
      <c r="N15" s="164">
        <v>257506000</v>
      </c>
      <c r="O15" s="164">
        <v>257555000</v>
      </c>
      <c r="P15" s="164">
        <v>264828715</v>
      </c>
      <c r="Q15" s="164">
        <v>7322715</v>
      </c>
      <c r="R15" s="164">
        <v>11507000</v>
      </c>
      <c r="S15" s="163"/>
    </row>
    <row r="16" spans="1:19" ht="21" customHeight="1" x14ac:dyDescent="0.25">
      <c r="A16" s="21" t="s">
        <v>109</v>
      </c>
      <c r="B16" s="17"/>
      <c r="C16" s="17" t="s">
        <v>110</v>
      </c>
      <c r="D16" s="67">
        <v>-4240866</v>
      </c>
      <c r="F16" s="13"/>
      <c r="G16" s="45" t="s">
        <v>23</v>
      </c>
      <c r="H16" s="8"/>
      <c r="I16" s="48">
        <f>+I8</f>
        <v>-30427185.009097319</v>
      </c>
      <c r="K16" s="158">
        <v>41110</v>
      </c>
      <c r="L16" s="158" t="s">
        <v>139</v>
      </c>
      <c r="M16" s="160">
        <v>35000</v>
      </c>
      <c r="N16" s="160">
        <v>35000</v>
      </c>
      <c r="O16" s="160">
        <v>35000</v>
      </c>
      <c r="P16" s="160">
        <v>36501.21</v>
      </c>
      <c r="Q16" s="161">
        <v>1501.21</v>
      </c>
      <c r="R16" s="161">
        <v>0</v>
      </c>
      <c r="S16" s="158"/>
    </row>
    <row r="17" spans="1:19" ht="21" customHeight="1" thickBot="1" x14ac:dyDescent="0.3">
      <c r="A17" s="16"/>
      <c r="B17" s="17"/>
      <c r="C17" s="25" t="s">
        <v>7</v>
      </c>
      <c r="D17" s="26">
        <f>SUM(D8:D16)</f>
        <v>265307134</v>
      </c>
      <c r="F17" s="13"/>
      <c r="G17" s="45" t="s">
        <v>26</v>
      </c>
      <c r="H17" s="8"/>
      <c r="I17" s="82">
        <v>-6834220</v>
      </c>
      <c r="K17" s="158">
        <v>44120</v>
      </c>
      <c r="L17" s="158" t="s">
        <v>140</v>
      </c>
      <c r="M17" s="160">
        <v>500000</v>
      </c>
      <c r="N17" s="160">
        <v>425000</v>
      </c>
      <c r="O17" s="160">
        <v>425000</v>
      </c>
      <c r="P17" s="160">
        <v>515894.43</v>
      </c>
      <c r="Q17" s="162">
        <v>90894.43</v>
      </c>
      <c r="R17" s="162">
        <v>75000</v>
      </c>
      <c r="S17" s="158"/>
    </row>
    <row r="18" spans="1:19" ht="21" customHeight="1" thickTop="1" x14ac:dyDescent="0.25">
      <c r="A18" s="16"/>
      <c r="B18" s="17"/>
      <c r="C18" s="17"/>
      <c r="D18" s="29"/>
      <c r="F18" s="13"/>
      <c r="G18" s="45" t="s">
        <v>24</v>
      </c>
      <c r="H18" s="8"/>
      <c r="I18" s="48">
        <f>SUM(I15:I17)</f>
        <v>458281728.99090266</v>
      </c>
      <c r="K18" s="163"/>
      <c r="L18" s="163" t="s">
        <v>143</v>
      </c>
      <c r="M18" s="164">
        <v>269548000</v>
      </c>
      <c r="N18" s="164">
        <v>257966000</v>
      </c>
      <c r="O18" s="164">
        <v>258015000</v>
      </c>
      <c r="P18" s="164">
        <v>265381110.63999999</v>
      </c>
      <c r="Q18" s="164">
        <v>7415110.6399999997</v>
      </c>
      <c r="R18" s="164">
        <v>11582000</v>
      </c>
      <c r="S18" s="163"/>
    </row>
    <row r="19" spans="1:19" ht="21" customHeight="1" x14ac:dyDescent="0.25">
      <c r="A19" s="18" t="s">
        <v>39</v>
      </c>
      <c r="B19" s="19"/>
      <c r="C19" s="19" t="s">
        <v>15</v>
      </c>
      <c r="D19" s="65" t="str">
        <f>+D7</f>
        <v>Actual Amount</v>
      </c>
      <c r="F19" s="13"/>
      <c r="G19" s="45" t="str">
        <f>+G10</f>
        <v>Prior Year ADM²</v>
      </c>
      <c r="H19" s="8"/>
      <c r="I19" s="83">
        <f>+D26</f>
        <v>58918</v>
      </c>
      <c r="K19" s="158" t="s">
        <v>144</v>
      </c>
      <c r="L19" s="158" t="s">
        <v>145</v>
      </c>
      <c r="M19" s="160">
        <v>0</v>
      </c>
      <c r="N19" s="160">
        <v>0</v>
      </c>
      <c r="O19" s="160">
        <v>0</v>
      </c>
      <c r="P19" s="160">
        <v>0</v>
      </c>
      <c r="Q19" s="160">
        <v>0</v>
      </c>
      <c r="R19" s="160">
        <v>0</v>
      </c>
      <c r="S19" s="158"/>
    </row>
    <row r="20" spans="1:19" ht="21" customHeight="1" x14ac:dyDescent="0.3">
      <c r="A20" s="21">
        <v>46511</v>
      </c>
      <c r="B20" s="17"/>
      <c r="C20" s="17" t="s">
        <v>3</v>
      </c>
      <c r="D20" s="29">
        <f>+[1]BEPFINAL!$X$84</f>
        <v>230236000</v>
      </c>
      <c r="F20" s="13"/>
      <c r="G20" s="87" t="s">
        <v>31</v>
      </c>
      <c r="H20" s="8"/>
      <c r="I20" s="85"/>
      <c r="K20" s="158" t="s">
        <v>146</v>
      </c>
      <c r="L20" s="158" t="s">
        <v>147</v>
      </c>
      <c r="M20" s="160">
        <v>0</v>
      </c>
      <c r="N20" s="160">
        <v>0</v>
      </c>
      <c r="O20" s="160">
        <v>0</v>
      </c>
      <c r="P20" s="160">
        <v>0</v>
      </c>
      <c r="Q20" s="160">
        <v>0</v>
      </c>
      <c r="R20" s="160">
        <v>0</v>
      </c>
      <c r="S20" s="158"/>
    </row>
    <row r="21" spans="1:19" ht="21" customHeight="1" thickBot="1" x14ac:dyDescent="0.5">
      <c r="A21" s="21" t="s">
        <v>16</v>
      </c>
      <c r="B21" s="17"/>
      <c r="C21" s="17" t="s">
        <v>17</v>
      </c>
      <c r="D21" s="67">
        <v>0</v>
      </c>
      <c r="F21" s="36"/>
      <c r="G21" s="88" t="s">
        <v>32</v>
      </c>
      <c r="H21" s="37"/>
      <c r="I21" s="78">
        <f>+I18/I19</f>
        <v>7778.2974471452299</v>
      </c>
      <c r="K21" s="163"/>
      <c r="L21" s="163" t="s">
        <v>148</v>
      </c>
      <c r="M21" s="164">
        <v>269548000</v>
      </c>
      <c r="N21" s="164">
        <v>257966000</v>
      </c>
      <c r="O21" s="164">
        <v>258015000</v>
      </c>
      <c r="P21" s="164">
        <v>265381110.63999999</v>
      </c>
      <c r="Q21" s="164">
        <v>7415110.6399999997</v>
      </c>
      <c r="R21" s="164">
        <v>11582000</v>
      </c>
      <c r="S21" s="163"/>
    </row>
    <row r="22" spans="1:19" ht="21" customHeight="1" x14ac:dyDescent="0.25">
      <c r="A22" s="16"/>
      <c r="B22" s="17"/>
      <c r="C22" s="25" t="s">
        <v>20</v>
      </c>
      <c r="D22" s="26">
        <f>SUM(D20:D21)</f>
        <v>230236000</v>
      </c>
    </row>
    <row r="23" spans="1:19" ht="21" customHeight="1" x14ac:dyDescent="0.25">
      <c r="A23" s="16"/>
      <c r="B23" s="17"/>
      <c r="C23" s="17"/>
      <c r="D23" s="29"/>
      <c r="F23" s="64" t="s">
        <v>40</v>
      </c>
    </row>
    <row r="24" spans="1:19" ht="21" customHeight="1" x14ac:dyDescent="0.3">
      <c r="A24" s="16"/>
      <c r="B24" s="17"/>
      <c r="C24" s="31" t="s">
        <v>21</v>
      </c>
      <c r="D24" s="68">
        <f>+D17+D22</f>
        <v>495543134</v>
      </c>
      <c r="F24" s="64" t="s">
        <v>111</v>
      </c>
    </row>
    <row r="25" spans="1:19" ht="21" customHeight="1" x14ac:dyDescent="0.25">
      <c r="A25" s="16"/>
      <c r="B25" s="17"/>
      <c r="C25" s="17"/>
      <c r="D25" s="29"/>
    </row>
    <row r="26" spans="1:19" ht="21" customHeight="1" x14ac:dyDescent="0.3">
      <c r="A26" s="16"/>
      <c r="B26" s="17"/>
      <c r="C26" s="28" t="s">
        <v>120</v>
      </c>
      <c r="D26" s="33">
        <v>58918</v>
      </c>
      <c r="F26" s="89" t="s">
        <v>43</v>
      </c>
      <c r="G26" s="90"/>
      <c r="H26" s="90"/>
      <c r="I26" s="91"/>
    </row>
    <row r="27" spans="1:19" ht="21" customHeight="1" x14ac:dyDescent="0.25">
      <c r="A27" s="16"/>
      <c r="B27" s="17"/>
      <c r="C27" s="17"/>
      <c r="D27" s="69"/>
      <c r="F27" s="92" t="s">
        <v>44</v>
      </c>
      <c r="G27" s="7"/>
      <c r="H27" s="7"/>
      <c r="I27" s="93"/>
    </row>
    <row r="28" spans="1:19" ht="21" customHeight="1" x14ac:dyDescent="0.3">
      <c r="A28" s="16"/>
      <c r="B28" s="17"/>
      <c r="C28" s="31" t="s">
        <v>29</v>
      </c>
      <c r="D28" s="29"/>
      <c r="F28" s="92" t="s">
        <v>45</v>
      </c>
      <c r="G28" s="7"/>
      <c r="H28" s="7"/>
      <c r="I28" s="93"/>
    </row>
    <row r="29" spans="1:19" ht="21" customHeight="1" thickBot="1" x14ac:dyDescent="0.35">
      <c r="A29" s="39"/>
      <c r="B29" s="40"/>
      <c r="C29" s="50" t="s">
        <v>30</v>
      </c>
      <c r="D29" s="77">
        <f>+D24/D26</f>
        <v>8410.725652601921</v>
      </c>
      <c r="F29" s="94" t="s">
        <v>46</v>
      </c>
      <c r="G29" s="7"/>
      <c r="H29" s="7"/>
      <c r="I29" s="93"/>
    </row>
    <row r="30" spans="1:19" ht="21" customHeight="1" x14ac:dyDescent="0.25">
      <c r="D30" s="62"/>
      <c r="F30" s="92" t="s">
        <v>47</v>
      </c>
      <c r="G30" s="7"/>
      <c r="H30" s="7"/>
      <c r="I30" s="93"/>
    </row>
    <row r="31" spans="1:19" ht="21" customHeight="1" x14ac:dyDescent="0.25">
      <c r="F31" s="94" t="s">
        <v>48</v>
      </c>
      <c r="G31" s="7"/>
      <c r="H31" s="7"/>
      <c r="I31" s="93"/>
    </row>
    <row r="32" spans="1:19" x14ac:dyDescent="0.25">
      <c r="F32" s="95" t="s">
        <v>49</v>
      </c>
      <c r="G32" s="96"/>
      <c r="H32" s="96"/>
      <c r="I32" s="97"/>
    </row>
  </sheetData>
  <mergeCells count="1">
    <mergeCell ref="G11:G12"/>
  </mergeCells>
  <pageMargins left="0.7" right="0.7" top="0.75" bottom="0.75" header="0.3" footer="0.3"/>
  <pageSetup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S32"/>
  <sheetViews>
    <sheetView zoomScale="70" zoomScaleNormal="70" workbookViewId="0">
      <selection activeCell="K1" sqref="K1:T1048576"/>
    </sheetView>
  </sheetViews>
  <sheetFormatPr defaultRowHeight="15" x14ac:dyDescent="0.25"/>
  <cols>
    <col min="1" max="1" width="16.140625" customWidth="1"/>
    <col min="3" max="3" width="62.140625" customWidth="1"/>
    <col min="4" max="4" width="24" customWidth="1"/>
    <col min="5" max="5" width="6.85546875" customWidth="1"/>
    <col min="6" max="6" width="6" customWidth="1"/>
    <col min="7" max="7" width="76" customWidth="1"/>
    <col min="8" max="8" width="4" customWidth="1"/>
    <col min="9" max="9" width="24.85546875" customWidth="1"/>
    <col min="10" max="10" width="10.85546875" bestFit="1" customWidth="1"/>
    <col min="11" max="11" width="22.42578125" hidden="1" customWidth="1"/>
    <col min="12" max="13" width="25.5703125" hidden="1" customWidth="1"/>
    <col min="14" max="20" width="0" hidden="1" customWidth="1"/>
  </cols>
  <sheetData>
    <row r="1" spans="1:19" ht="18.75" x14ac:dyDescent="0.3">
      <c r="A1" s="3" t="s">
        <v>42</v>
      </c>
    </row>
    <row r="2" spans="1:19" ht="18.75" x14ac:dyDescent="0.3">
      <c r="A2" s="3" t="s">
        <v>34</v>
      </c>
    </row>
    <row r="3" spans="1:19" ht="15.75" x14ac:dyDescent="0.25">
      <c r="A3" s="2" t="s">
        <v>14</v>
      </c>
    </row>
    <row r="5" spans="1:19" ht="15.75" thickBot="1" x14ac:dyDescent="0.3">
      <c r="D5" s="63" t="s">
        <v>4</v>
      </c>
    </row>
    <row r="6" spans="1:19" ht="90" x14ac:dyDescent="0.3">
      <c r="A6" s="56"/>
      <c r="B6" s="57"/>
      <c r="C6" s="57"/>
      <c r="D6" s="15" t="str">
        <f>+Davidson!D6</f>
        <v>2019-20</v>
      </c>
      <c r="F6" s="70" t="s">
        <v>27</v>
      </c>
      <c r="G6" s="71"/>
      <c r="H6" s="71"/>
      <c r="I6" s="72" t="str">
        <f>+D7</f>
        <v>Actual Amount</v>
      </c>
      <c r="K6" s="156" t="s">
        <v>123</v>
      </c>
      <c r="L6" s="156" t="s">
        <v>124</v>
      </c>
      <c r="M6" s="157" t="s">
        <v>125</v>
      </c>
      <c r="N6" s="157" t="s">
        <v>126</v>
      </c>
      <c r="O6" s="157" t="s">
        <v>127</v>
      </c>
      <c r="P6" s="157" t="s">
        <v>128</v>
      </c>
      <c r="Q6" s="157" t="s">
        <v>129</v>
      </c>
      <c r="R6" s="157" t="s">
        <v>130</v>
      </c>
      <c r="S6" s="156" t="s">
        <v>131</v>
      </c>
    </row>
    <row r="7" spans="1:19" ht="15.75" x14ac:dyDescent="0.25">
      <c r="A7" s="18" t="s">
        <v>38</v>
      </c>
      <c r="B7" s="19"/>
      <c r="C7" s="19" t="s">
        <v>15</v>
      </c>
      <c r="D7" s="65" t="s">
        <v>114</v>
      </c>
      <c r="F7" s="11"/>
      <c r="G7" s="44" t="s">
        <v>21</v>
      </c>
      <c r="H7" s="9"/>
      <c r="I7" s="42">
        <f>+D24</f>
        <v>1105817489</v>
      </c>
      <c r="K7" s="158">
        <v>40110</v>
      </c>
      <c r="L7" s="158" t="s">
        <v>132</v>
      </c>
      <c r="M7" s="160">
        <v>299758307</v>
      </c>
      <c r="N7" s="160">
        <v>303020078</v>
      </c>
      <c r="O7" s="160">
        <v>303020078</v>
      </c>
      <c r="P7" s="160">
        <v>279210275.81999999</v>
      </c>
      <c r="Q7" s="162">
        <v>-23809802.18</v>
      </c>
      <c r="R7" s="161">
        <v>-3261771</v>
      </c>
      <c r="S7" s="158"/>
    </row>
    <row r="8" spans="1:19" ht="21" customHeight="1" x14ac:dyDescent="0.25">
      <c r="A8" s="21" t="s">
        <v>13</v>
      </c>
      <c r="B8" s="17"/>
      <c r="C8" s="17" t="s">
        <v>6</v>
      </c>
      <c r="D8" s="153">
        <v>310846839</v>
      </c>
      <c r="F8" s="11"/>
      <c r="G8" s="44" t="s">
        <v>23</v>
      </c>
      <c r="H8" s="9"/>
      <c r="I8" s="73">
        <f>-'[1]How to'!$R$233*'[1]How to'!$T$238</f>
        <v>-49448055.140991859</v>
      </c>
      <c r="K8" s="158">
        <v>40120</v>
      </c>
      <c r="L8" s="158" t="s">
        <v>133</v>
      </c>
      <c r="M8" s="160">
        <v>0</v>
      </c>
      <c r="N8" s="160">
        <v>0</v>
      </c>
      <c r="O8" s="160">
        <v>6184083</v>
      </c>
      <c r="P8" s="160">
        <v>7225720.0800000001</v>
      </c>
      <c r="Q8" s="162">
        <v>7225720.0800000001</v>
      </c>
      <c r="R8" s="161">
        <v>0</v>
      </c>
      <c r="S8" s="158"/>
    </row>
    <row r="9" spans="1:19" ht="21" customHeight="1" x14ac:dyDescent="0.25">
      <c r="A9" s="21">
        <v>40210</v>
      </c>
      <c r="B9" s="17"/>
      <c r="C9" s="17" t="s">
        <v>5</v>
      </c>
      <c r="D9" s="153">
        <f>+M12</f>
        <v>130909369</v>
      </c>
      <c r="F9" s="11"/>
      <c r="G9" s="44" t="s">
        <v>24</v>
      </c>
      <c r="H9" s="9"/>
      <c r="I9" s="42">
        <f>SUM(I7:I8)</f>
        <v>1056369433.8590082</v>
      </c>
      <c r="K9" s="158">
        <v>40150</v>
      </c>
      <c r="L9" s="158" t="s">
        <v>159</v>
      </c>
      <c r="M9" s="160">
        <v>11088532</v>
      </c>
      <c r="N9" s="160">
        <v>12784083</v>
      </c>
      <c r="O9" s="160">
        <v>6600000</v>
      </c>
      <c r="P9" s="160">
        <v>19130701.359999999</v>
      </c>
      <c r="Q9" s="162">
        <v>6346618.3600000003</v>
      </c>
      <c r="R9" s="162">
        <v>-1695551</v>
      </c>
      <c r="S9" s="158"/>
    </row>
    <row r="10" spans="1:19" ht="21" customHeight="1" x14ac:dyDescent="0.25">
      <c r="A10" s="21" t="s">
        <v>8</v>
      </c>
      <c r="B10" s="17"/>
      <c r="C10" s="17" t="s">
        <v>9</v>
      </c>
      <c r="D10" s="153">
        <f>31162022</f>
        <v>31162022</v>
      </c>
      <c r="F10" s="11"/>
      <c r="G10" s="44" t="str">
        <f>+C26</f>
        <v>Prior Year ADM²</v>
      </c>
      <c r="H10" s="9"/>
      <c r="I10" s="73">
        <f>+D26</f>
        <v>114855</v>
      </c>
      <c r="K10" s="158">
        <v>40162</v>
      </c>
      <c r="L10" s="158" t="s">
        <v>135</v>
      </c>
      <c r="M10" s="160">
        <v>0</v>
      </c>
      <c r="N10" s="160">
        <v>0</v>
      </c>
      <c r="O10" s="160">
        <v>0</v>
      </c>
      <c r="P10" s="160">
        <v>2781243.34</v>
      </c>
      <c r="Q10" s="162">
        <v>2781243.34</v>
      </c>
      <c r="R10" s="161">
        <v>0</v>
      </c>
      <c r="S10" s="158"/>
    </row>
    <row r="11" spans="1:19" ht="21" customHeight="1" x14ac:dyDescent="0.25">
      <c r="A11" s="21" t="s">
        <v>10</v>
      </c>
      <c r="B11" s="17"/>
      <c r="C11" s="17" t="s">
        <v>11</v>
      </c>
      <c r="D11" s="29">
        <v>0</v>
      </c>
      <c r="F11" s="11"/>
      <c r="G11" s="182" t="s">
        <v>25</v>
      </c>
      <c r="H11" s="9"/>
      <c r="I11" s="74"/>
      <c r="K11" s="158">
        <v>40163</v>
      </c>
      <c r="L11" s="158" t="s">
        <v>156</v>
      </c>
      <c r="M11" s="160">
        <v>0</v>
      </c>
      <c r="N11" s="160">
        <v>0</v>
      </c>
      <c r="O11" s="160">
        <v>0</v>
      </c>
      <c r="P11" s="160">
        <v>2288418.7400000002</v>
      </c>
      <c r="Q11" s="162">
        <v>2288418.7400000002</v>
      </c>
      <c r="R11" s="161">
        <v>0</v>
      </c>
      <c r="S11" s="158"/>
    </row>
    <row r="12" spans="1:19" ht="21" customHeight="1" thickBot="1" x14ac:dyDescent="0.5">
      <c r="A12" s="21" t="s">
        <v>35</v>
      </c>
      <c r="B12" s="17"/>
      <c r="C12" s="17" t="s">
        <v>36</v>
      </c>
      <c r="D12" s="29">
        <v>0</v>
      </c>
      <c r="F12" s="34"/>
      <c r="G12" s="183"/>
      <c r="H12" s="35"/>
      <c r="I12" s="78">
        <f>+I9/I10</f>
        <v>9197.41790831055</v>
      </c>
      <c r="K12" s="158">
        <v>40210</v>
      </c>
      <c r="L12" s="158" t="s">
        <v>5</v>
      </c>
      <c r="M12" s="160">
        <v>130909369</v>
      </c>
      <c r="N12" s="160">
        <v>124755710</v>
      </c>
      <c r="O12" s="160">
        <v>124755710.18000001</v>
      </c>
      <c r="P12" s="160">
        <v>131637375.12</v>
      </c>
      <c r="Q12" s="162">
        <v>6881665.1200000001</v>
      </c>
      <c r="R12" s="161">
        <v>6153659</v>
      </c>
      <c r="S12" s="158"/>
    </row>
    <row r="13" spans="1:19" ht="21" customHeight="1" thickBot="1" x14ac:dyDescent="0.3">
      <c r="A13" s="21" t="s">
        <v>12</v>
      </c>
      <c r="B13" s="17"/>
      <c r="C13" s="17" t="s">
        <v>0</v>
      </c>
      <c r="D13" s="29">
        <v>0</v>
      </c>
      <c r="K13" s="158">
        <v>40240</v>
      </c>
      <c r="L13" s="158" t="s">
        <v>157</v>
      </c>
      <c r="M13" s="160">
        <v>26881497</v>
      </c>
      <c r="N13" s="160">
        <v>27037500</v>
      </c>
      <c r="O13" s="160">
        <v>27037500</v>
      </c>
      <c r="P13" s="160">
        <v>32691582.93</v>
      </c>
      <c r="Q13" s="162">
        <v>5654082.9299999997</v>
      </c>
      <c r="R13" s="161">
        <v>-156003</v>
      </c>
      <c r="S13" s="158"/>
    </row>
    <row r="14" spans="1:19" ht="21" customHeight="1" x14ac:dyDescent="0.25">
      <c r="A14" s="21">
        <v>44110</v>
      </c>
      <c r="B14" s="17"/>
      <c r="C14" s="17" t="s">
        <v>1</v>
      </c>
      <c r="D14" s="29">
        <v>1500000</v>
      </c>
      <c r="F14" s="79" t="s">
        <v>22</v>
      </c>
      <c r="G14" s="80"/>
      <c r="H14" s="80"/>
      <c r="I14" s="81" t="str">
        <f>+D7</f>
        <v>Actual Amount</v>
      </c>
      <c r="K14" s="158">
        <v>40270</v>
      </c>
      <c r="L14" s="158" t="s">
        <v>160</v>
      </c>
      <c r="M14" s="160">
        <v>0</v>
      </c>
      <c r="N14" s="160">
        <v>0</v>
      </c>
      <c r="O14" s="160">
        <v>0</v>
      </c>
      <c r="P14" s="160">
        <v>36765.19</v>
      </c>
      <c r="Q14" s="162">
        <v>36765.19</v>
      </c>
      <c r="R14" s="161">
        <v>0</v>
      </c>
      <c r="S14" s="158"/>
    </row>
    <row r="15" spans="1:19" ht="21" customHeight="1" x14ac:dyDescent="0.25">
      <c r="A15" s="21">
        <v>49810</v>
      </c>
      <c r="B15" s="17"/>
      <c r="C15" s="17" t="s">
        <v>2</v>
      </c>
      <c r="D15" s="29">
        <v>0</v>
      </c>
      <c r="F15" s="13"/>
      <c r="G15" s="45" t="s">
        <v>21</v>
      </c>
      <c r="H15" s="8"/>
      <c r="I15" s="48">
        <f>+D24</f>
        <v>1105817489</v>
      </c>
      <c r="K15" s="158">
        <v>40275</v>
      </c>
      <c r="L15" s="158" t="s">
        <v>136</v>
      </c>
      <c r="M15" s="160">
        <v>4280524.6100000003</v>
      </c>
      <c r="N15" s="160">
        <v>3669382</v>
      </c>
      <c r="O15" s="160">
        <v>3669382</v>
      </c>
      <c r="P15" s="160">
        <v>4196835.9000000004</v>
      </c>
      <c r="Q15" s="162">
        <v>527453.9</v>
      </c>
      <c r="R15" s="162">
        <v>611142.61</v>
      </c>
      <c r="S15" s="158"/>
    </row>
    <row r="16" spans="1:19" ht="21" customHeight="1" x14ac:dyDescent="0.4">
      <c r="A16" s="21" t="s">
        <v>109</v>
      </c>
      <c r="B16" s="17"/>
      <c r="C16" s="17" t="s">
        <v>110</v>
      </c>
      <c r="D16" s="154">
        <v>-7420741</v>
      </c>
      <c r="F16" s="13"/>
      <c r="G16" s="45" t="s">
        <v>23</v>
      </c>
      <c r="H16" s="8"/>
      <c r="I16" s="48">
        <f>+I8</f>
        <v>-49448055.140991859</v>
      </c>
      <c r="K16" s="163"/>
      <c r="L16" s="163" t="s">
        <v>138</v>
      </c>
      <c r="M16" s="164">
        <v>472918229.61000001</v>
      </c>
      <c r="N16" s="164">
        <v>471266753</v>
      </c>
      <c r="O16" s="164">
        <v>471266753.18000001</v>
      </c>
      <c r="P16" s="164">
        <v>479198918.48000002</v>
      </c>
      <c r="Q16" s="164">
        <v>7932165.4800000004</v>
      </c>
      <c r="R16" s="164">
        <v>1651476.61</v>
      </c>
      <c r="S16" s="163"/>
    </row>
    <row r="17" spans="1:19" ht="21" customHeight="1" thickBot="1" x14ac:dyDescent="0.3">
      <c r="A17" s="16"/>
      <c r="B17" s="17"/>
      <c r="C17" s="25" t="s">
        <v>7</v>
      </c>
      <c r="D17" s="151">
        <f>SUM(D8:D16)</f>
        <v>466997489</v>
      </c>
      <c r="F17" s="13"/>
      <c r="G17" s="45" t="s">
        <v>26</v>
      </c>
      <c r="H17" s="8"/>
      <c r="I17" s="82">
        <f>-'[1]How to'!$O$210*0.5386</f>
        <v>-24430626.529043987</v>
      </c>
      <c r="K17" s="158">
        <v>44110</v>
      </c>
      <c r="L17" s="158" t="s">
        <v>1</v>
      </c>
      <c r="M17" s="160">
        <v>1500000</v>
      </c>
      <c r="N17" s="160">
        <v>1500000</v>
      </c>
      <c r="O17" s="160">
        <v>1500000</v>
      </c>
      <c r="P17" s="160">
        <v>4283010.3600000003</v>
      </c>
      <c r="Q17" s="162">
        <v>2783010.36</v>
      </c>
      <c r="R17" s="161">
        <v>0</v>
      </c>
      <c r="S17" s="158"/>
    </row>
    <row r="18" spans="1:19" ht="21" customHeight="1" thickTop="1" x14ac:dyDescent="0.25">
      <c r="A18" s="16"/>
      <c r="B18" s="17"/>
      <c r="C18" s="17"/>
      <c r="D18" s="29"/>
      <c r="F18" s="13"/>
      <c r="G18" s="45" t="s">
        <v>24</v>
      </c>
      <c r="H18" s="8"/>
      <c r="I18" s="48">
        <f>SUM(I15:I17)</f>
        <v>1031938807.3299642</v>
      </c>
      <c r="K18" s="158">
        <v>44120</v>
      </c>
      <c r="L18" s="158" t="s">
        <v>140</v>
      </c>
      <c r="M18" s="160">
        <v>864573</v>
      </c>
      <c r="N18" s="160">
        <v>1729145</v>
      </c>
      <c r="O18" s="160">
        <v>1729145</v>
      </c>
      <c r="P18" s="160">
        <v>1470364.43</v>
      </c>
      <c r="Q18" s="162">
        <v>-258780.57</v>
      </c>
      <c r="R18" s="162">
        <v>-864572</v>
      </c>
      <c r="S18" s="158"/>
    </row>
    <row r="19" spans="1:19" ht="21" customHeight="1" x14ac:dyDescent="0.25">
      <c r="A19" s="18" t="s">
        <v>39</v>
      </c>
      <c r="B19" s="19"/>
      <c r="C19" s="19" t="s">
        <v>15</v>
      </c>
      <c r="D19" s="65" t="str">
        <f>+D7</f>
        <v>Actual Amount</v>
      </c>
      <c r="F19" s="13"/>
      <c r="G19" s="45" t="str">
        <f>+G10</f>
        <v>Prior Year ADM²</v>
      </c>
      <c r="H19" s="8"/>
      <c r="I19" s="83">
        <f>+D26</f>
        <v>114855</v>
      </c>
      <c r="K19" s="158">
        <v>49810</v>
      </c>
      <c r="L19" s="158" t="s">
        <v>142</v>
      </c>
      <c r="M19" s="160">
        <v>1333333</v>
      </c>
      <c r="N19" s="160">
        <v>1333334</v>
      </c>
      <c r="O19" s="160">
        <v>1333334</v>
      </c>
      <c r="P19" s="160">
        <v>1415208.61</v>
      </c>
      <c r="Q19" s="162">
        <v>81874.61</v>
      </c>
      <c r="R19" s="161">
        <v>-1</v>
      </c>
      <c r="S19" s="158"/>
    </row>
    <row r="20" spans="1:19" ht="21" customHeight="1" x14ac:dyDescent="0.3">
      <c r="A20" s="21">
        <v>46511</v>
      </c>
      <c r="B20" s="17"/>
      <c r="C20" s="17" t="s">
        <v>3</v>
      </c>
      <c r="D20" s="153">
        <f>+[1]BEPFINAL!$X$126</f>
        <v>638820000</v>
      </c>
      <c r="F20" s="13"/>
      <c r="G20" s="87" t="s">
        <v>31</v>
      </c>
      <c r="H20" s="8"/>
      <c r="I20" s="85"/>
      <c r="K20" s="163"/>
      <c r="L20" s="163" t="s">
        <v>143</v>
      </c>
      <c r="M20" s="164">
        <v>476616135.61000001</v>
      </c>
      <c r="N20" s="164">
        <v>475829232</v>
      </c>
      <c r="O20" s="164">
        <v>475829232.18000001</v>
      </c>
      <c r="P20" s="164">
        <v>486367501.88</v>
      </c>
      <c r="Q20" s="164">
        <v>10538269.880000001</v>
      </c>
      <c r="R20" s="164">
        <v>786903.61</v>
      </c>
      <c r="S20" s="163"/>
    </row>
    <row r="21" spans="1:19" ht="21" customHeight="1" thickBot="1" x14ac:dyDescent="0.5">
      <c r="A21" s="21" t="s">
        <v>16</v>
      </c>
      <c r="B21" s="17"/>
      <c r="C21" s="17" t="s">
        <v>17</v>
      </c>
      <c r="D21" s="67">
        <v>0</v>
      </c>
      <c r="F21" s="36"/>
      <c r="G21" s="88" t="s">
        <v>32</v>
      </c>
      <c r="H21" s="37"/>
      <c r="I21" s="78">
        <f>+I18/I19</f>
        <v>8984.709480039739</v>
      </c>
    </row>
    <row r="22" spans="1:19" ht="21" customHeight="1" x14ac:dyDescent="0.25">
      <c r="A22" s="16"/>
      <c r="B22" s="17"/>
      <c r="C22" s="25" t="s">
        <v>20</v>
      </c>
      <c r="D22" s="151">
        <f>SUM(D20:D21)</f>
        <v>638820000</v>
      </c>
    </row>
    <row r="23" spans="1:19" ht="21" customHeight="1" x14ac:dyDescent="0.25">
      <c r="A23" s="16"/>
      <c r="B23" s="17"/>
      <c r="C23" s="17"/>
      <c r="D23" s="29"/>
      <c r="F23" s="1" t="s">
        <v>40</v>
      </c>
    </row>
    <row r="24" spans="1:19" ht="21" customHeight="1" x14ac:dyDescent="0.3">
      <c r="A24" s="16"/>
      <c r="B24" s="17"/>
      <c r="C24" s="31" t="s">
        <v>21</v>
      </c>
      <c r="D24" s="68">
        <f>+D17+D22</f>
        <v>1105817489</v>
      </c>
      <c r="F24" s="1" t="s">
        <v>111</v>
      </c>
    </row>
    <row r="25" spans="1:19" ht="21" customHeight="1" x14ac:dyDescent="0.25">
      <c r="A25" s="16"/>
      <c r="B25" s="17"/>
      <c r="C25" s="17"/>
      <c r="D25" s="29"/>
    </row>
    <row r="26" spans="1:19" ht="21" customHeight="1" x14ac:dyDescent="0.3">
      <c r="A26" s="16"/>
      <c r="B26" s="17"/>
      <c r="C26" s="28" t="s">
        <v>120</v>
      </c>
      <c r="D26" s="33">
        <v>114855</v>
      </c>
      <c r="F26" s="89" t="s">
        <v>43</v>
      </c>
      <c r="G26" s="90"/>
      <c r="H26" s="90"/>
      <c r="I26" s="91"/>
    </row>
    <row r="27" spans="1:19" ht="21" customHeight="1" x14ac:dyDescent="0.25">
      <c r="A27" s="16"/>
      <c r="B27" s="17"/>
      <c r="C27" s="17"/>
      <c r="D27" s="69"/>
      <c r="F27" s="92" t="s">
        <v>44</v>
      </c>
      <c r="G27" s="7"/>
      <c r="H27" s="7"/>
      <c r="I27" s="93"/>
    </row>
    <row r="28" spans="1:19" ht="21" customHeight="1" x14ac:dyDescent="0.3">
      <c r="A28" s="16"/>
      <c r="B28" s="17"/>
      <c r="C28" s="31" t="s">
        <v>29</v>
      </c>
      <c r="D28" s="29"/>
      <c r="F28" s="92" t="s">
        <v>45</v>
      </c>
      <c r="G28" s="7"/>
      <c r="H28" s="7"/>
      <c r="I28" s="93"/>
    </row>
    <row r="29" spans="1:19" ht="21" customHeight="1" thickBot="1" x14ac:dyDescent="0.35">
      <c r="A29" s="39"/>
      <c r="B29" s="40"/>
      <c r="C29" s="50" t="s">
        <v>30</v>
      </c>
      <c r="D29" s="77">
        <f>+D24/D26</f>
        <v>9627.9438335292325</v>
      </c>
      <c r="F29" s="94" t="s">
        <v>46</v>
      </c>
      <c r="G29" s="7"/>
      <c r="H29" s="7"/>
      <c r="I29" s="93"/>
    </row>
    <row r="30" spans="1:19" ht="21" customHeight="1" x14ac:dyDescent="0.25">
      <c r="D30" s="62"/>
      <c r="F30" s="92" t="s">
        <v>47</v>
      </c>
      <c r="G30" s="7"/>
      <c r="H30" s="7"/>
      <c r="I30" s="93"/>
    </row>
    <row r="31" spans="1:19" ht="21" customHeight="1" x14ac:dyDescent="0.25">
      <c r="F31" s="94" t="s">
        <v>48</v>
      </c>
      <c r="G31" s="7"/>
      <c r="H31" s="7"/>
      <c r="I31" s="93"/>
    </row>
    <row r="32" spans="1:19" x14ac:dyDescent="0.25">
      <c r="A32" s="149"/>
      <c r="F32" s="95" t="s">
        <v>49</v>
      </c>
      <c r="G32" s="96"/>
      <c r="H32" s="96"/>
      <c r="I32" s="97"/>
    </row>
  </sheetData>
  <mergeCells count="1">
    <mergeCell ref="G11:G12"/>
  </mergeCells>
  <pageMargins left="0.7" right="0.7" top="0.75" bottom="0.7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K32"/>
  <sheetViews>
    <sheetView zoomScale="70" zoomScaleNormal="70" workbookViewId="0">
      <selection activeCell="D9" sqref="D9"/>
    </sheetView>
  </sheetViews>
  <sheetFormatPr defaultRowHeight="15" x14ac:dyDescent="0.25"/>
  <cols>
    <col min="1" max="1" width="16.140625" customWidth="1"/>
    <col min="3" max="3" width="51.140625" customWidth="1"/>
    <col min="4" max="4" width="24" customWidth="1"/>
    <col min="5" max="5" width="6.85546875" customWidth="1"/>
    <col min="6" max="6" width="6" customWidth="1"/>
    <col min="7" max="7" width="58.5703125" customWidth="1"/>
    <col min="8" max="8" width="4" customWidth="1"/>
    <col min="9" max="9" width="24.85546875" customWidth="1"/>
    <col min="10" max="10" width="10.85546875" bestFit="1" customWidth="1"/>
    <col min="11" max="11" width="22.42578125" customWidth="1"/>
  </cols>
  <sheetData>
    <row r="1" spans="1:11" ht="18.75" x14ac:dyDescent="0.3">
      <c r="A1" s="3" t="s">
        <v>116</v>
      </c>
    </row>
    <row r="2" spans="1:11" ht="18.75" x14ac:dyDescent="0.3">
      <c r="A2" s="3" t="s">
        <v>34</v>
      </c>
    </row>
    <row r="3" spans="1:11" ht="15.75" x14ac:dyDescent="0.25">
      <c r="A3" s="2" t="s">
        <v>14</v>
      </c>
    </row>
    <row r="5" spans="1:11" ht="15.75" thickBot="1" x14ac:dyDescent="0.3">
      <c r="D5" s="63" t="s">
        <v>4</v>
      </c>
    </row>
    <row r="6" spans="1:11" ht="18.75" x14ac:dyDescent="0.3">
      <c r="A6" s="56"/>
      <c r="B6" s="57"/>
      <c r="C6" s="57"/>
      <c r="D6" s="15" t="str">
        <f>+Davidson!D6</f>
        <v>2019-20</v>
      </c>
      <c r="F6" s="70" t="s">
        <v>27</v>
      </c>
      <c r="G6" s="71"/>
      <c r="H6" s="71"/>
      <c r="I6" s="72" t="str">
        <f>+D7</f>
        <v>Actual Amount</v>
      </c>
    </row>
    <row r="7" spans="1:11" ht="15.75" x14ac:dyDescent="0.25">
      <c r="A7" s="18" t="s">
        <v>38</v>
      </c>
      <c r="B7" s="19"/>
      <c r="C7" s="19" t="s">
        <v>15</v>
      </c>
      <c r="D7" s="65" t="s">
        <v>114</v>
      </c>
      <c r="F7" s="11"/>
      <c r="G7" s="44" t="s">
        <v>21</v>
      </c>
      <c r="H7" s="9"/>
      <c r="I7" s="42">
        <f>+D24</f>
        <v>87338100</v>
      </c>
    </row>
    <row r="8" spans="1:11" ht="21" customHeight="1" x14ac:dyDescent="0.25">
      <c r="A8" s="21" t="s">
        <v>13</v>
      </c>
      <c r="B8" s="17"/>
      <c r="C8" s="17" t="s">
        <v>6</v>
      </c>
      <c r="D8" s="29">
        <f>14960000+350000+200000+150000+875000</f>
        <v>16535000</v>
      </c>
      <c r="F8" s="11"/>
      <c r="G8" s="44" t="s">
        <v>23</v>
      </c>
      <c r="H8" s="9"/>
      <c r="I8" s="73">
        <f>-8845042*0.6427</f>
        <v>-5684708.4934</v>
      </c>
    </row>
    <row r="9" spans="1:11" ht="21" customHeight="1" x14ac:dyDescent="0.25">
      <c r="A9" s="21">
        <v>40210</v>
      </c>
      <c r="B9" s="17"/>
      <c r="C9" s="17" t="s">
        <v>5</v>
      </c>
      <c r="D9" s="29">
        <v>11400000</v>
      </c>
      <c r="F9" s="11"/>
      <c r="G9" s="44" t="s">
        <v>24</v>
      </c>
      <c r="H9" s="9"/>
      <c r="I9" s="42">
        <f>SUM(I7:I8)</f>
        <v>81653391.506599993</v>
      </c>
    </row>
    <row r="10" spans="1:11" ht="21" customHeight="1" x14ac:dyDescent="0.25">
      <c r="A10" s="21" t="s">
        <v>8</v>
      </c>
      <c r="B10" s="17"/>
      <c r="C10" s="17" t="s">
        <v>9</v>
      </c>
      <c r="D10" s="29">
        <f>550000+102000</f>
        <v>652000</v>
      </c>
      <c r="F10" s="11"/>
      <c r="G10" s="44" t="str">
        <f>+C26</f>
        <v>Current Year ADM²</v>
      </c>
      <c r="H10" s="9"/>
      <c r="I10" s="73">
        <f>+D26</f>
        <v>11049.7</v>
      </c>
    </row>
    <row r="11" spans="1:11" ht="21" customHeight="1" x14ac:dyDescent="0.25">
      <c r="A11" s="21" t="s">
        <v>10</v>
      </c>
      <c r="B11" s="17"/>
      <c r="C11" s="17" t="s">
        <v>11</v>
      </c>
      <c r="D11" s="29">
        <v>9500</v>
      </c>
      <c r="F11" s="11"/>
      <c r="G11" s="182" t="s">
        <v>25</v>
      </c>
      <c r="H11" s="9"/>
      <c r="I11" s="74"/>
    </row>
    <row r="12" spans="1:11" ht="21" customHeight="1" thickBot="1" x14ac:dyDescent="0.5">
      <c r="A12" s="21" t="s">
        <v>35</v>
      </c>
      <c r="B12" s="17"/>
      <c r="C12" s="17" t="s">
        <v>36</v>
      </c>
      <c r="D12" s="29"/>
      <c r="F12" s="34"/>
      <c r="G12" s="183"/>
      <c r="H12" s="35"/>
      <c r="I12" s="78">
        <f>+I9/I10</f>
        <v>7389.6478190901098</v>
      </c>
    </row>
    <row r="13" spans="1:11" ht="21" customHeight="1" thickBot="1" x14ac:dyDescent="0.3">
      <c r="A13" s="21" t="s">
        <v>12</v>
      </c>
      <c r="B13" s="17"/>
      <c r="C13" s="17" t="s">
        <v>0</v>
      </c>
      <c r="D13" s="29">
        <v>2600</v>
      </c>
      <c r="K13" s="152"/>
    </row>
    <row r="14" spans="1:11" ht="21" customHeight="1" x14ac:dyDescent="0.25">
      <c r="A14" s="21">
        <v>44110</v>
      </c>
      <c r="B14" s="17"/>
      <c r="C14" s="17" t="s">
        <v>1</v>
      </c>
      <c r="D14" s="29"/>
      <c r="F14" s="79" t="s">
        <v>22</v>
      </c>
      <c r="G14" s="80"/>
      <c r="H14" s="80"/>
      <c r="I14" s="81" t="str">
        <f>+D7</f>
        <v>Actual Amount</v>
      </c>
      <c r="K14" s="149"/>
    </row>
    <row r="15" spans="1:11" ht="21" customHeight="1" x14ac:dyDescent="0.25">
      <c r="A15" s="21">
        <v>49810</v>
      </c>
      <c r="B15" s="17"/>
      <c r="C15" s="17" t="s">
        <v>2</v>
      </c>
      <c r="D15" s="29">
        <v>0</v>
      </c>
      <c r="F15" s="13"/>
      <c r="G15" s="45" t="s">
        <v>21</v>
      </c>
      <c r="H15" s="8"/>
      <c r="I15" s="48">
        <f>+D24</f>
        <v>87338100</v>
      </c>
      <c r="K15" s="149"/>
    </row>
    <row r="16" spans="1:11" ht="21" customHeight="1" x14ac:dyDescent="0.25">
      <c r="A16" s="21" t="s">
        <v>109</v>
      </c>
      <c r="B16" s="17"/>
      <c r="C16" s="17" t="s">
        <v>110</v>
      </c>
      <c r="D16" s="67">
        <v>-600000</v>
      </c>
      <c r="F16" s="13"/>
      <c r="G16" s="45" t="s">
        <v>23</v>
      </c>
      <c r="H16" s="8"/>
      <c r="I16" s="48">
        <f>+I8</f>
        <v>-5684708.4934</v>
      </c>
    </row>
    <row r="17" spans="1:9" ht="21" customHeight="1" thickBot="1" x14ac:dyDescent="0.3">
      <c r="A17" s="16"/>
      <c r="B17" s="17"/>
      <c r="C17" s="28" t="s">
        <v>7</v>
      </c>
      <c r="D17" s="151">
        <f>SUM(D8:D16)</f>
        <v>27999100</v>
      </c>
      <c r="F17" s="13"/>
      <c r="G17" s="45" t="s">
        <v>26</v>
      </c>
      <c r="H17" s="8"/>
      <c r="I17" s="82">
        <v>-5393425</v>
      </c>
    </row>
    <row r="18" spans="1:9" ht="21" customHeight="1" thickTop="1" x14ac:dyDescent="0.25">
      <c r="A18" s="16"/>
      <c r="B18" s="17"/>
      <c r="C18" s="17"/>
      <c r="D18" s="29"/>
      <c r="F18" s="13"/>
      <c r="G18" s="45" t="s">
        <v>24</v>
      </c>
      <c r="H18" s="8"/>
      <c r="I18" s="48">
        <f>SUM(I15:I17)</f>
        <v>76259966.506599993</v>
      </c>
    </row>
    <row r="19" spans="1:9" ht="21" customHeight="1" x14ac:dyDescent="0.25">
      <c r="A19" s="18" t="s">
        <v>39</v>
      </c>
      <c r="B19" s="19"/>
      <c r="C19" s="19" t="s">
        <v>15</v>
      </c>
      <c r="D19" s="65" t="s">
        <v>117</v>
      </c>
      <c r="F19" s="13"/>
      <c r="G19" s="45" t="str">
        <f>+G10</f>
        <v>Current Year ADM²</v>
      </c>
      <c r="H19" s="8"/>
      <c r="I19" s="83">
        <f>+D26</f>
        <v>11049.7</v>
      </c>
    </row>
    <row r="20" spans="1:9" ht="21" customHeight="1" x14ac:dyDescent="0.3">
      <c r="A20" s="21">
        <v>46511</v>
      </c>
      <c r="B20" s="17"/>
      <c r="C20" s="28" t="s">
        <v>118</v>
      </c>
      <c r="D20" s="29">
        <v>59339000</v>
      </c>
      <c r="F20" s="13"/>
      <c r="G20" s="87" t="s">
        <v>31</v>
      </c>
      <c r="H20" s="8"/>
      <c r="I20" s="85"/>
    </row>
    <row r="21" spans="1:9" ht="21" customHeight="1" thickBot="1" x14ac:dyDescent="0.5">
      <c r="A21" s="21" t="s">
        <v>16</v>
      </c>
      <c r="B21" s="17"/>
      <c r="C21" s="17" t="s">
        <v>17</v>
      </c>
      <c r="D21" s="67">
        <v>0</v>
      </c>
      <c r="F21" s="36"/>
      <c r="G21" s="88" t="s">
        <v>32</v>
      </c>
      <c r="H21" s="37"/>
      <c r="I21" s="78">
        <f>+I18/I19</f>
        <v>6901.5418071621843</v>
      </c>
    </row>
    <row r="22" spans="1:9" ht="21" customHeight="1" x14ac:dyDescent="0.25">
      <c r="A22" s="16"/>
      <c r="B22" s="17"/>
      <c r="C22" s="28" t="s">
        <v>20</v>
      </c>
      <c r="D22" s="151">
        <f>SUM(D20:D21)</f>
        <v>59339000</v>
      </c>
    </row>
    <row r="23" spans="1:9" ht="21" customHeight="1" x14ac:dyDescent="0.25">
      <c r="A23" s="16"/>
      <c r="B23" s="17"/>
      <c r="C23" s="17"/>
      <c r="D23" s="29"/>
      <c r="F23" s="1" t="s">
        <v>40</v>
      </c>
    </row>
    <row r="24" spans="1:9" ht="21" customHeight="1" x14ac:dyDescent="0.3">
      <c r="A24" s="16"/>
      <c r="B24" s="17"/>
      <c r="C24" s="31" t="s">
        <v>21</v>
      </c>
      <c r="D24" s="68">
        <f>+D17+D22</f>
        <v>87338100</v>
      </c>
      <c r="F24" s="1" t="s">
        <v>111</v>
      </c>
    </row>
    <row r="25" spans="1:9" ht="21" customHeight="1" x14ac:dyDescent="0.25">
      <c r="A25" s="16"/>
      <c r="B25" s="17"/>
      <c r="C25" s="17"/>
      <c r="D25" s="29"/>
    </row>
    <row r="26" spans="1:9" ht="21" customHeight="1" x14ac:dyDescent="0.3">
      <c r="A26" s="16"/>
      <c r="B26" s="17"/>
      <c r="C26" s="28" t="s">
        <v>112</v>
      </c>
      <c r="D26" s="33">
        <v>11049.7</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16"/>
      <c r="B29" s="17"/>
      <c r="C29" s="31" t="s">
        <v>30</v>
      </c>
      <c r="D29" s="76">
        <f>+D24/D26</f>
        <v>7904.1150438473442</v>
      </c>
      <c r="F29" s="94" t="s">
        <v>46</v>
      </c>
      <c r="G29" s="7"/>
      <c r="H29" s="7"/>
      <c r="I29" s="93"/>
    </row>
    <row r="30" spans="1:9" ht="21" customHeight="1" thickTop="1" x14ac:dyDescent="0.3">
      <c r="A30" s="16"/>
      <c r="B30" s="17"/>
      <c r="C30" s="28" t="s">
        <v>113</v>
      </c>
      <c r="D30" s="33">
        <v>11878</v>
      </c>
      <c r="F30" s="92" t="s">
        <v>47</v>
      </c>
      <c r="G30" s="7"/>
      <c r="H30" s="7"/>
      <c r="I30" s="93"/>
    </row>
    <row r="31" spans="1:9" ht="21" customHeight="1" thickBot="1" x14ac:dyDescent="0.35">
      <c r="A31" s="39"/>
      <c r="B31" s="40"/>
      <c r="C31" s="50" t="s">
        <v>28</v>
      </c>
      <c r="D31" s="77">
        <f>+D29*D30</f>
        <v>93885078.490818754</v>
      </c>
      <c r="F31" s="94" t="s">
        <v>48</v>
      </c>
      <c r="G31" s="7"/>
      <c r="H31" s="7"/>
      <c r="I31" s="93"/>
    </row>
    <row r="32" spans="1:9" x14ac:dyDescent="0.25">
      <c r="D32" s="62"/>
      <c r="F32" s="95" t="s">
        <v>49</v>
      </c>
      <c r="G32" s="96"/>
      <c r="H32" s="96"/>
      <c r="I32" s="97"/>
    </row>
  </sheetData>
  <mergeCells count="1">
    <mergeCell ref="G11:G12"/>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Davidson</vt:lpstr>
      <vt:lpstr>Hamilton</vt:lpstr>
      <vt:lpstr>Knox</vt:lpstr>
      <vt:lpstr>Shelby</vt:lpstr>
      <vt:lpstr>Robertson</vt:lpstr>
      <vt:lpstr>Davidson!Print_Area</vt:lpstr>
      <vt:lpstr>Overview!Print_Area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ca18353</dc:creator>
  <cp:lastModifiedBy>Judy Spencer</cp:lastModifiedBy>
  <cp:lastPrinted>2012-09-04T16:56:59Z</cp:lastPrinted>
  <dcterms:created xsi:type="dcterms:W3CDTF">2012-03-12T14:38:26Z</dcterms:created>
  <dcterms:modified xsi:type="dcterms:W3CDTF">2021-04-22T13:28:12Z</dcterms:modified>
</cp:coreProperties>
</file>