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omments3.xml" ContentType="application/vnd.openxmlformats-officedocument.spreadsheetml.comments+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4.xml" ContentType="application/vnd.openxmlformats-officedocument.spreadsheetml.comments+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5.xml" ContentType="application/vnd.openxmlformats-officedocument.spreadsheetml.comments+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Override PartName="/xl/charts/colors36.xml" ContentType="application/vnd.ms-office.chartcolorstyle+xml"/>
  <Override PartName="/xl/charts/style36.xml" ContentType="application/vnd.ms-office.chartstyle+xml"/>
  <Override PartName="/xl/charts/colors37.xml" ContentType="application/vnd.ms-office.chartcolorstyle+xml"/>
  <Override PartName="/xl/charts/style37.xml" ContentType="application/vnd.ms-office.chartstyle+xml"/>
  <Override PartName="/xl/charts/colors38.xml" ContentType="application/vnd.ms-office.chartcolorstyle+xml"/>
  <Override PartName="/xl/charts/style38.xml" ContentType="application/vnd.ms-office.chartstyle+xml"/>
  <Override PartName="/xl/charts/colors39.xml" ContentType="application/vnd.ms-office.chartcolorstyle+xml"/>
  <Override PartName="/xl/charts/style39.xml" ContentType="application/vnd.ms-office.chartstyle+xml"/>
  <Override PartName="/xl/charts/colors40.xml" ContentType="application/vnd.ms-office.chartcolorstyle+xml"/>
  <Override PartName="/xl/charts/style40.xml" ContentType="application/vnd.ms-office.chartstyle+xml"/>
  <Override PartName="/xl/charts/colors41.xml" ContentType="application/vnd.ms-office.chartcolorstyle+xml"/>
  <Override PartName="/xl/charts/style41.xml" ContentType="application/vnd.ms-office.chartstyle+xml"/>
  <Override PartName="/xl/charts/colors42.xml" ContentType="application/vnd.ms-office.chartcolorstyle+xml"/>
  <Override PartName="/xl/charts/style42.xml" ContentType="application/vnd.ms-office.chartstyle+xml"/>
  <Override PartName="/xl/charts/colors43.xml" ContentType="application/vnd.ms-office.chartcolorstyle+xml"/>
  <Override PartName="/xl/charts/style43.xml" ContentType="application/vnd.ms-office.chartstyle+xml"/>
  <Override PartName="/xl/charts/colors44.xml" ContentType="application/vnd.ms-office.chartcolorstyle+xml"/>
  <Override PartName="/xl/charts/style44.xml" ContentType="application/vnd.ms-office.chartstyle+xml"/>
  <Override PartName="/xl/charts/colors45.xml" ContentType="application/vnd.ms-office.chartcolorstyle+xml"/>
  <Override PartName="/xl/charts/style45.xml" ContentType="application/vnd.ms-office.chartstyle+xml"/>
  <Override PartName="/xl/charts/colors46.xml" ContentType="application/vnd.ms-office.chartcolorstyle+xml"/>
  <Override PartName="/xl/charts/style46.xml" ContentType="application/vnd.ms-office.chartstyle+xml"/>
  <Override PartName="/xl/charts/colors47.xml" ContentType="application/vnd.ms-office.chartcolorstyle+xml"/>
  <Override PartName="/xl/charts/style47.xml" ContentType="application/vnd.ms-office.chartstyle+xml"/>
  <Override PartName="/xl/charts/colors48.xml" ContentType="application/vnd.ms-office.chartcolorstyle+xml"/>
  <Override PartName="/xl/charts/style48.xml" ContentType="application/vnd.ms-office.chartstyle+xml"/>
  <Override PartName="/xl/charts/colors49.xml" ContentType="application/vnd.ms-office.chartcolorstyle+xml"/>
  <Override PartName="/xl/charts/style49.xml" ContentType="application/vnd.ms-office.chartstyle+xml"/>
  <Override PartName="/xl/charts/colors50.xml" ContentType="application/vnd.ms-office.chartcolorstyle+xml"/>
  <Override PartName="/xl/charts/style50.xml" ContentType="application/vnd.ms-office.chartstyle+xml"/>
  <Override PartName="/xl/charts/colors51.xml" ContentType="application/vnd.ms-office.chartcolorstyle+xml"/>
  <Override PartName="/xl/charts/style51.xml" ContentType="application/vnd.ms-office.chartstyle+xml"/>
  <Override PartName="/xl/charts/colors52.xml" ContentType="application/vnd.ms-office.chartcolorstyle+xml"/>
  <Override PartName="/xl/charts/style52.xml" ContentType="application/vnd.ms-office.chartstyle+xml"/>
  <Override PartName="/xl/charts/colors53.xml" ContentType="application/vnd.ms-office.chartcolorstyle+xml"/>
  <Override PartName="/xl/charts/style53.xml" ContentType="application/vnd.ms-office.chartstyle+xml"/>
  <Override PartName="/xl/charts/colors54.xml" ContentType="application/vnd.ms-office.chartcolorstyle+xml"/>
  <Override PartName="/xl/charts/style54.xml" ContentType="application/vnd.ms-office.chartstyle+xml"/>
  <Override PartName="/xl/charts/colors55.xml" ContentType="application/vnd.ms-office.chartcolorstyle+xml"/>
  <Override PartName="/xl/charts/style55.xml" ContentType="application/vnd.ms-office.chartstyle+xml"/>
  <Override PartName="/xl/charts/colors56.xml" ContentType="application/vnd.ms-office.chartcolorstyle+xml"/>
  <Override PartName="/xl/charts/style56.xml" ContentType="application/vnd.ms-office.chartstyle+xml"/>
  <Override PartName="/xl/charts/colors57.xml" ContentType="application/vnd.ms-office.chartcolorstyle+xml"/>
  <Override PartName="/xl/charts/style57.xml" ContentType="application/vnd.ms-office.chartstyle+xml"/>
  <Override PartName="/xl/charts/colors58.xml" ContentType="application/vnd.ms-office.chartcolorstyle+xml"/>
  <Override PartName="/xl/charts/style58.xml" ContentType="application/vnd.ms-office.chartstyle+xml"/>
  <Override PartName="/xl/charts/colors59.xml" ContentType="application/vnd.ms-office.chartcolorstyle+xml"/>
  <Override PartName="/xl/charts/style59.xml" ContentType="application/vnd.ms-office.chartstyle+xml"/>
  <Override PartName="/xl/charts/colors60.xml" ContentType="application/vnd.ms-office.chartcolorstyle+xml"/>
  <Override PartName="/xl/charts/style60.xml" ContentType="application/vnd.ms-office.chartstyle+xml"/>
  <Override PartName="/xl/charts/colors61.xml" ContentType="application/vnd.ms-office.chartcolorstyle+xml"/>
  <Override PartName="/xl/charts/style61.xml" ContentType="application/vnd.ms-office.chartstyle+xml"/>
  <Override PartName="/xl/charts/colors62.xml" ContentType="application/vnd.ms-office.chartcolorstyle+xml"/>
  <Override PartName="/xl/charts/style62.xml" ContentType="application/vnd.ms-office.chartstyle+xml"/>
  <Override PartName="/xl/charts/colors63.xml" ContentType="application/vnd.ms-office.chartcolorstyle+xml"/>
  <Override PartName="/xl/charts/style63.xml" ContentType="application/vnd.ms-office.chartstyle+xml"/>
  <Override PartName="/xl/charts/colors64.xml" ContentType="application/vnd.ms-office.chartcolorstyle+xml"/>
  <Override PartName="/xl/charts/style64.xml" ContentType="application/vnd.ms-office.chartstyle+xml"/>
  <Override PartName="/xl/charts/colors65.xml" ContentType="application/vnd.ms-office.chartcolorstyle+xml"/>
  <Override PartName="/xl/charts/style65.xml" ContentType="application/vnd.ms-office.chartstyle+xml"/>
  <Override PartName="/xl/charts/colors66.xml" ContentType="application/vnd.ms-office.chartcolorstyle+xml"/>
  <Override PartName="/xl/charts/style66.xml" ContentType="application/vnd.ms-office.chartstyle+xml"/>
  <Override PartName="/xl/charts/colors67.xml" ContentType="application/vnd.ms-office.chartcolorstyle+xml"/>
  <Override PartName="/xl/charts/style67.xml" ContentType="application/vnd.ms-office.chartstyle+xml"/>
  <Override PartName="/xl/charts/colors68.xml" ContentType="application/vnd.ms-office.chartcolorstyle+xml"/>
  <Override PartName="/xl/charts/style68.xml" ContentType="application/vnd.ms-office.chartstyle+xml"/>
  <Override PartName="/xl/charts/colors69.xml" ContentType="application/vnd.ms-office.chartcolorstyle+xml"/>
  <Override PartName="/xl/charts/style69.xml" ContentType="application/vnd.ms-office.chartstyle+xml"/>
  <Override PartName="/xl/charts/colors70.xml" ContentType="application/vnd.ms-office.chartcolorstyle+xml"/>
  <Override PartName="/xl/charts/style70.xml" ContentType="application/vnd.ms-office.chartstyle+xml"/>
  <Override PartName="/xl/charts/colors71.xml" ContentType="application/vnd.ms-office.chartcolorstyle+xml"/>
  <Override PartName="/xl/charts/style71.xml" ContentType="application/vnd.ms-office.chartstyle+xml"/>
  <Override PartName="/xl/charts/colors72.xml" ContentType="application/vnd.ms-office.chartcolorstyle+xml"/>
  <Override PartName="/xl/charts/style72.xml" ContentType="application/vnd.ms-office.chartstyle+xml"/>
  <Override PartName="/xl/charts/colors73.xml" ContentType="application/vnd.ms-office.chartcolorstyle+xml"/>
  <Override PartName="/xl/charts/style73.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120" windowWidth="16608" windowHeight="5460" tabRatio="912" activeTab="3"/>
  </bookViews>
  <sheets>
    <sheet name="Project Assessment" sheetId="34" r:id="rId1"/>
    <sheet name="Watershed Assessment" sheetId="11" r:id="rId2"/>
    <sheet name="Parameter Selection Guide" sheetId="15" r:id="rId3"/>
    <sheet name="Quantification Tool R1" sheetId="2" r:id="rId4"/>
    <sheet name="Monitoring Data R1" sheetId="13" r:id="rId5"/>
    <sheet name="Data Summary R1" sheetId="14" r:id="rId6"/>
    <sheet name="Quantification Tool R2" sheetId="16" r:id="rId7"/>
    <sheet name="Monitoring Data R2" sheetId="28" r:id="rId8"/>
    <sheet name="Data Summary R2" sheetId="18" r:id="rId9"/>
    <sheet name="Quantification Tool R3" sheetId="19" r:id="rId10"/>
    <sheet name="Monitoring Data R3" sheetId="29" r:id="rId11"/>
    <sheet name="Data Summary R3" sheetId="21" r:id="rId12"/>
    <sheet name="Quantification Tool R4" sheetId="22" r:id="rId13"/>
    <sheet name="Monitoring Data R4" sheetId="30" r:id="rId14"/>
    <sheet name="Data Summary R4" sheetId="24" r:id="rId15"/>
    <sheet name="Quantification Tool R5" sheetId="25" r:id="rId16"/>
    <sheet name="Monitoring Data R5" sheetId="31" r:id="rId17"/>
    <sheet name="Data Summary R5" sheetId="27" r:id="rId18"/>
    <sheet name="Reference Standards" sheetId="1" r:id="rId19"/>
    <sheet name="Pull Down Notes" sheetId="3" state="hidden" r:id="rId20"/>
  </sheets>
  <definedNames>
    <definedName name="BedMaterial">'Pull Down Notes'!$B$12:$B$17</definedName>
    <definedName name="BedType" localSheetId="8">'Pull Down Notes'!#REF!</definedName>
    <definedName name="BedType" localSheetId="11">'Pull Down Notes'!#REF!</definedName>
    <definedName name="BedType" localSheetId="14">'Pull Down Notes'!#REF!</definedName>
    <definedName name="BedType" localSheetId="17">'Pull Down Notes'!#REF!</definedName>
    <definedName name="BedType" localSheetId="7">'Pull Down Notes'!#REF!</definedName>
    <definedName name="BedType" localSheetId="10">'Pull Down Notes'!#REF!</definedName>
    <definedName name="BedType" localSheetId="13">'Pull Down Notes'!#REF!</definedName>
    <definedName name="BedType" localSheetId="16">'Pull Down Notes'!#REF!</definedName>
    <definedName name="BedType" localSheetId="6">'Pull Down Notes'!#REF!</definedName>
    <definedName name="BedType" localSheetId="9">'Pull Down Notes'!#REF!</definedName>
    <definedName name="BedType" localSheetId="12">'Pull Down Notes'!#REF!</definedName>
    <definedName name="BedType" localSheetId="15">'Pull Down Notes'!#REF!</definedName>
    <definedName name="BedType">'Pull Down Notes'!#REF!</definedName>
    <definedName name="BEHI.NBS">'Pull Down Notes'!$B$20:$B$49</definedName>
    <definedName name="CatchmentAssessment">'Pull Down Notes'!$B$88:$B$90</definedName>
    <definedName name="CatchmentAssessmentQuat" localSheetId="8">'Pull Down Notes'!#REF!</definedName>
    <definedName name="CatchmentAssessmentQuat" localSheetId="11">'Pull Down Notes'!#REF!</definedName>
    <definedName name="CatchmentAssessmentQuat" localSheetId="14">'Pull Down Notes'!#REF!</definedName>
    <definedName name="CatchmentAssessmentQuat" localSheetId="17">'Pull Down Notes'!#REF!</definedName>
    <definedName name="CatchmentAssessmentQuat" localSheetId="7">'Pull Down Notes'!#REF!</definedName>
    <definedName name="CatchmentAssessmentQuat" localSheetId="10">'Pull Down Notes'!#REF!</definedName>
    <definedName name="CatchmentAssessmentQuat" localSheetId="13">'Pull Down Notes'!#REF!</definedName>
    <definedName name="CatchmentAssessmentQuat" localSheetId="16">'Pull Down Notes'!#REF!</definedName>
    <definedName name="CatchmentAssessmentQuat" localSheetId="6">'Pull Down Notes'!#REF!</definedName>
    <definedName name="CatchmentAssessmentQuat" localSheetId="9">'Pull Down Notes'!#REF!</definedName>
    <definedName name="CatchmentAssessmentQuat" localSheetId="12">'Pull Down Notes'!#REF!</definedName>
    <definedName name="CatchmentAssessmentQuat" localSheetId="15">'Pull Down Notes'!#REF!</definedName>
    <definedName name="CatchmentAssessmentQuat">'Pull Down Notes'!#REF!</definedName>
    <definedName name="DrainageArea" localSheetId="8">'Pull Down Notes'!#REF!</definedName>
    <definedName name="DrainageArea" localSheetId="11">'Pull Down Notes'!#REF!</definedName>
    <definedName name="DrainageArea" localSheetId="14">'Pull Down Notes'!#REF!</definedName>
    <definedName name="DrainageArea" localSheetId="17">'Pull Down Notes'!#REF!</definedName>
    <definedName name="DrainageArea" localSheetId="7">'Pull Down Notes'!#REF!</definedName>
    <definedName name="DrainageArea" localSheetId="10">'Pull Down Notes'!#REF!</definedName>
    <definedName name="DrainageArea" localSheetId="13">'Pull Down Notes'!#REF!</definedName>
    <definedName name="DrainageArea" localSheetId="16">'Pull Down Notes'!#REF!</definedName>
    <definedName name="DrainageArea" localSheetId="6">'Pull Down Notes'!#REF!</definedName>
    <definedName name="DrainageArea" localSheetId="9">'Pull Down Notes'!#REF!</definedName>
    <definedName name="DrainageArea" localSheetId="12">'Pull Down Notes'!#REF!</definedName>
    <definedName name="DrainageArea" localSheetId="15">'Pull Down Notes'!#REF!</definedName>
    <definedName name="DrainageArea">'Pull Down Notes'!#REF!</definedName>
    <definedName name="Flow.Type" localSheetId="8">'Pull Down Notes'!#REF!</definedName>
    <definedName name="Flow.Type" localSheetId="11">'Pull Down Notes'!#REF!</definedName>
    <definedName name="Flow.Type" localSheetId="14">'Pull Down Notes'!#REF!</definedName>
    <definedName name="Flow.Type" localSheetId="17">'Pull Down Notes'!#REF!</definedName>
    <definedName name="Flow.Type" localSheetId="7">'Pull Down Notes'!#REF!</definedName>
    <definedName name="Flow.Type" localSheetId="10">'Pull Down Notes'!#REF!</definedName>
    <definedName name="Flow.Type" localSheetId="13">'Pull Down Notes'!#REF!</definedName>
    <definedName name="Flow.Type" localSheetId="16">'Pull Down Notes'!#REF!</definedName>
    <definedName name="Flow.Type" localSheetId="6">'Pull Down Notes'!#REF!</definedName>
    <definedName name="Flow.Type" localSheetId="9">'Pull Down Notes'!#REF!</definedName>
    <definedName name="Flow.Type" localSheetId="12">'Pull Down Notes'!#REF!</definedName>
    <definedName name="Flow.Type" localSheetId="15">'Pull Down Notes'!#REF!</definedName>
    <definedName name="Flow.Type">'Pull Down Notes'!#REF!</definedName>
    <definedName name="Level" localSheetId="8">'Pull Down Notes'!#REF!</definedName>
    <definedName name="Level" localSheetId="11">'Pull Down Notes'!#REF!</definedName>
    <definedName name="Level" localSheetId="14">'Pull Down Notes'!#REF!</definedName>
    <definedName name="Level" localSheetId="17">'Pull Down Notes'!#REF!</definedName>
    <definedName name="Level" localSheetId="7">'Pull Down Notes'!#REF!</definedName>
    <definedName name="Level" localSheetId="10">'Pull Down Notes'!#REF!</definedName>
    <definedName name="Level" localSheetId="13">'Pull Down Notes'!#REF!</definedName>
    <definedName name="Level" localSheetId="16">'Pull Down Notes'!#REF!</definedName>
    <definedName name="Level" localSheetId="6">'Pull Down Notes'!#REF!</definedName>
    <definedName name="Level" localSheetId="9">'Pull Down Notes'!#REF!</definedName>
    <definedName name="Level" localSheetId="12">'Pull Down Notes'!#REF!</definedName>
    <definedName name="Level" localSheetId="15">'Pull Down Notes'!#REF!</definedName>
    <definedName name="Level">'Pull Down Notes'!#REF!</definedName>
    <definedName name="_xlnm.Print_Area" localSheetId="4">'Monitoring Data R1'!$A$1:$K$434</definedName>
    <definedName name="_xlnm.Print_Area" localSheetId="7">'Monitoring Data R2'!$A$1:$K$434</definedName>
    <definedName name="_xlnm.Print_Area" localSheetId="10">'Monitoring Data R3'!$A$1:$K$434</definedName>
    <definedName name="_xlnm.Print_Area" localSheetId="13">'Monitoring Data R4'!$A$1:$K$434</definedName>
    <definedName name="_xlnm.Print_Area" localSheetId="16">'Monitoring Data R5'!$A$1:$K$434</definedName>
    <definedName name="_xlnm.Print_Area" localSheetId="2">'Parameter Selection Guide'!$A$1:$E$40</definedName>
    <definedName name="_xlnm.Print_Area" localSheetId="3">'Quantification Tool R1'!$A$1:$K$120</definedName>
    <definedName name="_xlnm.Print_Area" localSheetId="6">'Quantification Tool R2'!$A$2:$K$121</definedName>
    <definedName name="_xlnm.Print_Area" localSheetId="9">'Quantification Tool R3'!$A$2:$K$122</definedName>
    <definedName name="_xlnm.Print_Area" localSheetId="12">'Quantification Tool R4'!$A$2:$K$121</definedName>
    <definedName name="_xlnm.Print_Area" localSheetId="15">'Quantification Tool R5'!$A$1:$K$120</definedName>
    <definedName name="_xlnm.Print_Area" localSheetId="18">'Reference Standards'!$A$5</definedName>
    <definedName name="ProgramGoals">'Pull Down Notes'!$B$82:$B$85</definedName>
    <definedName name="Region">'Pull Down Notes'!$B$51:$B$75</definedName>
    <definedName name="RiverBasins" localSheetId="8">'Pull Down Notes'!#REF!</definedName>
    <definedName name="RiverBasins" localSheetId="11">'Pull Down Notes'!#REF!</definedName>
    <definedName name="RiverBasins" localSheetId="14">'Pull Down Notes'!#REF!</definedName>
    <definedName name="RiverBasins" localSheetId="17">'Pull Down Notes'!#REF!</definedName>
    <definedName name="RiverBasins" localSheetId="7">'Pull Down Notes'!#REF!</definedName>
    <definedName name="RiverBasins" localSheetId="10">'Pull Down Notes'!#REF!</definedName>
    <definedName name="RiverBasins" localSheetId="13">'Pull Down Notes'!#REF!</definedName>
    <definedName name="RiverBasins" localSheetId="16">'Pull Down Notes'!#REF!</definedName>
    <definedName name="RiverBasins" localSheetId="6">'Pull Down Notes'!#REF!</definedName>
    <definedName name="RiverBasins" localSheetId="9">'Pull Down Notes'!#REF!</definedName>
    <definedName name="RiverBasins" localSheetId="12">'Pull Down Notes'!#REF!</definedName>
    <definedName name="RiverBasins" localSheetId="15">'Pull Down Notes'!#REF!</definedName>
    <definedName name="RiverBasins">'Pull Down Notes'!#REF!</definedName>
    <definedName name="StreamType">'Pull Down Notes'!$B$1:$B$9</definedName>
    <definedName name="WaterTypes" localSheetId="8">'Pull Down Notes'!#REF!</definedName>
    <definedName name="WaterTypes" localSheetId="11">'Pull Down Notes'!#REF!</definedName>
    <definedName name="WaterTypes" localSheetId="14">'Pull Down Notes'!#REF!</definedName>
    <definedName name="WaterTypes" localSheetId="17">'Pull Down Notes'!#REF!</definedName>
    <definedName name="WaterTypes" localSheetId="7">'Pull Down Notes'!#REF!</definedName>
    <definedName name="WaterTypes" localSheetId="10">'Pull Down Notes'!#REF!</definedName>
    <definedName name="WaterTypes" localSheetId="13">'Pull Down Notes'!#REF!</definedName>
    <definedName name="WaterTypes" localSheetId="16">'Pull Down Notes'!#REF!</definedName>
    <definedName name="WaterTypes" localSheetId="6">'Pull Down Notes'!#REF!</definedName>
    <definedName name="WaterTypes" localSheetId="9">'Pull Down Notes'!#REF!</definedName>
    <definedName name="WaterTypes" localSheetId="12">'Pull Down Notes'!#REF!</definedName>
    <definedName name="WaterTypes" localSheetId="15">'Pull Down Notes'!#REF!</definedName>
    <definedName name="WaterTypes">'Pull Down Notes'!#REF!</definedName>
    <definedName name="Yes.No">'Pull Down Notes'!$B$78:$B$79</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6" i="2" l="1"/>
  <c r="F78" i="2"/>
  <c r="F74" i="2"/>
  <c r="F417" i="31" l="1"/>
  <c r="F416" i="31"/>
  <c r="F377" i="31"/>
  <c r="F376" i="31"/>
  <c r="F337" i="31"/>
  <c r="F336" i="31"/>
  <c r="F297" i="31"/>
  <c r="F296" i="31"/>
  <c r="F257" i="31"/>
  <c r="F256" i="31"/>
  <c r="F217" i="31"/>
  <c r="F216" i="31"/>
  <c r="F178" i="31"/>
  <c r="F177" i="31"/>
  <c r="F139" i="31"/>
  <c r="F138" i="31"/>
  <c r="F100" i="31"/>
  <c r="F99" i="31"/>
  <c r="F61" i="31"/>
  <c r="F60" i="31"/>
  <c r="F22" i="31"/>
  <c r="F21" i="31"/>
  <c r="F23" i="31"/>
  <c r="F103" i="25"/>
  <c r="F102" i="25"/>
  <c r="F63" i="25"/>
  <c r="F62" i="25"/>
  <c r="F417" i="30"/>
  <c r="F416" i="30"/>
  <c r="F377" i="30"/>
  <c r="F376" i="30"/>
  <c r="F337" i="30"/>
  <c r="F336" i="30"/>
  <c r="F297" i="30"/>
  <c r="F296" i="30"/>
  <c r="F257" i="30"/>
  <c r="F256" i="30"/>
  <c r="F217" i="30"/>
  <c r="F216" i="30"/>
  <c r="F178" i="30"/>
  <c r="F177" i="30"/>
  <c r="F139" i="30"/>
  <c r="F138" i="30"/>
  <c r="F100" i="30"/>
  <c r="F99" i="30"/>
  <c r="F61" i="30"/>
  <c r="F60" i="30"/>
  <c r="F22" i="30"/>
  <c r="F21" i="30"/>
  <c r="F104" i="22"/>
  <c r="F103" i="22"/>
  <c r="F64" i="22"/>
  <c r="F63" i="22"/>
  <c r="F417" i="29"/>
  <c r="F416" i="29"/>
  <c r="F377" i="29"/>
  <c r="F376" i="29"/>
  <c r="F337" i="29"/>
  <c r="F336" i="29"/>
  <c r="F297" i="29"/>
  <c r="F296" i="29"/>
  <c r="F257" i="29"/>
  <c r="F256" i="29"/>
  <c r="F217" i="29"/>
  <c r="F216" i="29"/>
  <c r="F178" i="29"/>
  <c r="F177" i="29"/>
  <c r="F139" i="29"/>
  <c r="F138" i="29"/>
  <c r="F100" i="29"/>
  <c r="F99" i="29"/>
  <c r="F61" i="29"/>
  <c r="F60" i="29"/>
  <c r="F22" i="29"/>
  <c r="F21" i="29"/>
  <c r="F105" i="19"/>
  <c r="F104" i="19"/>
  <c r="F65" i="19"/>
  <c r="F64" i="19"/>
  <c r="F417" i="28"/>
  <c r="F416" i="28"/>
  <c r="F377" i="28"/>
  <c r="F376" i="28"/>
  <c r="F337" i="28"/>
  <c r="F336" i="28"/>
  <c r="F297" i="28"/>
  <c r="F296" i="28"/>
  <c r="F257" i="28"/>
  <c r="F256" i="28"/>
  <c r="F217" i="28"/>
  <c r="F216" i="28"/>
  <c r="F178" i="28"/>
  <c r="F177" i="28"/>
  <c r="F139" i="28"/>
  <c r="F138" i="28"/>
  <c r="F100" i="28"/>
  <c r="F99" i="28"/>
  <c r="F61" i="28"/>
  <c r="F60" i="28"/>
  <c r="F22" i="28"/>
  <c r="F21" i="28"/>
  <c r="F104" i="16"/>
  <c r="F103" i="16"/>
  <c r="F64" i="16"/>
  <c r="F63" i="16"/>
  <c r="F417" i="13"/>
  <c r="F416" i="13"/>
  <c r="F377" i="13"/>
  <c r="F376" i="13"/>
  <c r="F337" i="13"/>
  <c r="F336" i="13"/>
  <c r="F297" i="13"/>
  <c r="F296" i="13"/>
  <c r="F257" i="13"/>
  <c r="F256" i="13"/>
  <c r="F217" i="13"/>
  <c r="F216" i="13"/>
  <c r="F178" i="13"/>
  <c r="F177" i="13"/>
  <c r="F139" i="13"/>
  <c r="F138" i="13"/>
  <c r="F100" i="13"/>
  <c r="F99" i="13"/>
  <c r="F61" i="13"/>
  <c r="F60" i="13"/>
  <c r="F22" i="13"/>
  <c r="F21" i="13"/>
  <c r="F103" i="2"/>
  <c r="F102" i="2"/>
  <c r="F63" i="2"/>
  <c r="F62" i="2"/>
  <c r="F13" i="13"/>
  <c r="F14" i="13"/>
  <c r="F15" i="13"/>
  <c r="F16" i="13"/>
  <c r="F17" i="13"/>
  <c r="F18" i="13"/>
  <c r="F19" i="13"/>
  <c r="F20" i="13"/>
  <c r="F23" i="13"/>
  <c r="G23" i="13" s="1"/>
  <c r="F3" i="13"/>
  <c r="G3" i="13" s="1"/>
  <c r="F4" i="13"/>
  <c r="G4" i="13"/>
  <c r="F5" i="13"/>
  <c r="F6" i="13"/>
  <c r="F7" i="13"/>
  <c r="F8" i="13"/>
  <c r="F9" i="13"/>
  <c r="F10" i="13"/>
  <c r="F11" i="13"/>
  <c r="F12" i="13"/>
  <c r="F24" i="13"/>
  <c r="F25" i="13"/>
  <c r="F26" i="13"/>
  <c r="F27" i="13"/>
  <c r="F28" i="13"/>
  <c r="G28" i="13" s="1"/>
  <c r="F29" i="13"/>
  <c r="G29" i="13" s="1"/>
  <c r="F30" i="13"/>
  <c r="G30" i="13" s="1"/>
  <c r="F31" i="13"/>
  <c r="G31" i="13" s="1"/>
  <c r="F32" i="13"/>
  <c r="G32" i="13" s="1"/>
  <c r="F33" i="13"/>
  <c r="F34" i="13"/>
  <c r="F35" i="13"/>
  <c r="F36" i="13"/>
  <c r="F37" i="13"/>
  <c r="F38" i="13"/>
  <c r="G37" i="13" s="1"/>
  <c r="G33" i="13" l="1"/>
  <c r="H33" i="13" s="1"/>
  <c r="I33" i="13" s="1"/>
  <c r="G9" i="13"/>
  <c r="H29" i="13"/>
  <c r="I29" i="13" s="1"/>
  <c r="G7" i="13"/>
  <c r="G5" i="13"/>
  <c r="H5" i="13" s="1"/>
  <c r="I5" i="13" s="1"/>
  <c r="G24" i="13"/>
  <c r="H3" i="13"/>
  <c r="I3" i="13" s="1"/>
  <c r="G13" i="13"/>
  <c r="C42" i="34"/>
  <c r="B42" i="34"/>
  <c r="C41" i="34"/>
  <c r="B41" i="34"/>
  <c r="C40" i="34"/>
  <c r="B40" i="34"/>
  <c r="C39" i="34"/>
  <c r="B39" i="34"/>
  <c r="C38" i="34"/>
  <c r="B38" i="34"/>
  <c r="A42" i="34"/>
  <c r="A41" i="34"/>
  <c r="A40" i="34"/>
  <c r="A39" i="34"/>
  <c r="A38" i="34"/>
  <c r="H7" i="13" l="1"/>
  <c r="I7" i="13" s="1"/>
  <c r="B43" i="34"/>
  <c r="C43" i="34"/>
  <c r="F60" i="2"/>
  <c r="J3" i="13" l="1"/>
  <c r="K3" i="13" s="1"/>
  <c r="F61" i="25"/>
  <c r="X292" i="1"/>
  <c r="X291" i="1"/>
  <c r="W292" i="1"/>
  <c r="W291" i="1"/>
  <c r="V292" i="1"/>
  <c r="V291" i="1"/>
  <c r="U292" i="1"/>
  <c r="U291" i="1"/>
  <c r="S292" i="1"/>
  <c r="F415" i="31"/>
  <c r="F414" i="31"/>
  <c r="F375" i="31"/>
  <c r="F374" i="31"/>
  <c r="F335" i="31"/>
  <c r="F334" i="31"/>
  <c r="F295" i="31"/>
  <c r="F294" i="31"/>
  <c r="F255" i="31"/>
  <c r="F254" i="31"/>
  <c r="F215" i="31"/>
  <c r="F214" i="31"/>
  <c r="F176" i="31"/>
  <c r="F175" i="31"/>
  <c r="F137" i="31"/>
  <c r="F136" i="31"/>
  <c r="F98" i="31"/>
  <c r="F97" i="31"/>
  <c r="F59" i="31"/>
  <c r="F58" i="31"/>
  <c r="F20" i="31"/>
  <c r="F19" i="31"/>
  <c r="F101" i="25"/>
  <c r="F100" i="25"/>
  <c r="F60" i="25"/>
  <c r="F415" i="30"/>
  <c r="F414" i="30"/>
  <c r="F375" i="30"/>
  <c r="F374" i="30"/>
  <c r="F335" i="30"/>
  <c r="F334" i="30"/>
  <c r="F295" i="30"/>
  <c r="F294" i="30"/>
  <c r="F255" i="30"/>
  <c r="F254" i="30"/>
  <c r="F215" i="30"/>
  <c r="F214" i="30"/>
  <c r="F176" i="30"/>
  <c r="F175" i="30"/>
  <c r="F137" i="30"/>
  <c r="F136" i="30"/>
  <c r="F98" i="30"/>
  <c r="F97" i="30"/>
  <c r="F59" i="30"/>
  <c r="F58" i="30"/>
  <c r="F20" i="30"/>
  <c r="F19" i="30"/>
  <c r="F102" i="22"/>
  <c r="F101" i="22"/>
  <c r="F62" i="22"/>
  <c r="F61" i="22"/>
  <c r="F415" i="29"/>
  <c r="F414" i="29"/>
  <c r="F375" i="29"/>
  <c r="F374" i="29"/>
  <c r="F335" i="29"/>
  <c r="F334" i="29"/>
  <c r="F295" i="29"/>
  <c r="F294" i="29"/>
  <c r="F255" i="29"/>
  <c r="F254" i="29"/>
  <c r="F215" i="29"/>
  <c r="F214" i="29"/>
  <c r="F176" i="29"/>
  <c r="F175" i="29"/>
  <c r="F137" i="29"/>
  <c r="F136" i="29"/>
  <c r="F98" i="29"/>
  <c r="F97" i="29"/>
  <c r="F59" i="29"/>
  <c r="F58" i="29"/>
  <c r="F20" i="29"/>
  <c r="F19" i="29"/>
  <c r="F103" i="19"/>
  <c r="F102" i="19"/>
  <c r="F63" i="19"/>
  <c r="F62" i="19"/>
  <c r="F415" i="28"/>
  <c r="F414" i="28"/>
  <c r="F375" i="28"/>
  <c r="F374" i="28"/>
  <c r="F335" i="28"/>
  <c r="F334" i="28"/>
  <c r="F295" i="28"/>
  <c r="F294" i="28"/>
  <c r="F255" i="28"/>
  <c r="F254" i="28"/>
  <c r="F215" i="28"/>
  <c r="F214" i="28"/>
  <c r="F176" i="28"/>
  <c r="F175" i="28"/>
  <c r="F137" i="28"/>
  <c r="F136" i="28"/>
  <c r="F98" i="28"/>
  <c r="F97" i="28"/>
  <c r="F59" i="28"/>
  <c r="F58" i="28"/>
  <c r="F20" i="28"/>
  <c r="F19" i="28"/>
  <c r="F102" i="16"/>
  <c r="F101" i="16"/>
  <c r="F62" i="16"/>
  <c r="F61" i="16"/>
  <c r="F415" i="13"/>
  <c r="F414" i="13"/>
  <c r="F375" i="13"/>
  <c r="F374" i="13"/>
  <c r="F335" i="13"/>
  <c r="F334" i="13"/>
  <c r="F295" i="13"/>
  <c r="F294" i="13"/>
  <c r="F255" i="13"/>
  <c r="F254" i="13"/>
  <c r="F215" i="13"/>
  <c r="F214" i="13"/>
  <c r="F176" i="13"/>
  <c r="F175" i="13"/>
  <c r="F137" i="13"/>
  <c r="F136" i="13"/>
  <c r="F98" i="13"/>
  <c r="F97" i="13"/>
  <c r="F59" i="13"/>
  <c r="F58" i="13"/>
  <c r="F101" i="2"/>
  <c r="F100" i="2"/>
  <c r="F61" i="2"/>
  <c r="F106" i="2" l="1"/>
  <c r="F64" i="13"/>
  <c r="F103" i="13"/>
  <c r="F142" i="13"/>
  <c r="F181" i="13"/>
  <c r="F220" i="13"/>
  <c r="F260" i="13"/>
  <c r="F300" i="13"/>
  <c r="F340" i="13"/>
  <c r="F380" i="13"/>
  <c r="F420" i="13"/>
  <c r="F107" i="16"/>
  <c r="F67" i="16"/>
  <c r="F25" i="28"/>
  <c r="F64" i="28"/>
  <c r="F103" i="28"/>
  <c r="F142" i="28"/>
  <c r="F181" i="28"/>
  <c r="F220" i="28"/>
  <c r="F260" i="28"/>
  <c r="F300" i="28"/>
  <c r="F340" i="28"/>
  <c r="F380" i="28"/>
  <c r="F420" i="28"/>
  <c r="F108" i="19"/>
  <c r="F68" i="19"/>
  <c r="F10" i="29"/>
  <c r="F25" i="29"/>
  <c r="F64" i="29"/>
  <c r="F103" i="29"/>
  <c r="F142" i="29"/>
  <c r="F181" i="29"/>
  <c r="F220" i="29"/>
  <c r="F260" i="29"/>
  <c r="F300" i="29"/>
  <c r="F340" i="29"/>
  <c r="F380" i="29"/>
  <c r="F420" i="29"/>
  <c r="F107" i="22"/>
  <c r="F67" i="22"/>
  <c r="F420" i="30"/>
  <c r="F380" i="30"/>
  <c r="F340" i="30"/>
  <c r="F300" i="30"/>
  <c r="F260" i="30"/>
  <c r="F220" i="30"/>
  <c r="F181" i="30"/>
  <c r="F142" i="30"/>
  <c r="F103" i="30"/>
  <c r="F64" i="30"/>
  <c r="F25" i="30"/>
  <c r="F106" i="25"/>
  <c r="F66" i="25"/>
  <c r="F420" i="31"/>
  <c r="F380" i="31"/>
  <c r="F340" i="31"/>
  <c r="F300" i="31"/>
  <c r="F260" i="31"/>
  <c r="F220" i="31"/>
  <c r="F181" i="31"/>
  <c r="F142" i="31"/>
  <c r="F103" i="31"/>
  <c r="F64" i="31"/>
  <c r="F25" i="31"/>
  <c r="E34" i="15" l="1"/>
  <c r="E33" i="15"/>
  <c r="E32" i="15"/>
  <c r="E31" i="15"/>
  <c r="E25" i="15"/>
  <c r="F427" i="30" l="1"/>
  <c r="F426" i="30"/>
  <c r="F425" i="30"/>
  <c r="F424" i="30"/>
  <c r="F423" i="30"/>
  <c r="F422" i="30"/>
  <c r="F421" i="30"/>
  <c r="F419" i="30"/>
  <c r="F387" i="30"/>
  <c r="F386" i="30"/>
  <c r="F385" i="30"/>
  <c r="F384" i="30"/>
  <c r="F383" i="30"/>
  <c r="F382" i="30"/>
  <c r="F381" i="30"/>
  <c r="F379" i="30"/>
  <c r="F347" i="30"/>
  <c r="F346" i="30"/>
  <c r="F345" i="30"/>
  <c r="F344" i="30"/>
  <c r="F343" i="30"/>
  <c r="F342" i="30"/>
  <c r="F341" i="30"/>
  <c r="F339" i="30"/>
  <c r="F307" i="30"/>
  <c r="F306" i="30"/>
  <c r="F305" i="30"/>
  <c r="F304" i="30"/>
  <c r="F303" i="30"/>
  <c r="F302" i="30"/>
  <c r="F301" i="30"/>
  <c r="F299" i="30"/>
  <c r="F267" i="30"/>
  <c r="F266" i="30"/>
  <c r="F265" i="30"/>
  <c r="F264" i="30"/>
  <c r="F263" i="30"/>
  <c r="F262" i="30"/>
  <c r="F261" i="30"/>
  <c r="F259" i="30"/>
  <c r="F227" i="30"/>
  <c r="F226" i="30"/>
  <c r="F225" i="30"/>
  <c r="F224" i="30"/>
  <c r="F223" i="30"/>
  <c r="F222" i="30"/>
  <c r="F221" i="30"/>
  <c r="F219" i="30"/>
  <c r="F188" i="30"/>
  <c r="F187" i="30"/>
  <c r="F186" i="30"/>
  <c r="F185" i="30"/>
  <c r="F184" i="30"/>
  <c r="F183" i="30"/>
  <c r="F182" i="30"/>
  <c r="F180" i="30"/>
  <c r="F149" i="30"/>
  <c r="F148" i="30"/>
  <c r="F147" i="30"/>
  <c r="F146" i="30"/>
  <c r="F145" i="30"/>
  <c r="F144" i="30"/>
  <c r="F143" i="30"/>
  <c r="F141" i="30"/>
  <c r="F110" i="30"/>
  <c r="F109" i="30"/>
  <c r="F108" i="30"/>
  <c r="F107" i="30"/>
  <c r="F106" i="30"/>
  <c r="F105" i="30"/>
  <c r="F104" i="30"/>
  <c r="F102" i="30"/>
  <c r="F71" i="30"/>
  <c r="F70" i="30"/>
  <c r="F69" i="30"/>
  <c r="F68" i="30"/>
  <c r="F67" i="30"/>
  <c r="F66" i="30"/>
  <c r="F65" i="30"/>
  <c r="F63" i="30"/>
  <c r="F31" i="30"/>
  <c r="F32" i="30"/>
  <c r="F24" i="30"/>
  <c r="F427" i="29"/>
  <c r="F426" i="29"/>
  <c r="F425" i="29"/>
  <c r="F424" i="29"/>
  <c r="F423" i="29"/>
  <c r="F422" i="29"/>
  <c r="F421" i="29"/>
  <c r="F419" i="29"/>
  <c r="F387" i="29"/>
  <c r="F386" i="29"/>
  <c r="F385" i="29"/>
  <c r="F384" i="29"/>
  <c r="F383" i="29"/>
  <c r="F382" i="29"/>
  <c r="F381" i="29"/>
  <c r="F379" i="29"/>
  <c r="F347" i="29"/>
  <c r="F346" i="29"/>
  <c r="F345" i="29"/>
  <c r="F344" i="29"/>
  <c r="F343" i="29"/>
  <c r="F342" i="29"/>
  <c r="F341" i="29"/>
  <c r="F339" i="29"/>
  <c r="F307" i="29"/>
  <c r="F306" i="29"/>
  <c r="F305" i="29"/>
  <c r="F304" i="29"/>
  <c r="F303" i="29"/>
  <c r="F302" i="29"/>
  <c r="F301" i="29"/>
  <c r="F299" i="29"/>
  <c r="F267" i="29"/>
  <c r="F266" i="29"/>
  <c r="F265" i="29"/>
  <c r="F264" i="29"/>
  <c r="F263" i="29"/>
  <c r="F262" i="29"/>
  <c r="F261" i="29"/>
  <c r="F259" i="29"/>
  <c r="F227" i="29"/>
  <c r="F226" i="29"/>
  <c r="F225" i="29"/>
  <c r="F224" i="29"/>
  <c r="F223" i="29"/>
  <c r="F222" i="29"/>
  <c r="F221" i="29"/>
  <c r="F219" i="29"/>
  <c r="F188" i="29"/>
  <c r="F187" i="29"/>
  <c r="F186" i="29"/>
  <c r="F185" i="29"/>
  <c r="F184" i="29"/>
  <c r="F183" i="29"/>
  <c r="F182" i="29"/>
  <c r="F180" i="29"/>
  <c r="F149" i="29"/>
  <c r="F148" i="29"/>
  <c r="F147" i="29"/>
  <c r="F146" i="29"/>
  <c r="F145" i="29"/>
  <c r="F144" i="29"/>
  <c r="F143" i="29"/>
  <c r="F141" i="29"/>
  <c r="F110" i="29"/>
  <c r="F109" i="29"/>
  <c r="F108" i="29"/>
  <c r="F107" i="29"/>
  <c r="F106" i="29"/>
  <c r="F105" i="29"/>
  <c r="F104" i="29"/>
  <c r="F102" i="29"/>
  <c r="F71" i="29"/>
  <c r="F70" i="29"/>
  <c r="F69" i="29"/>
  <c r="F68" i="29"/>
  <c r="F67" i="29"/>
  <c r="F66" i="29"/>
  <c r="F65" i="29"/>
  <c r="F63" i="29"/>
  <c r="F31" i="29"/>
  <c r="F32" i="29"/>
  <c r="F24" i="29"/>
  <c r="F114" i="22"/>
  <c r="F113" i="22"/>
  <c r="F74" i="22"/>
  <c r="F73" i="22"/>
  <c r="F75" i="19"/>
  <c r="F74" i="19"/>
  <c r="F115" i="19"/>
  <c r="F114" i="19"/>
  <c r="F66" i="22"/>
  <c r="F106" i="22"/>
  <c r="F107" i="19"/>
  <c r="F67" i="19"/>
  <c r="F427" i="28"/>
  <c r="F426" i="28"/>
  <c r="F425" i="28"/>
  <c r="F424" i="28"/>
  <c r="F423" i="28"/>
  <c r="F422" i="28"/>
  <c r="F421" i="28"/>
  <c r="F419" i="28"/>
  <c r="F387" i="28"/>
  <c r="F386" i="28"/>
  <c r="F385" i="28"/>
  <c r="F384" i="28"/>
  <c r="F383" i="28"/>
  <c r="F382" i="28"/>
  <c r="F381" i="28"/>
  <c r="F379" i="28"/>
  <c r="F347" i="28"/>
  <c r="F346" i="28"/>
  <c r="F345" i="28"/>
  <c r="F344" i="28"/>
  <c r="F343" i="28"/>
  <c r="F342" i="28"/>
  <c r="F341" i="28"/>
  <c r="F339" i="28"/>
  <c r="F307" i="28"/>
  <c r="F306" i="28"/>
  <c r="F305" i="28"/>
  <c r="F304" i="28"/>
  <c r="F303" i="28"/>
  <c r="F302" i="28"/>
  <c r="F301" i="28"/>
  <c r="F299" i="28"/>
  <c r="F267" i="28"/>
  <c r="F266" i="28"/>
  <c r="F265" i="28"/>
  <c r="F264" i="28"/>
  <c r="F263" i="28"/>
  <c r="F262" i="28"/>
  <c r="F261" i="28"/>
  <c r="F259" i="28"/>
  <c r="F227" i="28"/>
  <c r="F226" i="28"/>
  <c r="F225" i="28"/>
  <c r="F224" i="28"/>
  <c r="F223" i="28"/>
  <c r="F222" i="28"/>
  <c r="F221" i="28"/>
  <c r="F219" i="28"/>
  <c r="F188" i="28"/>
  <c r="F187" i="28"/>
  <c r="F186" i="28"/>
  <c r="F185" i="28"/>
  <c r="F184" i="28"/>
  <c r="F183" i="28"/>
  <c r="F182" i="28"/>
  <c r="F180" i="28"/>
  <c r="F149" i="28"/>
  <c r="F148" i="28"/>
  <c r="F147" i="28"/>
  <c r="F146" i="28"/>
  <c r="F145" i="28"/>
  <c r="F144" i="28"/>
  <c r="F143" i="28"/>
  <c r="F141" i="28"/>
  <c r="F110" i="28"/>
  <c r="F109" i="28"/>
  <c r="F108" i="28"/>
  <c r="F107" i="28"/>
  <c r="F106" i="28"/>
  <c r="F105" i="28"/>
  <c r="F104" i="28"/>
  <c r="F102" i="28"/>
  <c r="F71" i="28"/>
  <c r="F70" i="28"/>
  <c r="F69" i="28"/>
  <c r="F68" i="28"/>
  <c r="F67" i="28"/>
  <c r="F66" i="28"/>
  <c r="F65" i="28"/>
  <c r="F63" i="28"/>
  <c r="F32" i="28"/>
  <c r="F31" i="28"/>
  <c r="F24" i="28"/>
  <c r="F114" i="16"/>
  <c r="F113" i="16"/>
  <c r="F106" i="16"/>
  <c r="F74" i="16"/>
  <c r="F73" i="16"/>
  <c r="F66" i="16"/>
  <c r="F427" i="13"/>
  <c r="F426" i="13"/>
  <c r="F425" i="13"/>
  <c r="F424" i="13"/>
  <c r="F423" i="13"/>
  <c r="F422" i="13"/>
  <c r="F421" i="13"/>
  <c r="F419" i="13"/>
  <c r="F387" i="13"/>
  <c r="F386" i="13"/>
  <c r="F385" i="13"/>
  <c r="F384" i="13"/>
  <c r="F383" i="13"/>
  <c r="F382" i="13"/>
  <c r="F381" i="13"/>
  <c r="F379" i="13"/>
  <c r="F347" i="13"/>
  <c r="F346" i="13"/>
  <c r="F345" i="13"/>
  <c r="F344" i="13"/>
  <c r="F343" i="13"/>
  <c r="F342" i="13"/>
  <c r="F341" i="13"/>
  <c r="F339" i="13"/>
  <c r="F307" i="13"/>
  <c r="F306" i="13"/>
  <c r="F305" i="13"/>
  <c r="F304" i="13"/>
  <c r="F303" i="13"/>
  <c r="F302" i="13"/>
  <c r="F301" i="13"/>
  <c r="F299" i="13"/>
  <c r="F267" i="13"/>
  <c r="F266" i="13"/>
  <c r="F265" i="13"/>
  <c r="F264" i="13"/>
  <c r="F263" i="13"/>
  <c r="F262" i="13"/>
  <c r="F261" i="13"/>
  <c r="F259" i="13"/>
  <c r="F227" i="13"/>
  <c r="F226" i="13"/>
  <c r="F225" i="13"/>
  <c r="F224" i="13"/>
  <c r="F223" i="13"/>
  <c r="F222" i="13"/>
  <c r="F221" i="13"/>
  <c r="F219" i="13"/>
  <c r="F188" i="13"/>
  <c r="F187" i="13"/>
  <c r="F186" i="13"/>
  <c r="F185" i="13"/>
  <c r="F184" i="13"/>
  <c r="F183" i="13"/>
  <c r="F182" i="13"/>
  <c r="F180" i="13"/>
  <c r="F149" i="13"/>
  <c r="F148" i="13"/>
  <c r="F147" i="13"/>
  <c r="F146" i="13"/>
  <c r="F145" i="13"/>
  <c r="F144" i="13"/>
  <c r="F143" i="13"/>
  <c r="F141" i="13"/>
  <c r="F110" i="13"/>
  <c r="F109" i="13"/>
  <c r="F108" i="13"/>
  <c r="F107" i="13"/>
  <c r="F106" i="13"/>
  <c r="F105" i="13"/>
  <c r="F104" i="13"/>
  <c r="F102" i="13"/>
  <c r="F71" i="13"/>
  <c r="F70" i="13"/>
  <c r="F69" i="13"/>
  <c r="F68" i="13"/>
  <c r="F67" i="13"/>
  <c r="F66" i="13"/>
  <c r="F65" i="13"/>
  <c r="F63" i="13"/>
  <c r="F113" i="2"/>
  <c r="F112" i="2"/>
  <c r="F105" i="2"/>
  <c r="F73" i="2"/>
  <c r="F72" i="2"/>
  <c r="F65" i="2"/>
  <c r="F427" i="31"/>
  <c r="F426" i="31"/>
  <c r="F425" i="31"/>
  <c r="F424" i="31"/>
  <c r="F423" i="31"/>
  <c r="F422" i="31"/>
  <c r="F421" i="31"/>
  <c r="F419" i="31"/>
  <c r="F387" i="31"/>
  <c r="F386" i="31"/>
  <c r="F385" i="31"/>
  <c r="F384" i="31"/>
  <c r="F383" i="31"/>
  <c r="F382" i="31"/>
  <c r="F381" i="31"/>
  <c r="F379" i="31"/>
  <c r="F347" i="31"/>
  <c r="F346" i="31"/>
  <c r="F345" i="31"/>
  <c r="F344" i="31"/>
  <c r="F343" i="31"/>
  <c r="F342" i="31"/>
  <c r="F341" i="31"/>
  <c r="F339" i="31"/>
  <c r="F307" i="31"/>
  <c r="F306" i="31"/>
  <c r="F305" i="31"/>
  <c r="F304" i="31"/>
  <c r="F303" i="31"/>
  <c r="F302" i="31"/>
  <c r="F301" i="31"/>
  <c r="F299" i="31"/>
  <c r="F267" i="31"/>
  <c r="F266" i="31"/>
  <c r="F265" i="31"/>
  <c r="F264" i="31"/>
  <c r="F263" i="31"/>
  <c r="F262" i="31"/>
  <c r="F261" i="31"/>
  <c r="F259" i="31"/>
  <c r="F227" i="31"/>
  <c r="F226" i="31"/>
  <c r="F225" i="31"/>
  <c r="F224" i="31"/>
  <c r="F223" i="31"/>
  <c r="F222" i="31"/>
  <c r="F221" i="31"/>
  <c r="F219" i="31"/>
  <c r="F188" i="31"/>
  <c r="F187" i="31"/>
  <c r="F186" i="31"/>
  <c r="F185" i="31"/>
  <c r="F184" i="31"/>
  <c r="F183" i="31"/>
  <c r="F182" i="31"/>
  <c r="F180" i="31"/>
  <c r="F149" i="31"/>
  <c r="F148" i="31"/>
  <c r="F147" i="31"/>
  <c r="F146" i="31"/>
  <c r="F145" i="31"/>
  <c r="F144" i="31"/>
  <c r="F143" i="31"/>
  <c r="F141" i="31"/>
  <c r="F110" i="31"/>
  <c r="F109" i="31"/>
  <c r="F108" i="31"/>
  <c r="F107" i="31"/>
  <c r="F106" i="31"/>
  <c r="F105" i="31"/>
  <c r="F104" i="31"/>
  <c r="F102" i="31"/>
  <c r="F71" i="31"/>
  <c r="F70" i="31"/>
  <c r="F69" i="31"/>
  <c r="F68" i="31"/>
  <c r="F67" i="31"/>
  <c r="F66" i="31"/>
  <c r="F65" i="31"/>
  <c r="F63" i="31"/>
  <c r="F24" i="31"/>
  <c r="F32" i="31"/>
  <c r="F31" i="31"/>
  <c r="F105" i="25"/>
  <c r="F113" i="25"/>
  <c r="F112" i="25"/>
  <c r="F73" i="25"/>
  <c r="F72" i="25"/>
  <c r="F65" i="25"/>
  <c r="F66" i="19" l="1"/>
  <c r="F106" i="19"/>
  <c r="F28" i="29"/>
  <c r="F65" i="22"/>
  <c r="F105" i="22"/>
  <c r="F64" i="25"/>
  <c r="F104" i="25"/>
  <c r="F418" i="31"/>
  <c r="F378" i="31"/>
  <c r="F338" i="31"/>
  <c r="F298" i="31"/>
  <c r="F258" i="31"/>
  <c r="F218" i="31"/>
  <c r="F179" i="31"/>
  <c r="F140" i="31"/>
  <c r="F101" i="31"/>
  <c r="F62" i="31"/>
  <c r="F23" i="30"/>
  <c r="F62" i="30"/>
  <c r="F101" i="30"/>
  <c r="F140" i="30"/>
  <c r="F179" i="30"/>
  <c r="F218" i="30"/>
  <c r="F258" i="30"/>
  <c r="F298" i="30"/>
  <c r="F338" i="30"/>
  <c r="F378" i="30"/>
  <c r="F418" i="30"/>
  <c r="F23" i="29"/>
  <c r="F62" i="29"/>
  <c r="F101" i="29"/>
  <c r="F140" i="29"/>
  <c r="F179" i="29"/>
  <c r="F218" i="29"/>
  <c r="F258" i="29"/>
  <c r="F298" i="29"/>
  <c r="F338" i="29"/>
  <c r="F378" i="29"/>
  <c r="F418" i="29"/>
  <c r="F418" i="28"/>
  <c r="F378" i="28"/>
  <c r="F338" i="28"/>
  <c r="F298" i="28"/>
  <c r="F258" i="28"/>
  <c r="F218" i="28"/>
  <c r="F179" i="28"/>
  <c r="F140" i="28"/>
  <c r="F101" i="28"/>
  <c r="F62" i="28"/>
  <c r="F23" i="28"/>
  <c r="F418" i="13"/>
  <c r="F378" i="13"/>
  <c r="F338" i="13"/>
  <c r="F298" i="13"/>
  <c r="F258" i="13"/>
  <c r="F218" i="13"/>
  <c r="F179" i="13"/>
  <c r="F140" i="13"/>
  <c r="F101" i="13"/>
  <c r="F62" i="13"/>
  <c r="F65" i="16"/>
  <c r="F105" i="16"/>
  <c r="F104" i="2"/>
  <c r="F64" i="2"/>
  <c r="F81" i="19"/>
  <c r="F80" i="19"/>
  <c r="F79" i="19"/>
  <c r="F78" i="19"/>
  <c r="F77" i="19"/>
  <c r="F76" i="19"/>
  <c r="F73" i="19"/>
  <c r="F72" i="19"/>
  <c r="F71" i="19"/>
  <c r="F70" i="19"/>
  <c r="F69" i="19"/>
  <c r="F49" i="19"/>
  <c r="F48" i="19"/>
  <c r="F47" i="19"/>
  <c r="F119" i="2" l="1"/>
  <c r="F118" i="2"/>
  <c r="F117" i="2"/>
  <c r="F116" i="2"/>
  <c r="F115" i="2"/>
  <c r="F114" i="2"/>
  <c r="F111" i="2"/>
  <c r="F110" i="2"/>
  <c r="F109" i="2"/>
  <c r="F108" i="2"/>
  <c r="F107" i="2"/>
  <c r="F99" i="2"/>
  <c r="F98" i="2"/>
  <c r="F97" i="2"/>
  <c r="F96" i="2"/>
  <c r="F95" i="2"/>
  <c r="F94" i="2"/>
  <c r="F93" i="2"/>
  <c r="F92" i="2"/>
  <c r="F91" i="2"/>
  <c r="F90" i="2"/>
  <c r="F89" i="2"/>
  <c r="F88" i="2"/>
  <c r="F87" i="2"/>
  <c r="F86" i="2"/>
  <c r="F85" i="2"/>
  <c r="F84" i="2"/>
  <c r="F79" i="2"/>
  <c r="F77" i="2"/>
  <c r="F76" i="2"/>
  <c r="F75" i="2"/>
  <c r="F71" i="2"/>
  <c r="F70" i="2"/>
  <c r="F69" i="2"/>
  <c r="F68" i="2"/>
  <c r="F67" i="2"/>
  <c r="F47" i="2"/>
  <c r="F46" i="2"/>
  <c r="F45" i="2"/>
  <c r="F48" i="2" l="1"/>
  <c r="F49" i="2" l="1"/>
  <c r="F94" i="22" l="1"/>
  <c r="F93" i="22"/>
  <c r="F92" i="22"/>
  <c r="F91" i="22"/>
  <c r="F54" i="22"/>
  <c r="F53" i="22"/>
  <c r="F52" i="22"/>
  <c r="F51" i="22"/>
  <c r="F55" i="19"/>
  <c r="F54" i="19"/>
  <c r="F53" i="19"/>
  <c r="F52" i="19"/>
  <c r="F95" i="19"/>
  <c r="F94" i="19"/>
  <c r="F93" i="19"/>
  <c r="F92" i="19"/>
  <c r="F94" i="16"/>
  <c r="F93" i="16"/>
  <c r="F92" i="16"/>
  <c r="F91" i="16"/>
  <c r="F54" i="16"/>
  <c r="F53" i="16"/>
  <c r="F52" i="16"/>
  <c r="F51" i="16"/>
  <c r="F53" i="2"/>
  <c r="F52" i="2"/>
  <c r="F51" i="2"/>
  <c r="F50" i="2"/>
  <c r="F51" i="13"/>
  <c r="F50" i="13"/>
  <c r="F49" i="13"/>
  <c r="F48" i="13"/>
  <c r="F90" i="13"/>
  <c r="F89" i="13"/>
  <c r="F88" i="13"/>
  <c r="F87" i="13"/>
  <c r="F129" i="13"/>
  <c r="F128" i="13"/>
  <c r="F127" i="13"/>
  <c r="F126" i="13"/>
  <c r="F168" i="13"/>
  <c r="F167" i="13"/>
  <c r="F166" i="13"/>
  <c r="F165" i="13"/>
  <c r="F207" i="13"/>
  <c r="F206" i="13"/>
  <c r="F205" i="13"/>
  <c r="F204" i="13"/>
  <c r="F247" i="13"/>
  <c r="F246" i="13"/>
  <c r="F245" i="13"/>
  <c r="F244" i="13"/>
  <c r="F287" i="13"/>
  <c r="F286" i="13"/>
  <c r="F285" i="13"/>
  <c r="F284" i="13"/>
  <c r="F327" i="13"/>
  <c r="F326" i="13"/>
  <c r="F325" i="13"/>
  <c r="F324" i="13"/>
  <c r="F367" i="13"/>
  <c r="F366" i="13"/>
  <c r="F365" i="13"/>
  <c r="F364" i="13"/>
  <c r="F407" i="13"/>
  <c r="F406" i="13"/>
  <c r="F405" i="13"/>
  <c r="F404" i="13"/>
  <c r="F12" i="28"/>
  <c r="F11" i="28"/>
  <c r="F10" i="28"/>
  <c r="F9" i="28"/>
  <c r="F51" i="28"/>
  <c r="F50" i="28"/>
  <c r="F49" i="28"/>
  <c r="F48" i="28"/>
  <c r="F90" i="28"/>
  <c r="F89" i="28"/>
  <c r="F88" i="28"/>
  <c r="F87" i="28"/>
  <c r="F129" i="28"/>
  <c r="F128" i="28"/>
  <c r="F127" i="28"/>
  <c r="F126" i="28"/>
  <c r="F168" i="28"/>
  <c r="F167" i="28"/>
  <c r="F166" i="28"/>
  <c r="F165" i="28"/>
  <c r="F207" i="28"/>
  <c r="F206" i="28"/>
  <c r="F205" i="28"/>
  <c r="F204" i="28"/>
  <c r="F247" i="28"/>
  <c r="F246" i="28"/>
  <c r="F245" i="28"/>
  <c r="F244" i="28"/>
  <c r="F287" i="28"/>
  <c r="F286" i="28"/>
  <c r="F285" i="28"/>
  <c r="F284" i="28"/>
  <c r="F327" i="28"/>
  <c r="F326" i="28"/>
  <c r="F325" i="28"/>
  <c r="F324" i="28"/>
  <c r="F367" i="28"/>
  <c r="F366" i="28"/>
  <c r="F365" i="28"/>
  <c r="F364" i="28"/>
  <c r="F407" i="28"/>
  <c r="F406" i="28"/>
  <c r="F405" i="28"/>
  <c r="F404" i="28"/>
  <c r="F12" i="29"/>
  <c r="F11" i="29"/>
  <c r="F9" i="29"/>
  <c r="F51" i="29"/>
  <c r="F50" i="29"/>
  <c r="F49" i="29"/>
  <c r="F48" i="29"/>
  <c r="F90" i="29"/>
  <c r="F89" i="29"/>
  <c r="F88" i="29"/>
  <c r="F87" i="29"/>
  <c r="F129" i="29"/>
  <c r="F128" i="29"/>
  <c r="F127" i="29"/>
  <c r="F126" i="29"/>
  <c r="F168" i="29"/>
  <c r="F167" i="29"/>
  <c r="F166" i="29"/>
  <c r="F165" i="29"/>
  <c r="F207" i="29"/>
  <c r="F206" i="29"/>
  <c r="F205" i="29"/>
  <c r="F204" i="29"/>
  <c r="F247" i="29"/>
  <c r="F246" i="29"/>
  <c r="F245" i="29"/>
  <c r="F244" i="29"/>
  <c r="F287" i="29"/>
  <c r="F286" i="29"/>
  <c r="F285" i="29"/>
  <c r="F284" i="29"/>
  <c r="F327" i="29"/>
  <c r="F326" i="29"/>
  <c r="F325" i="29"/>
  <c r="F324" i="29"/>
  <c r="F364" i="29"/>
  <c r="F367" i="29"/>
  <c r="F366" i="29"/>
  <c r="F365" i="29"/>
  <c r="F407" i="29"/>
  <c r="F406" i="29"/>
  <c r="F405" i="29"/>
  <c r="F404" i="29"/>
  <c r="F407" i="30"/>
  <c r="F406" i="30"/>
  <c r="F405" i="30"/>
  <c r="F404" i="30"/>
  <c r="F367" i="30"/>
  <c r="F366" i="30"/>
  <c r="F365" i="30"/>
  <c r="F364" i="30"/>
  <c r="F327" i="30"/>
  <c r="F326" i="30"/>
  <c r="F325" i="30"/>
  <c r="F324" i="30"/>
  <c r="F287" i="30"/>
  <c r="F286" i="30"/>
  <c r="F285" i="30"/>
  <c r="F284" i="30"/>
  <c r="F247" i="30"/>
  <c r="F246" i="30"/>
  <c r="F245" i="30"/>
  <c r="F244" i="30"/>
  <c r="F207" i="30"/>
  <c r="F206" i="30"/>
  <c r="F205" i="30"/>
  <c r="F204" i="30"/>
  <c r="F168" i="30"/>
  <c r="F167" i="30"/>
  <c r="F166" i="30"/>
  <c r="F165" i="30"/>
  <c r="F129" i="30"/>
  <c r="F128" i="30"/>
  <c r="F127" i="30"/>
  <c r="F126" i="30"/>
  <c r="F90" i="30"/>
  <c r="F89" i="30"/>
  <c r="F88" i="30"/>
  <c r="F87" i="30"/>
  <c r="F51" i="30"/>
  <c r="F50" i="30"/>
  <c r="F49" i="30"/>
  <c r="F48" i="30"/>
  <c r="F12" i="30"/>
  <c r="F407" i="31"/>
  <c r="F406" i="31"/>
  <c r="F405" i="31"/>
  <c r="F404" i="31"/>
  <c r="F367" i="31"/>
  <c r="F366" i="31"/>
  <c r="F365" i="31"/>
  <c r="F364" i="31"/>
  <c r="F327" i="31"/>
  <c r="F326" i="31"/>
  <c r="F325" i="31"/>
  <c r="F324" i="31"/>
  <c r="F287" i="31"/>
  <c r="F286" i="31"/>
  <c r="F285" i="31"/>
  <c r="F284" i="31"/>
  <c r="F247" i="31"/>
  <c r="F246" i="31"/>
  <c r="F245" i="31"/>
  <c r="F244" i="31"/>
  <c r="F207" i="31"/>
  <c r="F206" i="31"/>
  <c r="F205" i="31"/>
  <c r="F204" i="31"/>
  <c r="F168" i="31"/>
  <c r="F167" i="31"/>
  <c r="F166" i="31"/>
  <c r="F165" i="31"/>
  <c r="F129" i="31"/>
  <c r="F128" i="31"/>
  <c r="F127" i="31"/>
  <c r="F126" i="31"/>
  <c r="F90" i="31"/>
  <c r="F89" i="31"/>
  <c r="F88" i="31"/>
  <c r="F87" i="31"/>
  <c r="F51" i="31"/>
  <c r="F50" i="31"/>
  <c r="F49" i="31"/>
  <c r="F48" i="31"/>
  <c r="F12" i="31"/>
  <c r="F93" i="25"/>
  <c r="F92" i="25"/>
  <c r="F91" i="25"/>
  <c r="F90" i="25"/>
  <c r="F53" i="25"/>
  <c r="F52" i="25"/>
  <c r="G284" i="30" l="1"/>
  <c r="G364" i="30"/>
  <c r="G404" i="13"/>
  <c r="G165" i="13"/>
  <c r="G87" i="13"/>
  <c r="G50" i="2"/>
  <c r="G91" i="16"/>
  <c r="G52" i="19"/>
  <c r="G91" i="22"/>
  <c r="G244" i="30"/>
  <c r="G324" i="30"/>
  <c r="G404" i="30"/>
  <c r="G204" i="29"/>
  <c r="G126" i="29"/>
  <c r="G48" i="29"/>
  <c r="G404" i="28"/>
  <c r="G324" i="28"/>
  <c r="G244" i="28"/>
  <c r="G165" i="28"/>
  <c r="G87" i="28"/>
  <c r="G9" i="28"/>
  <c r="G284" i="13"/>
  <c r="G204" i="13"/>
  <c r="G126" i="13"/>
  <c r="G90" i="2"/>
  <c r="G364" i="31"/>
  <c r="G48" i="30"/>
  <c r="G126" i="30"/>
  <c r="G204" i="30"/>
  <c r="G87" i="31"/>
  <c r="G244" i="31"/>
  <c r="G87" i="29"/>
  <c r="G165" i="31"/>
  <c r="G324" i="31"/>
  <c r="G244" i="13"/>
  <c r="G364" i="29"/>
  <c r="G404" i="31"/>
  <c r="G404" i="29"/>
  <c r="G324" i="29"/>
  <c r="G244" i="29"/>
  <c r="G165" i="29"/>
  <c r="G48" i="13"/>
  <c r="G90" i="25"/>
  <c r="G324" i="13"/>
  <c r="G284" i="29"/>
  <c r="G48" i="31"/>
  <c r="G9" i="29"/>
  <c r="G364" i="13"/>
  <c r="G126" i="31"/>
  <c r="G204" i="31"/>
  <c r="G284" i="31"/>
  <c r="G87" i="30"/>
  <c r="G165" i="30"/>
  <c r="G364" i="28"/>
  <c r="G284" i="28"/>
  <c r="G204" i="28"/>
  <c r="G126" i="28"/>
  <c r="G48" i="28"/>
  <c r="G92" i="19"/>
  <c r="G51" i="22"/>
  <c r="G51" i="16"/>
  <c r="F46" i="19"/>
  <c r="F50" i="19"/>
  <c r="F51" i="19"/>
  <c r="F56" i="19"/>
  <c r="F57" i="19"/>
  <c r="F58" i="19"/>
  <c r="F59" i="19"/>
  <c r="F60" i="19"/>
  <c r="F61" i="19"/>
  <c r="F431" i="31" l="1"/>
  <c r="F430" i="31"/>
  <c r="F429" i="31"/>
  <c r="F428" i="31"/>
  <c r="F401" i="31"/>
  <c r="F391" i="31"/>
  <c r="F390" i="31"/>
  <c r="F389" i="31"/>
  <c r="F388" i="31"/>
  <c r="F361" i="31"/>
  <c r="F351" i="31"/>
  <c r="F350" i="31"/>
  <c r="F349" i="31"/>
  <c r="F348" i="31"/>
  <c r="F321" i="31"/>
  <c r="F311" i="31"/>
  <c r="F310" i="31"/>
  <c r="F309" i="31"/>
  <c r="F308" i="31"/>
  <c r="F281" i="31"/>
  <c r="F271" i="31"/>
  <c r="F270" i="31"/>
  <c r="F269" i="31"/>
  <c r="F268" i="31"/>
  <c r="F241" i="31"/>
  <c r="F231" i="31"/>
  <c r="F230" i="31"/>
  <c r="F229" i="31"/>
  <c r="F228" i="31"/>
  <c r="F201" i="31"/>
  <c r="F192" i="31"/>
  <c r="F191" i="31"/>
  <c r="F190" i="31"/>
  <c r="F189" i="31"/>
  <c r="F162" i="31"/>
  <c r="F153" i="31"/>
  <c r="F152" i="31"/>
  <c r="F151" i="31"/>
  <c r="F150" i="31"/>
  <c r="F123" i="31"/>
  <c r="F114" i="31"/>
  <c r="F113" i="31"/>
  <c r="F112" i="31"/>
  <c r="F111" i="31"/>
  <c r="F84" i="31"/>
  <c r="F75" i="31"/>
  <c r="F74" i="31"/>
  <c r="F73" i="31"/>
  <c r="F72" i="31"/>
  <c r="F45" i="31"/>
  <c r="F36" i="31"/>
  <c r="F35" i="31"/>
  <c r="F34" i="31"/>
  <c r="F33" i="31"/>
  <c r="F30" i="31"/>
  <c r="F28" i="31"/>
  <c r="F26" i="31"/>
  <c r="F6" i="31"/>
  <c r="F431" i="30"/>
  <c r="F430" i="30"/>
  <c r="F429" i="30"/>
  <c r="F428" i="30"/>
  <c r="F401" i="30"/>
  <c r="F391" i="30"/>
  <c r="F390" i="30"/>
  <c r="F389" i="30"/>
  <c r="F388" i="30"/>
  <c r="F361" i="30"/>
  <c r="F351" i="30"/>
  <c r="F350" i="30"/>
  <c r="F349" i="30"/>
  <c r="F348" i="30"/>
  <c r="F321" i="30"/>
  <c r="F311" i="30"/>
  <c r="F310" i="30"/>
  <c r="F309" i="30"/>
  <c r="F308" i="30"/>
  <c r="F281" i="30"/>
  <c r="F271" i="30"/>
  <c r="F270" i="30"/>
  <c r="F269" i="30"/>
  <c r="F268" i="30"/>
  <c r="F241" i="30"/>
  <c r="F231" i="30"/>
  <c r="F230" i="30"/>
  <c r="F229" i="30"/>
  <c r="F228" i="30"/>
  <c r="F201" i="30"/>
  <c r="F192" i="30"/>
  <c r="F191" i="30"/>
  <c r="F190" i="30"/>
  <c r="F189" i="30"/>
  <c r="F162" i="30"/>
  <c r="F153" i="30"/>
  <c r="F152" i="30"/>
  <c r="F151" i="30"/>
  <c r="F150" i="30"/>
  <c r="F123" i="30"/>
  <c r="F114" i="30"/>
  <c r="F113" i="30"/>
  <c r="F112" i="30"/>
  <c r="F111" i="30"/>
  <c r="F84" i="30"/>
  <c r="F75" i="30"/>
  <c r="F74" i="30"/>
  <c r="F73" i="30"/>
  <c r="F72" i="30"/>
  <c r="F45" i="30"/>
  <c r="F36" i="30"/>
  <c r="F35" i="30"/>
  <c r="F34" i="30"/>
  <c r="F33" i="30"/>
  <c r="F30" i="30"/>
  <c r="F28" i="30"/>
  <c r="F26" i="30"/>
  <c r="F6" i="30"/>
  <c r="F431" i="29"/>
  <c r="F430" i="29"/>
  <c r="F429" i="29"/>
  <c r="F428" i="29"/>
  <c r="F401" i="29"/>
  <c r="F391" i="29"/>
  <c r="F390" i="29"/>
  <c r="F389" i="29"/>
  <c r="F388" i="29"/>
  <c r="F361" i="29"/>
  <c r="F351" i="29"/>
  <c r="F350" i="29"/>
  <c r="F349" i="29"/>
  <c r="F348" i="29"/>
  <c r="F321" i="29"/>
  <c r="F311" i="29"/>
  <c r="F310" i="29"/>
  <c r="F309" i="29"/>
  <c r="F308" i="29"/>
  <c r="F281" i="29"/>
  <c r="F271" i="29"/>
  <c r="F270" i="29"/>
  <c r="F269" i="29"/>
  <c r="F268" i="29"/>
  <c r="F241" i="29"/>
  <c r="F231" i="29"/>
  <c r="F230" i="29"/>
  <c r="F229" i="29"/>
  <c r="F228" i="29"/>
  <c r="F201" i="29"/>
  <c r="F192" i="29"/>
  <c r="F191" i="29"/>
  <c r="F190" i="29"/>
  <c r="F189" i="29"/>
  <c r="F162" i="29"/>
  <c r="F153" i="29"/>
  <c r="F152" i="29"/>
  <c r="F151" i="29"/>
  <c r="F150" i="29"/>
  <c r="F123" i="29"/>
  <c r="F114" i="29"/>
  <c r="F113" i="29"/>
  <c r="F112" i="29"/>
  <c r="F111" i="29"/>
  <c r="F84" i="29"/>
  <c r="F75" i="29"/>
  <c r="F74" i="29"/>
  <c r="F73" i="29"/>
  <c r="F72" i="29"/>
  <c r="F45" i="29"/>
  <c r="F36" i="29"/>
  <c r="F35" i="29"/>
  <c r="F34" i="29"/>
  <c r="F33" i="29"/>
  <c r="F30" i="29"/>
  <c r="F26" i="29"/>
  <c r="F431" i="28"/>
  <c r="F430" i="28"/>
  <c r="F429" i="28"/>
  <c r="F428" i="28"/>
  <c r="G427" i="28"/>
  <c r="G426" i="28"/>
  <c r="G425" i="28"/>
  <c r="F391" i="28"/>
  <c r="F390" i="28"/>
  <c r="F389" i="28"/>
  <c r="F388" i="28"/>
  <c r="G387" i="28"/>
  <c r="G386" i="28"/>
  <c r="G385" i="28"/>
  <c r="F351" i="28"/>
  <c r="F350" i="28"/>
  <c r="F349" i="28"/>
  <c r="F348" i="28"/>
  <c r="G347" i="28"/>
  <c r="G346" i="28"/>
  <c r="G345" i="28"/>
  <c r="F311" i="28"/>
  <c r="F310" i="28"/>
  <c r="F309" i="28"/>
  <c r="F308" i="28"/>
  <c r="G306" i="28"/>
  <c r="G305" i="28"/>
  <c r="F271" i="28"/>
  <c r="F270" i="28"/>
  <c r="F269" i="28"/>
  <c r="F268" i="28"/>
  <c r="G267" i="28"/>
  <c r="G266" i="28"/>
  <c r="F231" i="28"/>
  <c r="F230" i="28"/>
  <c r="F229" i="28"/>
  <c r="F228" i="28"/>
  <c r="G227" i="28"/>
  <c r="G226" i="28"/>
  <c r="G225" i="28"/>
  <c r="F192" i="28"/>
  <c r="F191" i="28"/>
  <c r="F190" i="28"/>
  <c r="F189" i="28"/>
  <c r="G188" i="28"/>
  <c r="G187" i="28"/>
  <c r="G186" i="28"/>
  <c r="F153" i="28"/>
  <c r="F152" i="28"/>
  <c r="F151" i="28"/>
  <c r="F150" i="28"/>
  <c r="G149" i="28"/>
  <c r="G148" i="28"/>
  <c r="G147" i="28"/>
  <c r="F114" i="28"/>
  <c r="F113" i="28"/>
  <c r="F112" i="28"/>
  <c r="F111" i="28"/>
  <c r="G110" i="28"/>
  <c r="G109" i="28"/>
  <c r="G108" i="28"/>
  <c r="F75" i="28"/>
  <c r="F74" i="28"/>
  <c r="F73" i="28"/>
  <c r="F72" i="28"/>
  <c r="G71" i="28"/>
  <c r="G70" i="28"/>
  <c r="G69" i="28"/>
  <c r="F36" i="28"/>
  <c r="F35" i="28"/>
  <c r="F34" i="28"/>
  <c r="F33" i="28"/>
  <c r="F30" i="28"/>
  <c r="F26" i="28"/>
  <c r="F6" i="29"/>
  <c r="F433" i="13"/>
  <c r="F432" i="13"/>
  <c r="F431" i="13"/>
  <c r="F430" i="13"/>
  <c r="F429" i="13"/>
  <c r="F428" i="13"/>
  <c r="G427" i="13"/>
  <c r="G426" i="13"/>
  <c r="G425" i="13"/>
  <c r="G424" i="13"/>
  <c r="G423" i="13"/>
  <c r="G418" i="13"/>
  <c r="F413" i="13"/>
  <c r="F412" i="13"/>
  <c r="F411" i="13"/>
  <c r="F410" i="13"/>
  <c r="F409" i="13"/>
  <c r="F408" i="13"/>
  <c r="F403" i="13"/>
  <c r="F402" i="13"/>
  <c r="F401" i="13"/>
  <c r="F400" i="13"/>
  <c r="F399" i="13"/>
  <c r="F398" i="13"/>
  <c r="G398" i="13" s="1"/>
  <c r="F393" i="13"/>
  <c r="F392" i="13"/>
  <c r="F391" i="13"/>
  <c r="F390" i="13"/>
  <c r="F389" i="13"/>
  <c r="F388" i="13"/>
  <c r="G387" i="13"/>
  <c r="G386" i="13"/>
  <c r="G385" i="13"/>
  <c r="G384" i="13"/>
  <c r="G383" i="13"/>
  <c r="G378" i="13"/>
  <c r="F373" i="13"/>
  <c r="F372" i="13"/>
  <c r="F371" i="13"/>
  <c r="F370" i="13"/>
  <c r="F369" i="13"/>
  <c r="F368" i="13"/>
  <c r="F363" i="13"/>
  <c r="F362" i="13"/>
  <c r="F361" i="13"/>
  <c r="F360" i="13"/>
  <c r="F359" i="13"/>
  <c r="F358" i="13"/>
  <c r="G358" i="13" s="1"/>
  <c r="F353" i="13"/>
  <c r="F352" i="13"/>
  <c r="F351" i="13"/>
  <c r="F350" i="13"/>
  <c r="F349" i="13"/>
  <c r="F348" i="13"/>
  <c r="G347" i="13"/>
  <c r="G346" i="13"/>
  <c r="G345" i="13"/>
  <c r="G344" i="13"/>
  <c r="G343" i="13"/>
  <c r="G338" i="13"/>
  <c r="F333" i="13"/>
  <c r="F332" i="13"/>
  <c r="F331" i="13"/>
  <c r="F330" i="13"/>
  <c r="F329" i="13"/>
  <c r="F328" i="13"/>
  <c r="F323" i="13"/>
  <c r="F322" i="13"/>
  <c r="F321" i="13"/>
  <c r="F320" i="13"/>
  <c r="F319" i="13"/>
  <c r="F318" i="13"/>
  <c r="G318" i="13" s="1"/>
  <c r="F313" i="13"/>
  <c r="F312" i="13"/>
  <c r="F311" i="13"/>
  <c r="F310" i="13"/>
  <c r="F309" i="13"/>
  <c r="F308" i="13"/>
  <c r="G307" i="13"/>
  <c r="G306" i="13"/>
  <c r="G305" i="13"/>
  <c r="G304" i="13"/>
  <c r="G303" i="13"/>
  <c r="G298" i="13"/>
  <c r="F293" i="13"/>
  <c r="F292" i="13"/>
  <c r="F291" i="13"/>
  <c r="F290" i="13"/>
  <c r="F289" i="13"/>
  <c r="F288" i="13"/>
  <c r="F283" i="13"/>
  <c r="F282" i="13"/>
  <c r="F281" i="13"/>
  <c r="F280" i="13"/>
  <c r="F279" i="13"/>
  <c r="F278" i="13"/>
  <c r="G278" i="13" s="1"/>
  <c r="F273" i="13"/>
  <c r="F272" i="13"/>
  <c r="F271" i="13"/>
  <c r="F270" i="13"/>
  <c r="F269" i="13"/>
  <c r="F268" i="13"/>
  <c r="G267" i="13"/>
  <c r="G266" i="13"/>
  <c r="G265" i="13"/>
  <c r="G264" i="13"/>
  <c r="G263" i="13"/>
  <c r="G258" i="13"/>
  <c r="F253" i="13"/>
  <c r="F252" i="13"/>
  <c r="F251" i="13"/>
  <c r="F250" i="13"/>
  <c r="F249" i="13"/>
  <c r="F248" i="13"/>
  <c r="F243" i="13"/>
  <c r="F242" i="13"/>
  <c r="F241" i="13"/>
  <c r="F240" i="13"/>
  <c r="F239" i="13"/>
  <c r="F238" i="13"/>
  <c r="G238" i="13" s="1"/>
  <c r="F233" i="13"/>
  <c r="F232" i="13"/>
  <c r="F231" i="13"/>
  <c r="F230" i="13"/>
  <c r="F229" i="13"/>
  <c r="F228" i="13"/>
  <c r="G227" i="13"/>
  <c r="G226" i="13"/>
  <c r="G225" i="13"/>
  <c r="G224" i="13"/>
  <c r="G223" i="13"/>
  <c r="G218" i="13"/>
  <c r="F213" i="13"/>
  <c r="F212" i="13"/>
  <c r="F211" i="13"/>
  <c r="F210" i="13"/>
  <c r="F209" i="13"/>
  <c r="F208" i="13"/>
  <c r="F203" i="13"/>
  <c r="F202" i="13"/>
  <c r="F201" i="13"/>
  <c r="F200" i="13"/>
  <c r="F199" i="13"/>
  <c r="F198" i="13"/>
  <c r="G198" i="13" s="1"/>
  <c r="F194" i="13"/>
  <c r="F193" i="13"/>
  <c r="F192" i="13"/>
  <c r="F191" i="13"/>
  <c r="F190" i="13"/>
  <c r="F189" i="13"/>
  <c r="G188" i="13"/>
  <c r="G187" i="13"/>
  <c r="G186" i="13"/>
  <c r="G185" i="13"/>
  <c r="G184" i="13"/>
  <c r="G179" i="13"/>
  <c r="F174" i="13"/>
  <c r="F173" i="13"/>
  <c r="F172" i="13"/>
  <c r="F171" i="13"/>
  <c r="F170" i="13"/>
  <c r="F169" i="13"/>
  <c r="F164" i="13"/>
  <c r="F163" i="13"/>
  <c r="F162" i="13"/>
  <c r="F161" i="13"/>
  <c r="F160" i="13"/>
  <c r="F159" i="13"/>
  <c r="G159" i="13" s="1"/>
  <c r="F155" i="13"/>
  <c r="F154" i="13"/>
  <c r="F153" i="13"/>
  <c r="F152" i="13"/>
  <c r="F151" i="13"/>
  <c r="F150" i="13"/>
  <c r="G149" i="13"/>
  <c r="G148" i="13"/>
  <c r="G147" i="13"/>
  <c r="G146" i="13"/>
  <c r="G145" i="13"/>
  <c r="G140" i="13"/>
  <c r="F135" i="13"/>
  <c r="F134" i="13"/>
  <c r="F133" i="13"/>
  <c r="F132" i="13"/>
  <c r="F131" i="13"/>
  <c r="F130" i="13"/>
  <c r="F125" i="13"/>
  <c r="F124" i="13"/>
  <c r="F123" i="13"/>
  <c r="F122" i="13"/>
  <c r="F121" i="13"/>
  <c r="F120" i="13"/>
  <c r="G120" i="13" s="1"/>
  <c r="F116" i="13"/>
  <c r="F115" i="13"/>
  <c r="F114" i="13"/>
  <c r="F113" i="13"/>
  <c r="F112" i="13"/>
  <c r="F111" i="13"/>
  <c r="G110" i="13"/>
  <c r="G109" i="13"/>
  <c r="G108" i="13"/>
  <c r="G107" i="13"/>
  <c r="G106" i="13"/>
  <c r="G101" i="13"/>
  <c r="F96" i="13"/>
  <c r="F95" i="13"/>
  <c r="F94" i="13"/>
  <c r="F93" i="13"/>
  <c r="F92" i="13"/>
  <c r="F91" i="13"/>
  <c r="F86" i="13"/>
  <c r="F85" i="13"/>
  <c r="F84" i="13"/>
  <c r="F83" i="13"/>
  <c r="F82" i="13"/>
  <c r="F81" i="13"/>
  <c r="G81" i="13" s="1"/>
  <c r="F77" i="13"/>
  <c r="F76" i="13"/>
  <c r="F75" i="13"/>
  <c r="F74" i="13"/>
  <c r="F73" i="13"/>
  <c r="F72" i="13"/>
  <c r="G71" i="13"/>
  <c r="G70" i="13"/>
  <c r="G69" i="13"/>
  <c r="G68" i="13"/>
  <c r="G67" i="13"/>
  <c r="G62" i="13"/>
  <c r="F57" i="13"/>
  <c r="F56" i="13"/>
  <c r="F55" i="13"/>
  <c r="F54" i="13"/>
  <c r="F53" i="13"/>
  <c r="F52" i="13"/>
  <c r="F47" i="13"/>
  <c r="F46" i="13"/>
  <c r="F45" i="13"/>
  <c r="F44" i="13"/>
  <c r="F43" i="13"/>
  <c r="F42" i="13"/>
  <c r="G42" i="13" s="1"/>
  <c r="F433" i="28"/>
  <c r="F432" i="28"/>
  <c r="G424" i="28"/>
  <c r="G423" i="28"/>
  <c r="G418" i="28"/>
  <c r="F413" i="28"/>
  <c r="F412" i="28"/>
  <c r="F411" i="28"/>
  <c r="F410" i="28"/>
  <c r="F409" i="28"/>
  <c r="F408" i="28"/>
  <c r="F403" i="28"/>
  <c r="F402" i="28"/>
  <c r="F401" i="28"/>
  <c r="F400" i="28"/>
  <c r="F399" i="28"/>
  <c r="F398" i="28"/>
  <c r="G398" i="28" s="1"/>
  <c r="F393" i="28"/>
  <c r="F392" i="28"/>
  <c r="G384" i="28"/>
  <c r="G383" i="28"/>
  <c r="G378" i="28"/>
  <c r="F373" i="28"/>
  <c r="F372" i="28"/>
  <c r="F371" i="28"/>
  <c r="F370" i="28"/>
  <c r="F369" i="28"/>
  <c r="F368" i="28"/>
  <c r="F363" i="28"/>
  <c r="F362" i="28"/>
  <c r="F361" i="28"/>
  <c r="F360" i="28"/>
  <c r="F359" i="28"/>
  <c r="F358" i="28"/>
  <c r="G358" i="28" s="1"/>
  <c r="F353" i="28"/>
  <c r="F352" i="28"/>
  <c r="G344" i="28"/>
  <c r="G343" i="28"/>
  <c r="G338" i="28"/>
  <c r="F333" i="28"/>
  <c r="F332" i="28"/>
  <c r="F331" i="28"/>
  <c r="F330" i="28"/>
  <c r="F329" i="28"/>
  <c r="F328" i="28"/>
  <c r="F323" i="28"/>
  <c r="F322" i="28"/>
  <c r="F321" i="28"/>
  <c r="F320" i="28"/>
  <c r="F319" i="28"/>
  <c r="F318" i="28"/>
  <c r="G318" i="28" s="1"/>
  <c r="F313" i="28"/>
  <c r="F312" i="28"/>
  <c r="G307" i="28"/>
  <c r="G304" i="28"/>
  <c r="G303" i="28"/>
  <c r="G298" i="28"/>
  <c r="F293" i="28"/>
  <c r="F292" i="28"/>
  <c r="F291" i="28"/>
  <c r="F290" i="28"/>
  <c r="F289" i="28"/>
  <c r="F288" i="28"/>
  <c r="F283" i="28"/>
  <c r="F282" i="28"/>
  <c r="F281" i="28"/>
  <c r="F280" i="28"/>
  <c r="F279" i="28"/>
  <c r="F278" i="28"/>
  <c r="G278" i="28" s="1"/>
  <c r="F273" i="28"/>
  <c r="F272" i="28"/>
  <c r="G265" i="28"/>
  <c r="G264" i="28"/>
  <c r="G263" i="28"/>
  <c r="G258" i="28"/>
  <c r="F253" i="28"/>
  <c r="F252" i="28"/>
  <c r="F251" i="28"/>
  <c r="F250" i="28"/>
  <c r="F249" i="28"/>
  <c r="F248" i="28"/>
  <c r="F243" i="28"/>
  <c r="F242" i="28"/>
  <c r="F241" i="28"/>
  <c r="F240" i="28"/>
  <c r="F239" i="28"/>
  <c r="F238" i="28"/>
  <c r="G238" i="28" s="1"/>
  <c r="F233" i="28"/>
  <c r="F232" i="28"/>
  <c r="G224" i="28"/>
  <c r="G223" i="28"/>
  <c r="G218" i="28"/>
  <c r="F213" i="28"/>
  <c r="F212" i="28"/>
  <c r="F211" i="28"/>
  <c r="F210" i="28"/>
  <c r="F209" i="28"/>
  <c r="F208" i="28"/>
  <c r="F203" i="28"/>
  <c r="F202" i="28"/>
  <c r="F201" i="28"/>
  <c r="F200" i="28"/>
  <c r="F199" i="28"/>
  <c r="F198" i="28"/>
  <c r="G198" i="28" s="1"/>
  <c r="F194" i="28"/>
  <c r="F193" i="28"/>
  <c r="G185" i="28"/>
  <c r="G184" i="28"/>
  <c r="G179" i="28"/>
  <c r="F174" i="28"/>
  <c r="F173" i="28"/>
  <c r="F172" i="28"/>
  <c r="F171" i="28"/>
  <c r="F170" i="28"/>
  <c r="F169" i="28"/>
  <c r="F164" i="28"/>
  <c r="F163" i="28"/>
  <c r="F162" i="28"/>
  <c r="F161" i="28"/>
  <c r="F160" i="28"/>
  <c r="F159" i="28"/>
  <c r="G159" i="28" s="1"/>
  <c r="F155" i="28"/>
  <c r="F154" i="28"/>
  <c r="G146" i="28"/>
  <c r="G145" i="28"/>
  <c r="G140" i="28"/>
  <c r="F135" i="28"/>
  <c r="F134" i="28"/>
  <c r="F133" i="28"/>
  <c r="F132" i="28"/>
  <c r="F131" i="28"/>
  <c r="F130" i="28"/>
  <c r="F125" i="28"/>
  <c r="F124" i="28"/>
  <c r="F123" i="28"/>
  <c r="F122" i="28"/>
  <c r="F121" i="28"/>
  <c r="F120" i="28"/>
  <c r="G120" i="28" s="1"/>
  <c r="F116" i="28"/>
  <c r="F115" i="28"/>
  <c r="G107" i="28"/>
  <c r="G106" i="28"/>
  <c r="G101" i="28"/>
  <c r="F96" i="28"/>
  <c r="F95" i="28"/>
  <c r="F94" i="28"/>
  <c r="F93" i="28"/>
  <c r="F92" i="28"/>
  <c r="F91" i="28"/>
  <c r="F86" i="28"/>
  <c r="F85" i="28"/>
  <c r="F84" i="28"/>
  <c r="F83" i="28"/>
  <c r="F82" i="28"/>
  <c r="F81" i="28"/>
  <c r="G81" i="28" s="1"/>
  <c r="F77" i="28"/>
  <c r="F76" i="28"/>
  <c r="G68" i="28"/>
  <c r="G67" i="28"/>
  <c r="G62" i="28"/>
  <c r="F57" i="28"/>
  <c r="F56" i="28"/>
  <c r="F55" i="28"/>
  <c r="F54" i="28"/>
  <c r="F53" i="28"/>
  <c r="F52" i="28"/>
  <c r="F47" i="28"/>
  <c r="F46" i="28"/>
  <c r="F45" i="28"/>
  <c r="F44" i="28"/>
  <c r="F43" i="28"/>
  <c r="F42" i="28"/>
  <c r="G42" i="28" s="1"/>
  <c r="F28" i="28"/>
  <c r="F6" i="28"/>
  <c r="G232" i="13" l="1"/>
  <c r="G312" i="13"/>
  <c r="G154" i="13"/>
  <c r="G242" i="13"/>
  <c r="G83" i="13"/>
  <c r="H83" i="13" s="1"/>
  <c r="I83" i="13" s="1"/>
  <c r="G279" i="28"/>
  <c r="H278" i="28" s="1"/>
  <c r="I278" i="28" s="1"/>
  <c r="G44" i="13"/>
  <c r="H44" i="13" s="1"/>
  <c r="I44" i="13" s="1"/>
  <c r="G360" i="13"/>
  <c r="H360" i="13" s="1"/>
  <c r="I360" i="13" s="1"/>
  <c r="G282" i="13"/>
  <c r="G319" i="13"/>
  <c r="H318" i="13" s="1"/>
  <c r="I318" i="13" s="1"/>
  <c r="G379" i="13"/>
  <c r="G193" i="28"/>
  <c r="G432" i="28"/>
  <c r="G160" i="13"/>
  <c r="H159" i="13" s="1"/>
  <c r="I159" i="13" s="1"/>
  <c r="G121" i="28"/>
  <c r="H120" i="28" s="1"/>
  <c r="I120" i="28" s="1"/>
  <c r="G319" i="28"/>
  <c r="H318" i="28" s="1"/>
  <c r="I318" i="28" s="1"/>
  <c r="G362" i="28"/>
  <c r="G379" i="28"/>
  <c r="G193" i="13"/>
  <c r="G392" i="13"/>
  <c r="G399" i="13"/>
  <c r="H398" i="13" s="1"/>
  <c r="I398" i="13" s="1"/>
  <c r="G339" i="28"/>
  <c r="G392" i="28"/>
  <c r="G163" i="13"/>
  <c r="G180" i="13"/>
  <c r="G348" i="13"/>
  <c r="G388" i="13"/>
  <c r="G83" i="28"/>
  <c r="H83" i="28" s="1"/>
  <c r="I83" i="28" s="1"/>
  <c r="G399" i="28"/>
  <c r="H398" i="28" s="1"/>
  <c r="I398" i="28" s="1"/>
  <c r="G46" i="13"/>
  <c r="G111" i="13"/>
  <c r="G124" i="13"/>
  <c r="G428" i="13"/>
  <c r="G299" i="28"/>
  <c r="G180" i="28"/>
  <c r="G76" i="28"/>
  <c r="G352" i="28"/>
  <c r="G72" i="13"/>
  <c r="G219" i="13"/>
  <c r="G239" i="13"/>
  <c r="H238" i="13" s="1"/>
  <c r="I238" i="13" s="1"/>
  <c r="G200" i="28"/>
  <c r="H200" i="28" s="1"/>
  <c r="I200" i="28" s="1"/>
  <c r="G43" i="13"/>
  <c r="H42" i="13" s="1"/>
  <c r="I42" i="13" s="1"/>
  <c r="G121" i="13"/>
  <c r="H120" i="13" s="1"/>
  <c r="I120" i="13" s="1"/>
  <c r="G432" i="13"/>
  <c r="G43" i="28"/>
  <c r="H42" i="28" s="1"/>
  <c r="I42" i="28" s="1"/>
  <c r="G63" i="28"/>
  <c r="G154" i="28"/>
  <c r="G219" i="28"/>
  <c r="G312" i="28"/>
  <c r="G359" i="28"/>
  <c r="H358" i="28" s="1"/>
  <c r="I358" i="28" s="1"/>
  <c r="G408" i="28"/>
  <c r="G322" i="28"/>
  <c r="G248" i="28"/>
  <c r="G240" i="28"/>
  <c r="H240" i="28" s="1"/>
  <c r="I240" i="28" s="1"/>
  <c r="G272" i="28"/>
  <c r="G160" i="28"/>
  <c r="H159" i="28" s="1"/>
  <c r="I159" i="28" s="1"/>
  <c r="G115" i="28"/>
  <c r="G388" i="28"/>
  <c r="G111" i="28"/>
  <c r="G428" i="28"/>
  <c r="G308" i="28"/>
  <c r="G72" i="28"/>
  <c r="G259" i="28"/>
  <c r="G202" i="28"/>
  <c r="G150" i="28"/>
  <c r="G189" i="28"/>
  <c r="H384" i="28"/>
  <c r="I384" i="28" s="1"/>
  <c r="G163" i="28"/>
  <c r="G400" i="28"/>
  <c r="H400" i="28" s="1"/>
  <c r="I400" i="28" s="1"/>
  <c r="G122" i="28"/>
  <c r="H122" i="28" s="1"/>
  <c r="I122" i="28" s="1"/>
  <c r="G280" i="28"/>
  <c r="H280" i="28" s="1"/>
  <c r="I280" i="28" s="1"/>
  <c r="G85" i="13"/>
  <c r="G419" i="13"/>
  <c r="G402" i="13"/>
  <c r="G161" i="13"/>
  <c r="H161" i="13" s="1"/>
  <c r="I161" i="13" s="1"/>
  <c r="G308" i="13"/>
  <c r="G268" i="13"/>
  <c r="G320" i="13"/>
  <c r="H320" i="13" s="1"/>
  <c r="I320" i="13" s="1"/>
  <c r="G362" i="13"/>
  <c r="G122" i="13"/>
  <c r="H122" i="13" s="1"/>
  <c r="I122" i="13" s="1"/>
  <c r="G240" i="13"/>
  <c r="H240" i="13" s="1"/>
  <c r="I240" i="13" s="1"/>
  <c r="G280" i="13"/>
  <c r="H280" i="13" s="1"/>
  <c r="I280" i="13" s="1"/>
  <c r="G400" i="13"/>
  <c r="H400" i="13" s="1"/>
  <c r="I400" i="13" s="1"/>
  <c r="H384" i="13"/>
  <c r="I384" i="13" s="1"/>
  <c r="G328" i="28"/>
  <c r="G248" i="13"/>
  <c r="G299" i="13"/>
  <c r="G141" i="28"/>
  <c r="G268" i="28"/>
  <c r="G348" i="28"/>
  <c r="G130" i="28"/>
  <c r="G85" i="28"/>
  <c r="G124" i="28"/>
  <c r="G161" i="28"/>
  <c r="H161" i="28" s="1"/>
  <c r="I161" i="28" s="1"/>
  <c r="G208" i="28"/>
  <c r="G239" i="28"/>
  <c r="H238" i="28" s="1"/>
  <c r="I238" i="28" s="1"/>
  <c r="G360" i="28"/>
  <c r="H360" i="28" s="1"/>
  <c r="I360" i="28" s="1"/>
  <c r="G52" i="13"/>
  <c r="G202" i="13"/>
  <c r="H224" i="13"/>
  <c r="I224" i="13" s="1"/>
  <c r="G279" i="13"/>
  <c r="H278" i="13" s="1"/>
  <c r="I278" i="13" s="1"/>
  <c r="G352" i="13"/>
  <c r="H264" i="13"/>
  <c r="I264" i="13" s="1"/>
  <c r="G288" i="28"/>
  <c r="G76" i="13"/>
  <c r="G102" i="13"/>
  <c r="G115" i="13"/>
  <c r="G141" i="13"/>
  <c r="G288" i="13"/>
  <c r="G189" i="13"/>
  <c r="G328" i="13"/>
  <c r="G408" i="13"/>
  <c r="G150" i="13"/>
  <c r="H150" i="13" s="1"/>
  <c r="I150" i="13" s="1"/>
  <c r="G259" i="13"/>
  <c r="G52" i="28"/>
  <c r="G44" i="28"/>
  <c r="H44" i="28" s="1"/>
  <c r="I44" i="28" s="1"/>
  <c r="G82" i="28"/>
  <c r="H81" i="28" s="1"/>
  <c r="I81" i="28" s="1"/>
  <c r="G232" i="28"/>
  <c r="G242" i="28"/>
  <c r="G282" i="28"/>
  <c r="G402" i="28"/>
  <c r="G63" i="13"/>
  <c r="G82" i="13"/>
  <c r="H81" i="13" s="1"/>
  <c r="I81" i="13" s="1"/>
  <c r="G169" i="13"/>
  <c r="G199" i="13"/>
  <c r="H198" i="13" s="1"/>
  <c r="I198" i="13" s="1"/>
  <c r="G228" i="13"/>
  <c r="G272" i="13"/>
  <c r="G359" i="13"/>
  <c r="H358" i="13" s="1"/>
  <c r="I358" i="13" s="1"/>
  <c r="G91" i="28"/>
  <c r="G208" i="13"/>
  <c r="H424" i="13"/>
  <c r="I424" i="13" s="1"/>
  <c r="G419" i="28"/>
  <c r="G46" i="28"/>
  <c r="G169" i="28"/>
  <c r="G199" i="28"/>
  <c r="H198" i="28" s="1"/>
  <c r="I198" i="28" s="1"/>
  <c r="G320" i="28"/>
  <c r="H320" i="28" s="1"/>
  <c r="I320" i="28" s="1"/>
  <c r="G368" i="28"/>
  <c r="G91" i="13"/>
  <c r="G130" i="13"/>
  <c r="H146" i="13"/>
  <c r="I146" i="13" s="1"/>
  <c r="G200" i="13"/>
  <c r="H200" i="13" s="1"/>
  <c r="I200" i="13" s="1"/>
  <c r="G322" i="13"/>
  <c r="G339" i="13"/>
  <c r="G368" i="13"/>
  <c r="G228" i="28"/>
  <c r="G102" i="28"/>
  <c r="H107" i="28"/>
  <c r="I107" i="28" s="1"/>
  <c r="H224" i="28"/>
  <c r="I224" i="28" s="1"/>
  <c r="H344" i="13"/>
  <c r="I344" i="13" s="1"/>
  <c r="H304" i="13"/>
  <c r="I304" i="13" s="1"/>
  <c r="H185" i="13"/>
  <c r="I185" i="13" s="1"/>
  <c r="H107" i="13"/>
  <c r="I107" i="13" s="1"/>
  <c r="H68" i="13"/>
  <c r="I68" i="13" s="1"/>
  <c r="H424" i="28"/>
  <c r="I424" i="28" s="1"/>
  <c r="H344" i="28"/>
  <c r="I344" i="28" s="1"/>
  <c r="H304" i="28"/>
  <c r="I304" i="28" s="1"/>
  <c r="H264" i="28"/>
  <c r="I264" i="28" s="1"/>
  <c r="H185" i="28"/>
  <c r="I185" i="28" s="1"/>
  <c r="H146" i="28"/>
  <c r="I146" i="28" s="1"/>
  <c r="H68" i="28"/>
  <c r="I68" i="28" s="1"/>
  <c r="H228" i="13" l="1"/>
  <c r="I228" i="13" s="1"/>
  <c r="H308" i="13"/>
  <c r="I308" i="13" s="1"/>
  <c r="H428" i="28"/>
  <c r="I428" i="28" s="1"/>
  <c r="H189" i="13"/>
  <c r="I189" i="13" s="1"/>
  <c r="H268" i="13"/>
  <c r="I268" i="13" s="1"/>
  <c r="H388" i="13"/>
  <c r="I388" i="13" s="1"/>
  <c r="H111" i="13"/>
  <c r="I111" i="13" s="1"/>
  <c r="H72" i="13"/>
  <c r="I72" i="13" s="1"/>
  <c r="H72" i="28"/>
  <c r="I72" i="28" s="1"/>
  <c r="H348" i="28"/>
  <c r="I348" i="28" s="1"/>
  <c r="H202" i="28"/>
  <c r="I202" i="28" s="1"/>
  <c r="H189" i="28"/>
  <c r="I189" i="28" s="1"/>
  <c r="H388" i="28"/>
  <c r="I388" i="28" s="1"/>
  <c r="H150" i="28"/>
  <c r="I150" i="28" s="1"/>
  <c r="H308" i="28"/>
  <c r="I308" i="28" s="1"/>
  <c r="H268" i="28"/>
  <c r="I268" i="28" s="1"/>
  <c r="H111" i="28"/>
  <c r="I111" i="28" s="1"/>
  <c r="H242" i="28"/>
  <c r="I242" i="28" s="1"/>
  <c r="H322" i="28"/>
  <c r="I322" i="28" s="1"/>
  <c r="H348" i="13"/>
  <c r="I348" i="13" s="1"/>
  <c r="H163" i="13"/>
  <c r="I163" i="13" s="1"/>
  <c r="H242" i="13"/>
  <c r="I242" i="13" s="1"/>
  <c r="H322" i="13"/>
  <c r="I322" i="13" s="1"/>
  <c r="H124" i="28"/>
  <c r="I124" i="28" s="1"/>
  <c r="H428" i="13"/>
  <c r="I428" i="13" s="1"/>
  <c r="H282" i="28"/>
  <c r="I282" i="28" s="1"/>
  <c r="H202" i="13"/>
  <c r="I202" i="13" s="1"/>
  <c r="H46" i="28"/>
  <c r="I46" i="28" s="1"/>
  <c r="H362" i="28"/>
  <c r="I362" i="28" s="1"/>
  <c r="H163" i="28"/>
  <c r="I163" i="28" s="1"/>
  <c r="H85" i="28"/>
  <c r="I85" i="28" s="1"/>
  <c r="H402" i="28"/>
  <c r="I402" i="28" s="1"/>
  <c r="H85" i="13"/>
  <c r="I85" i="13" s="1"/>
  <c r="H282" i="13"/>
  <c r="I282" i="13" s="1"/>
  <c r="H362" i="13"/>
  <c r="I362" i="13" s="1"/>
  <c r="H402" i="13"/>
  <c r="I402" i="13" s="1"/>
  <c r="H46" i="13"/>
  <c r="I46" i="13" s="1"/>
  <c r="H124" i="13"/>
  <c r="I124" i="13" s="1"/>
  <c r="H228" i="28"/>
  <c r="I228" i="28" s="1"/>
  <c r="F90" i="16"/>
  <c r="F89" i="16"/>
  <c r="F50" i="16"/>
  <c r="F49" i="16"/>
  <c r="F8" i="28"/>
  <c r="F7" i="28"/>
  <c r="F91" i="19"/>
  <c r="F90" i="19"/>
  <c r="F403" i="29"/>
  <c r="F402" i="29"/>
  <c r="F363" i="29"/>
  <c r="F362" i="29"/>
  <c r="F323" i="29"/>
  <c r="F322" i="29"/>
  <c r="F283" i="29"/>
  <c r="F282" i="29"/>
  <c r="F243" i="29"/>
  <c r="F242" i="29"/>
  <c r="F203" i="29"/>
  <c r="F202" i="29"/>
  <c r="F164" i="29"/>
  <c r="F163" i="29"/>
  <c r="F125" i="29"/>
  <c r="F124" i="29"/>
  <c r="F86" i="29"/>
  <c r="F85" i="29"/>
  <c r="F47" i="29"/>
  <c r="F46" i="29"/>
  <c r="F8" i="29"/>
  <c r="F7" i="29"/>
  <c r="F90" i="22"/>
  <c r="F89" i="22"/>
  <c r="F50" i="22"/>
  <c r="F49" i="22"/>
  <c r="F403" i="30"/>
  <c r="F402" i="30"/>
  <c r="F363" i="30"/>
  <c r="F362" i="30"/>
  <c r="F323" i="30"/>
  <c r="F322" i="30"/>
  <c r="F283" i="30"/>
  <c r="F282" i="30"/>
  <c r="F243" i="30"/>
  <c r="F242" i="30"/>
  <c r="F203" i="30"/>
  <c r="F202" i="30"/>
  <c r="F164" i="30"/>
  <c r="F163" i="30"/>
  <c r="F125" i="30"/>
  <c r="F124" i="30"/>
  <c r="F86" i="30"/>
  <c r="F85" i="30"/>
  <c r="F47" i="30"/>
  <c r="F46" i="30"/>
  <c r="F8" i="30"/>
  <c r="F7" i="30"/>
  <c r="F89" i="25"/>
  <c r="F88" i="25"/>
  <c r="F49" i="25"/>
  <c r="F48" i="25"/>
  <c r="F403" i="31"/>
  <c r="F402" i="31"/>
  <c r="F363" i="31"/>
  <c r="F362" i="31"/>
  <c r="F323" i="31"/>
  <c r="F322" i="31"/>
  <c r="F283" i="31"/>
  <c r="F282" i="31"/>
  <c r="F243" i="31"/>
  <c r="F242" i="31"/>
  <c r="F203" i="31"/>
  <c r="F202" i="31"/>
  <c r="F164" i="31"/>
  <c r="F163" i="31"/>
  <c r="F125" i="31"/>
  <c r="F124" i="31"/>
  <c r="F86" i="31"/>
  <c r="F85" i="31"/>
  <c r="F47" i="31"/>
  <c r="F46" i="31"/>
  <c r="F8" i="31"/>
  <c r="F7" i="31"/>
  <c r="S51" i="1"/>
  <c r="U51" i="1"/>
  <c r="U15" i="1"/>
  <c r="S15" i="1"/>
  <c r="J238" i="13" l="1"/>
  <c r="K238" i="13" s="1"/>
  <c r="J238" i="28"/>
  <c r="K238" i="28" s="1"/>
  <c r="J318" i="28"/>
  <c r="K318" i="28" s="1"/>
  <c r="J318" i="13"/>
  <c r="K318" i="13" s="1"/>
  <c r="J120" i="28"/>
  <c r="K120" i="28" s="1"/>
  <c r="J159" i="13"/>
  <c r="K159" i="13" s="1"/>
  <c r="J198" i="13"/>
  <c r="K198" i="13" s="1"/>
  <c r="J278" i="28"/>
  <c r="K278" i="28" s="1"/>
  <c r="J358" i="28"/>
  <c r="K358" i="28" s="1"/>
  <c r="J42" i="28"/>
  <c r="K42" i="28" s="1"/>
  <c r="J159" i="28"/>
  <c r="K159" i="28" s="1"/>
  <c r="J398" i="28"/>
  <c r="K398" i="28" s="1"/>
  <c r="J81" i="28"/>
  <c r="K81" i="28" s="1"/>
  <c r="J198" i="28"/>
  <c r="K198" i="28" s="1"/>
  <c r="J42" i="13"/>
  <c r="K42" i="13" s="1"/>
  <c r="J81" i="13"/>
  <c r="K81" i="13" s="1"/>
  <c r="J278" i="13"/>
  <c r="K278" i="13" s="1"/>
  <c r="J358" i="13"/>
  <c r="K358" i="13" s="1"/>
  <c r="J120" i="13"/>
  <c r="K120" i="13" s="1"/>
  <c r="J398" i="13"/>
  <c r="K398" i="13" s="1"/>
  <c r="O4" i="27" l="1"/>
  <c r="N4" i="27"/>
  <c r="M4" i="27"/>
  <c r="M24" i="27" s="1"/>
  <c r="L4" i="27"/>
  <c r="L24" i="27" s="1"/>
  <c r="K4" i="27"/>
  <c r="K24" i="27" s="1"/>
  <c r="J4" i="27"/>
  <c r="J24" i="27" s="1"/>
  <c r="I4" i="27"/>
  <c r="I24" i="27" s="1"/>
  <c r="H4" i="27"/>
  <c r="H24" i="27" s="1"/>
  <c r="G4" i="27"/>
  <c r="F4" i="27"/>
  <c r="F24" i="27" s="1"/>
  <c r="O4" i="24"/>
  <c r="N4" i="24"/>
  <c r="M4" i="24"/>
  <c r="M24" i="24" s="1"/>
  <c r="L4" i="24"/>
  <c r="L24" i="24" s="1"/>
  <c r="K4" i="24"/>
  <c r="K24" i="24" s="1"/>
  <c r="J4" i="24"/>
  <c r="J24" i="24" s="1"/>
  <c r="I4" i="24"/>
  <c r="I24" i="24" s="1"/>
  <c r="H4" i="24"/>
  <c r="H24" i="24" s="1"/>
  <c r="G4" i="24"/>
  <c r="G24" i="24" s="1"/>
  <c r="F4" i="24"/>
  <c r="F24" i="24" s="1"/>
  <c r="O4" i="21"/>
  <c r="O24" i="21" s="1"/>
  <c r="N4" i="21"/>
  <c r="N24" i="21" s="1"/>
  <c r="M4" i="21"/>
  <c r="M24" i="21" s="1"/>
  <c r="L4" i="21"/>
  <c r="L24" i="21" s="1"/>
  <c r="K4" i="21"/>
  <c r="K24" i="21" s="1"/>
  <c r="J4" i="21"/>
  <c r="I4" i="21"/>
  <c r="I24" i="21" s="1"/>
  <c r="H4" i="21"/>
  <c r="G4" i="21"/>
  <c r="G24" i="21" s="1"/>
  <c r="F4" i="21"/>
  <c r="F24" i="21" s="1"/>
  <c r="O4" i="18"/>
  <c r="O24" i="18" s="1"/>
  <c r="N4" i="18"/>
  <c r="N24" i="18" s="1"/>
  <c r="M4" i="18"/>
  <c r="M24" i="18" s="1"/>
  <c r="L4" i="18"/>
  <c r="L24" i="18" s="1"/>
  <c r="K4" i="18"/>
  <c r="K24" i="18" s="1"/>
  <c r="J4" i="18"/>
  <c r="J24" i="18" s="1"/>
  <c r="I4" i="18"/>
  <c r="I24" i="18" s="1"/>
  <c r="H4" i="18"/>
  <c r="H24" i="18" s="1"/>
  <c r="G4" i="18"/>
  <c r="G24" i="18" s="1"/>
  <c r="F4" i="18"/>
  <c r="F24" i="18" s="1"/>
  <c r="F433" i="31"/>
  <c r="F432" i="31"/>
  <c r="G427" i="31"/>
  <c r="O17" i="27" s="1"/>
  <c r="G426" i="31"/>
  <c r="O16" i="27" s="1"/>
  <c r="G425" i="31"/>
  <c r="O15" i="27" s="1"/>
  <c r="G424" i="31"/>
  <c r="G423" i="31"/>
  <c r="O13" i="27" s="1"/>
  <c r="G418" i="31"/>
  <c r="O11" i="27" s="1"/>
  <c r="F413" i="31"/>
  <c r="F412" i="31"/>
  <c r="F411" i="31"/>
  <c r="F410" i="31"/>
  <c r="F409" i="31"/>
  <c r="F408" i="31"/>
  <c r="F400" i="31"/>
  <c r="F399" i="31"/>
  <c r="F398" i="31"/>
  <c r="G398" i="31" s="1"/>
  <c r="F393" i="31"/>
  <c r="F392" i="31"/>
  <c r="G387" i="31"/>
  <c r="N17" i="27" s="1"/>
  <c r="G386" i="31"/>
  <c r="N16" i="27" s="1"/>
  <c r="G385" i="31"/>
  <c r="N15" i="27" s="1"/>
  <c r="G384" i="31"/>
  <c r="N14" i="27" s="1"/>
  <c r="G383" i="31"/>
  <c r="N13" i="27" s="1"/>
  <c r="G378" i="31"/>
  <c r="N11" i="27" s="1"/>
  <c r="F373" i="31"/>
  <c r="F372" i="31"/>
  <c r="F371" i="31"/>
  <c r="F370" i="31"/>
  <c r="F369" i="31"/>
  <c r="F368" i="31"/>
  <c r="F360" i="31"/>
  <c r="F359" i="31"/>
  <c r="F358" i="31"/>
  <c r="G358" i="31" s="1"/>
  <c r="N5" i="27" s="1"/>
  <c r="F353" i="31"/>
  <c r="F352" i="31"/>
  <c r="G347" i="31"/>
  <c r="M17" i="27" s="1"/>
  <c r="G346" i="31"/>
  <c r="M16" i="27" s="1"/>
  <c r="G345" i="31"/>
  <c r="M15" i="27" s="1"/>
  <c r="G344" i="31"/>
  <c r="G343" i="31"/>
  <c r="M13" i="27" s="1"/>
  <c r="G338" i="31"/>
  <c r="M11" i="27" s="1"/>
  <c r="F333" i="31"/>
  <c r="F332" i="31"/>
  <c r="F331" i="31"/>
  <c r="F330" i="31"/>
  <c r="F329" i="31"/>
  <c r="F328" i="31"/>
  <c r="F320" i="31"/>
  <c r="F319" i="31"/>
  <c r="F318" i="31"/>
  <c r="G318" i="31" s="1"/>
  <c r="M5" i="27" s="1"/>
  <c r="F313" i="31"/>
  <c r="F312" i="31"/>
  <c r="G307" i="31"/>
  <c r="L17" i="27" s="1"/>
  <c r="G306" i="31"/>
  <c r="L16" i="27" s="1"/>
  <c r="G305" i="31"/>
  <c r="L15" i="27" s="1"/>
  <c r="G304" i="31"/>
  <c r="G303" i="31"/>
  <c r="L13" i="27" s="1"/>
  <c r="G298" i="31"/>
  <c r="L11" i="27" s="1"/>
  <c r="F293" i="31"/>
  <c r="F292" i="31"/>
  <c r="F291" i="31"/>
  <c r="F290" i="31"/>
  <c r="F289" i="31"/>
  <c r="F288" i="31"/>
  <c r="F280" i="31"/>
  <c r="F279" i="31"/>
  <c r="F278" i="31"/>
  <c r="G278" i="31" s="1"/>
  <c r="L5" i="27" s="1"/>
  <c r="F273" i="31"/>
  <c r="F272" i="31"/>
  <c r="G267" i="31"/>
  <c r="K17" i="27" s="1"/>
  <c r="G266" i="31"/>
  <c r="K16" i="27" s="1"/>
  <c r="G265" i="31"/>
  <c r="K15" i="27" s="1"/>
  <c r="G264" i="31"/>
  <c r="G263" i="31"/>
  <c r="K13" i="27" s="1"/>
  <c r="G258" i="31"/>
  <c r="K11" i="27" s="1"/>
  <c r="F253" i="31"/>
  <c r="F252" i="31"/>
  <c r="F251" i="31"/>
  <c r="F250" i="31"/>
  <c r="F249" i="31"/>
  <c r="F248" i="31"/>
  <c r="F240" i="31"/>
  <c r="F239" i="31"/>
  <c r="F238" i="31"/>
  <c r="G238" i="31" s="1"/>
  <c r="F233" i="31"/>
  <c r="F232" i="31"/>
  <c r="G227" i="31"/>
  <c r="J17" i="27" s="1"/>
  <c r="G226" i="31"/>
  <c r="J16" i="27" s="1"/>
  <c r="G225" i="31"/>
  <c r="J15" i="27" s="1"/>
  <c r="G224" i="31"/>
  <c r="J14" i="27" s="1"/>
  <c r="G223" i="31"/>
  <c r="J13" i="27" s="1"/>
  <c r="G218" i="31"/>
  <c r="J11" i="27" s="1"/>
  <c r="F213" i="31"/>
  <c r="F212" i="31"/>
  <c r="F211" i="31"/>
  <c r="F210" i="31"/>
  <c r="F209" i="31"/>
  <c r="F208" i="31"/>
  <c r="F200" i="31"/>
  <c r="F199" i="31"/>
  <c r="F198" i="31"/>
  <c r="G198" i="31" s="1"/>
  <c r="J5" i="27" s="1"/>
  <c r="F194" i="31"/>
  <c r="F193" i="31"/>
  <c r="G188" i="31"/>
  <c r="I17" i="27" s="1"/>
  <c r="G187" i="31"/>
  <c r="G186" i="31"/>
  <c r="I15" i="27" s="1"/>
  <c r="G185" i="31"/>
  <c r="I14" i="27" s="1"/>
  <c r="G184" i="31"/>
  <c r="I13" i="27" s="1"/>
  <c r="G179" i="31"/>
  <c r="I11" i="27" s="1"/>
  <c r="F174" i="31"/>
  <c r="F173" i="31"/>
  <c r="F172" i="31"/>
  <c r="F171" i="31"/>
  <c r="F170" i="31"/>
  <c r="F169" i="31"/>
  <c r="F161" i="31"/>
  <c r="F160" i="31"/>
  <c r="F159" i="31"/>
  <c r="G159" i="31" s="1"/>
  <c r="I5" i="27" s="1"/>
  <c r="F155" i="31"/>
  <c r="F154" i="31"/>
  <c r="G149" i="31"/>
  <c r="H17" i="27" s="1"/>
  <c r="G148" i="31"/>
  <c r="H16" i="27" s="1"/>
  <c r="G147" i="31"/>
  <c r="G146" i="31"/>
  <c r="H14" i="27" s="1"/>
  <c r="G145" i="31"/>
  <c r="H13" i="27" s="1"/>
  <c r="G140" i="31"/>
  <c r="H11" i="27" s="1"/>
  <c r="F135" i="31"/>
  <c r="F134" i="31"/>
  <c r="F133" i="31"/>
  <c r="F132" i="31"/>
  <c r="F131" i="31"/>
  <c r="F130" i="31"/>
  <c r="F122" i="31"/>
  <c r="F121" i="31"/>
  <c r="F120" i="31"/>
  <c r="G120" i="31" s="1"/>
  <c r="F116" i="31"/>
  <c r="F115" i="31"/>
  <c r="G110" i="31"/>
  <c r="G17" i="27" s="1"/>
  <c r="G109" i="31"/>
  <c r="G16" i="27" s="1"/>
  <c r="G108" i="31"/>
  <c r="G15" i="27" s="1"/>
  <c r="G107" i="31"/>
  <c r="G106" i="31"/>
  <c r="G13" i="27" s="1"/>
  <c r="G101" i="31"/>
  <c r="G11" i="27" s="1"/>
  <c r="F96" i="31"/>
  <c r="F95" i="31"/>
  <c r="F94" i="31"/>
  <c r="F93" i="31"/>
  <c r="F92" i="31"/>
  <c r="F91" i="31"/>
  <c r="F83" i="31"/>
  <c r="F82" i="31"/>
  <c r="F81" i="31"/>
  <c r="G81" i="31" s="1"/>
  <c r="G5" i="27" s="1"/>
  <c r="F77" i="31"/>
  <c r="F76" i="31"/>
  <c r="G71" i="31"/>
  <c r="F17" i="27" s="1"/>
  <c r="G70" i="31"/>
  <c r="F16" i="27" s="1"/>
  <c r="G69" i="31"/>
  <c r="F15" i="27" s="1"/>
  <c r="G68" i="31"/>
  <c r="F14" i="27" s="1"/>
  <c r="G67" i="31"/>
  <c r="F13" i="27" s="1"/>
  <c r="G62" i="31"/>
  <c r="F11" i="27" s="1"/>
  <c r="F57" i="31"/>
  <c r="F56" i="31"/>
  <c r="F55" i="31"/>
  <c r="F54" i="31"/>
  <c r="F53" i="31"/>
  <c r="F52" i="31"/>
  <c r="F44" i="31"/>
  <c r="F43" i="31"/>
  <c r="F42" i="31"/>
  <c r="G42" i="31" s="1"/>
  <c r="F5" i="27" s="1"/>
  <c r="F38" i="31"/>
  <c r="F37" i="31"/>
  <c r="G32" i="31"/>
  <c r="E17" i="27" s="1"/>
  <c r="G31" i="31"/>
  <c r="G30" i="31"/>
  <c r="E15" i="27" s="1"/>
  <c r="F29" i="31"/>
  <c r="G29" i="31" s="1"/>
  <c r="E14" i="27" s="1"/>
  <c r="G28" i="31"/>
  <c r="E13" i="27" s="1"/>
  <c r="F27" i="31"/>
  <c r="G23" i="31"/>
  <c r="E11" i="27" s="1"/>
  <c r="F18" i="31"/>
  <c r="F17" i="31"/>
  <c r="F16" i="31"/>
  <c r="F15" i="31"/>
  <c r="F14" i="31"/>
  <c r="F13" i="31"/>
  <c r="F11" i="31"/>
  <c r="F10" i="31"/>
  <c r="F9" i="31"/>
  <c r="F5" i="31"/>
  <c r="F4" i="31"/>
  <c r="F3" i="31"/>
  <c r="G3" i="31" s="1"/>
  <c r="F433" i="30"/>
  <c r="F432" i="30"/>
  <c r="G427" i="30"/>
  <c r="O17" i="24" s="1"/>
  <c r="G426" i="30"/>
  <c r="O16" i="24" s="1"/>
  <c r="G425" i="30"/>
  <c r="O15" i="24" s="1"/>
  <c r="G424" i="30"/>
  <c r="G423" i="30"/>
  <c r="O13" i="24" s="1"/>
  <c r="G418" i="30"/>
  <c r="O11" i="24" s="1"/>
  <c r="F413" i="30"/>
  <c r="F412" i="30"/>
  <c r="F411" i="30"/>
  <c r="F410" i="30"/>
  <c r="F409" i="30"/>
  <c r="F408" i="30"/>
  <c r="F400" i="30"/>
  <c r="F399" i="30"/>
  <c r="F398" i="30"/>
  <c r="G398" i="30" s="1"/>
  <c r="O5" i="24" s="1"/>
  <c r="F393" i="30"/>
  <c r="F392" i="30"/>
  <c r="G387" i="30"/>
  <c r="N17" i="24" s="1"/>
  <c r="G386" i="30"/>
  <c r="N16" i="24" s="1"/>
  <c r="G385" i="30"/>
  <c r="N15" i="24" s="1"/>
  <c r="G384" i="30"/>
  <c r="N14" i="24" s="1"/>
  <c r="G383" i="30"/>
  <c r="N13" i="24" s="1"/>
  <c r="G378" i="30"/>
  <c r="N11" i="24" s="1"/>
  <c r="F373" i="30"/>
  <c r="F372" i="30"/>
  <c r="F371" i="30"/>
  <c r="F370" i="30"/>
  <c r="F369" i="30"/>
  <c r="F368" i="30"/>
  <c r="F360" i="30"/>
  <c r="F359" i="30"/>
  <c r="F358" i="30"/>
  <c r="G358" i="30" s="1"/>
  <c r="N5" i="24" s="1"/>
  <c r="F353" i="30"/>
  <c r="F352" i="30"/>
  <c r="G347" i="30"/>
  <c r="M17" i="24" s="1"/>
  <c r="G346" i="30"/>
  <c r="G345" i="30"/>
  <c r="M15" i="24" s="1"/>
  <c r="G344" i="30"/>
  <c r="M14" i="24" s="1"/>
  <c r="G343" i="30"/>
  <c r="M13" i="24" s="1"/>
  <c r="G338" i="30"/>
  <c r="M11" i="24" s="1"/>
  <c r="F333" i="30"/>
  <c r="F332" i="30"/>
  <c r="F331" i="30"/>
  <c r="F330" i="30"/>
  <c r="F329" i="30"/>
  <c r="F328" i="30"/>
  <c r="F320" i="30"/>
  <c r="F319" i="30"/>
  <c r="F318" i="30"/>
  <c r="G318" i="30" s="1"/>
  <c r="M5" i="24" s="1"/>
  <c r="F313" i="30"/>
  <c r="F312" i="30"/>
  <c r="G307" i="30"/>
  <c r="L17" i="24" s="1"/>
  <c r="G306" i="30"/>
  <c r="L16" i="24" s="1"/>
  <c r="G305" i="30"/>
  <c r="L15" i="24" s="1"/>
  <c r="G304" i="30"/>
  <c r="G303" i="30"/>
  <c r="L13" i="24" s="1"/>
  <c r="G298" i="30"/>
  <c r="L11" i="24" s="1"/>
  <c r="F293" i="30"/>
  <c r="F292" i="30"/>
  <c r="F291" i="30"/>
  <c r="F290" i="30"/>
  <c r="F289" i="30"/>
  <c r="F288" i="30"/>
  <c r="F280" i="30"/>
  <c r="F279" i="30"/>
  <c r="F278" i="30"/>
  <c r="G278" i="30" s="1"/>
  <c r="F273" i="30"/>
  <c r="F272" i="30"/>
  <c r="G267" i="30"/>
  <c r="K17" i="24" s="1"/>
  <c r="G266" i="30"/>
  <c r="K16" i="24" s="1"/>
  <c r="G265" i="30"/>
  <c r="K15" i="24" s="1"/>
  <c r="G264" i="30"/>
  <c r="G263" i="30"/>
  <c r="K13" i="24" s="1"/>
  <c r="G258" i="30"/>
  <c r="K11" i="24" s="1"/>
  <c r="F253" i="30"/>
  <c r="F252" i="30"/>
  <c r="F251" i="30"/>
  <c r="F250" i="30"/>
  <c r="F249" i="30"/>
  <c r="F248" i="30"/>
  <c r="F240" i="30"/>
  <c r="F239" i="30"/>
  <c r="F238" i="30"/>
  <c r="G238" i="30" s="1"/>
  <c r="K5" i="24" s="1"/>
  <c r="F233" i="30"/>
  <c r="F232" i="30"/>
  <c r="G227" i="30"/>
  <c r="J17" i="24" s="1"/>
  <c r="G226" i="30"/>
  <c r="G225" i="30"/>
  <c r="J15" i="24" s="1"/>
  <c r="G224" i="30"/>
  <c r="J14" i="24" s="1"/>
  <c r="G223" i="30"/>
  <c r="J13" i="24" s="1"/>
  <c r="G218" i="30"/>
  <c r="J11" i="24" s="1"/>
  <c r="F213" i="30"/>
  <c r="F212" i="30"/>
  <c r="F211" i="30"/>
  <c r="F210" i="30"/>
  <c r="F209" i="30"/>
  <c r="F208" i="30"/>
  <c r="F200" i="30"/>
  <c r="F199" i="30"/>
  <c r="F198" i="30"/>
  <c r="G198" i="30" s="1"/>
  <c r="J5" i="24" s="1"/>
  <c r="F194" i="30"/>
  <c r="F193" i="30"/>
  <c r="G188" i="30"/>
  <c r="I17" i="24" s="1"/>
  <c r="G187" i="30"/>
  <c r="I16" i="24" s="1"/>
  <c r="G186" i="30"/>
  <c r="I15" i="24" s="1"/>
  <c r="G185" i="30"/>
  <c r="I14" i="24" s="1"/>
  <c r="G184" i="30"/>
  <c r="I13" i="24" s="1"/>
  <c r="G179" i="30"/>
  <c r="I11" i="24" s="1"/>
  <c r="F174" i="30"/>
  <c r="F173" i="30"/>
  <c r="F172" i="30"/>
  <c r="F171" i="30"/>
  <c r="F170" i="30"/>
  <c r="F169" i="30"/>
  <c r="F161" i="30"/>
  <c r="F160" i="30"/>
  <c r="F159" i="30"/>
  <c r="G159" i="30" s="1"/>
  <c r="I5" i="24" s="1"/>
  <c r="F155" i="30"/>
  <c r="F154" i="30"/>
  <c r="G149" i="30"/>
  <c r="H17" i="24" s="1"/>
  <c r="G148" i="30"/>
  <c r="H16" i="24" s="1"/>
  <c r="G147" i="30"/>
  <c r="H15" i="24" s="1"/>
  <c r="G146" i="30"/>
  <c r="H14" i="24" s="1"/>
  <c r="G145" i="30"/>
  <c r="H13" i="24" s="1"/>
  <c r="G140" i="30"/>
  <c r="H11" i="24" s="1"/>
  <c r="F135" i="30"/>
  <c r="F134" i="30"/>
  <c r="F133" i="30"/>
  <c r="F132" i="30"/>
  <c r="F131" i="30"/>
  <c r="F130" i="30"/>
  <c r="F122" i="30"/>
  <c r="F121" i="30"/>
  <c r="F120" i="30"/>
  <c r="G120" i="30" s="1"/>
  <c r="F116" i="30"/>
  <c r="F115" i="30"/>
  <c r="G110" i="30"/>
  <c r="G17" i="24" s="1"/>
  <c r="G109" i="30"/>
  <c r="G16" i="24" s="1"/>
  <c r="G108" i="30"/>
  <c r="G15" i="24" s="1"/>
  <c r="G107" i="30"/>
  <c r="G14" i="24" s="1"/>
  <c r="G106" i="30"/>
  <c r="G13" i="24" s="1"/>
  <c r="G101" i="30"/>
  <c r="G11" i="24" s="1"/>
  <c r="F96" i="30"/>
  <c r="F95" i="30"/>
  <c r="F94" i="30"/>
  <c r="F93" i="30"/>
  <c r="F92" i="30"/>
  <c r="F91" i="30"/>
  <c r="F83" i="30"/>
  <c r="F82" i="30"/>
  <c r="F81" i="30"/>
  <c r="G81" i="30" s="1"/>
  <c r="F77" i="30"/>
  <c r="F76" i="30"/>
  <c r="G71" i="30"/>
  <c r="F17" i="24" s="1"/>
  <c r="G70" i="30"/>
  <c r="F16" i="24" s="1"/>
  <c r="G69" i="30"/>
  <c r="F15" i="24" s="1"/>
  <c r="G68" i="30"/>
  <c r="G67" i="30"/>
  <c r="F13" i="24" s="1"/>
  <c r="G62" i="30"/>
  <c r="F11" i="24" s="1"/>
  <c r="F57" i="30"/>
  <c r="F56" i="30"/>
  <c r="F55" i="30"/>
  <c r="F54" i="30"/>
  <c r="F53" i="30"/>
  <c r="F52" i="30"/>
  <c r="F44" i="30"/>
  <c r="F43" i="30"/>
  <c r="F42" i="30"/>
  <c r="G42" i="30" s="1"/>
  <c r="F5" i="24" s="1"/>
  <c r="F38" i="30"/>
  <c r="F37" i="30"/>
  <c r="G32" i="30"/>
  <c r="E17" i="24" s="1"/>
  <c r="G31" i="30"/>
  <c r="E16" i="24" s="1"/>
  <c r="G30" i="30"/>
  <c r="E15" i="24" s="1"/>
  <c r="F29" i="30"/>
  <c r="G29" i="30" s="1"/>
  <c r="G28" i="30"/>
  <c r="E13" i="24" s="1"/>
  <c r="F27" i="30"/>
  <c r="G23" i="30"/>
  <c r="E11" i="24" s="1"/>
  <c r="F18" i="30"/>
  <c r="F17" i="30"/>
  <c r="F16" i="30"/>
  <c r="F15" i="30"/>
  <c r="F14" i="30"/>
  <c r="F13" i="30"/>
  <c r="F11" i="30"/>
  <c r="F10" i="30"/>
  <c r="F9" i="30"/>
  <c r="F5" i="30"/>
  <c r="F4" i="30"/>
  <c r="F3" i="30"/>
  <c r="G3" i="30" s="1"/>
  <c r="F433" i="29"/>
  <c r="F432" i="29"/>
  <c r="G427" i="29"/>
  <c r="O17" i="21" s="1"/>
  <c r="G426" i="29"/>
  <c r="O16" i="21" s="1"/>
  <c r="G425" i="29"/>
  <c r="O15" i="21" s="1"/>
  <c r="G424" i="29"/>
  <c r="O14" i="21" s="1"/>
  <c r="G423" i="29"/>
  <c r="O13" i="21" s="1"/>
  <c r="G418" i="29"/>
  <c r="O11" i="21" s="1"/>
  <c r="F413" i="29"/>
  <c r="F412" i="29"/>
  <c r="F411" i="29"/>
  <c r="F410" i="29"/>
  <c r="F409" i="29"/>
  <c r="F408" i="29"/>
  <c r="F400" i="29"/>
  <c r="F399" i="29"/>
  <c r="F398" i="29"/>
  <c r="G398" i="29" s="1"/>
  <c r="F393" i="29"/>
  <c r="F392" i="29"/>
  <c r="G387" i="29"/>
  <c r="N17" i="21" s="1"/>
  <c r="G386" i="29"/>
  <c r="N16" i="21" s="1"/>
  <c r="G385" i="29"/>
  <c r="N15" i="21" s="1"/>
  <c r="G384" i="29"/>
  <c r="G383" i="29"/>
  <c r="N13" i="21" s="1"/>
  <c r="G378" i="29"/>
  <c r="N11" i="21" s="1"/>
  <c r="F373" i="29"/>
  <c r="F372" i="29"/>
  <c r="F371" i="29"/>
  <c r="F370" i="29"/>
  <c r="F369" i="29"/>
  <c r="F368" i="29"/>
  <c r="F360" i="29"/>
  <c r="F359" i="29"/>
  <c r="F358" i="29"/>
  <c r="G358" i="29" s="1"/>
  <c r="N5" i="21" s="1"/>
  <c r="F353" i="29"/>
  <c r="F352" i="29"/>
  <c r="G347" i="29"/>
  <c r="M17" i="21" s="1"/>
  <c r="G346" i="29"/>
  <c r="M16" i="21" s="1"/>
  <c r="G345" i="29"/>
  <c r="M15" i="21" s="1"/>
  <c r="G344" i="29"/>
  <c r="G343" i="29"/>
  <c r="M13" i="21" s="1"/>
  <c r="G338" i="29"/>
  <c r="M11" i="21" s="1"/>
  <c r="F333" i="29"/>
  <c r="F332" i="29"/>
  <c r="F331" i="29"/>
  <c r="F330" i="29"/>
  <c r="F329" i="29"/>
  <c r="F328" i="29"/>
  <c r="F320" i="29"/>
  <c r="F319" i="29"/>
  <c r="F318" i="29"/>
  <c r="G318" i="29" s="1"/>
  <c r="M5" i="21" s="1"/>
  <c r="F313" i="29"/>
  <c r="F312" i="29"/>
  <c r="G307" i="29"/>
  <c r="L17" i="21" s="1"/>
  <c r="G306" i="29"/>
  <c r="L16" i="21" s="1"/>
  <c r="G305" i="29"/>
  <c r="L15" i="21" s="1"/>
  <c r="G304" i="29"/>
  <c r="G303" i="29"/>
  <c r="L13" i="21" s="1"/>
  <c r="G298" i="29"/>
  <c r="L11" i="21" s="1"/>
  <c r="F293" i="29"/>
  <c r="F292" i="29"/>
  <c r="F291" i="29"/>
  <c r="F290" i="29"/>
  <c r="F289" i="29"/>
  <c r="F288" i="29"/>
  <c r="F280" i="29"/>
  <c r="F279" i="29"/>
  <c r="F278" i="29"/>
  <c r="G278" i="29" s="1"/>
  <c r="F273" i="29"/>
  <c r="F272" i="29"/>
  <c r="G267" i="29"/>
  <c r="K17" i="21" s="1"/>
  <c r="G266" i="29"/>
  <c r="K16" i="21" s="1"/>
  <c r="G265" i="29"/>
  <c r="K15" i="21" s="1"/>
  <c r="G264" i="29"/>
  <c r="G263" i="29"/>
  <c r="K13" i="21" s="1"/>
  <c r="G258" i="29"/>
  <c r="K11" i="21" s="1"/>
  <c r="F253" i="29"/>
  <c r="F252" i="29"/>
  <c r="F251" i="29"/>
  <c r="F250" i="29"/>
  <c r="F249" i="29"/>
  <c r="F248" i="29"/>
  <c r="F240" i="29"/>
  <c r="F239" i="29"/>
  <c r="F238" i="29"/>
  <c r="G238" i="29" s="1"/>
  <c r="F233" i="29"/>
  <c r="F232" i="29"/>
  <c r="G227" i="29"/>
  <c r="J17" i="21" s="1"/>
  <c r="G226" i="29"/>
  <c r="J16" i="21" s="1"/>
  <c r="G225" i="29"/>
  <c r="J15" i="21" s="1"/>
  <c r="G224" i="29"/>
  <c r="J14" i="21" s="1"/>
  <c r="G223" i="29"/>
  <c r="J13" i="21" s="1"/>
  <c r="G218" i="29"/>
  <c r="J11" i="21" s="1"/>
  <c r="F213" i="29"/>
  <c r="F212" i="29"/>
  <c r="F211" i="29"/>
  <c r="F210" i="29"/>
  <c r="F209" i="29"/>
  <c r="F208" i="29"/>
  <c r="F200" i="29"/>
  <c r="F199" i="29"/>
  <c r="F198" i="29"/>
  <c r="G198" i="29" s="1"/>
  <c r="J5" i="21" s="1"/>
  <c r="F194" i="29"/>
  <c r="F193" i="29"/>
  <c r="G188" i="29"/>
  <c r="I17" i="21" s="1"/>
  <c r="G187" i="29"/>
  <c r="I16" i="21" s="1"/>
  <c r="G186" i="29"/>
  <c r="I15" i="21" s="1"/>
  <c r="G185" i="29"/>
  <c r="G184" i="29"/>
  <c r="I13" i="21" s="1"/>
  <c r="G179" i="29"/>
  <c r="I11" i="21" s="1"/>
  <c r="F174" i="29"/>
  <c r="F173" i="29"/>
  <c r="F172" i="29"/>
  <c r="F171" i="29"/>
  <c r="F170" i="29"/>
  <c r="F169" i="29"/>
  <c r="F161" i="29"/>
  <c r="F160" i="29"/>
  <c r="F159" i="29"/>
  <c r="G159" i="29" s="1"/>
  <c r="F155" i="29"/>
  <c r="F154" i="29"/>
  <c r="G149" i="29"/>
  <c r="H17" i="21" s="1"/>
  <c r="G148" i="29"/>
  <c r="H16" i="21" s="1"/>
  <c r="G147" i="29"/>
  <c r="H15" i="21" s="1"/>
  <c r="G146" i="29"/>
  <c r="G145" i="29"/>
  <c r="H13" i="21" s="1"/>
  <c r="G140" i="29"/>
  <c r="H11" i="21" s="1"/>
  <c r="F135" i="29"/>
  <c r="F134" i="29"/>
  <c r="F133" i="29"/>
  <c r="F132" i="29"/>
  <c r="F131" i="29"/>
  <c r="F130" i="29"/>
  <c r="F122" i="29"/>
  <c r="F121" i="29"/>
  <c r="F120" i="29"/>
  <c r="G120" i="29" s="1"/>
  <c r="F116" i="29"/>
  <c r="F115" i="29"/>
  <c r="G110" i="29"/>
  <c r="G17" i="21" s="1"/>
  <c r="G109" i="29"/>
  <c r="G16" i="21" s="1"/>
  <c r="G108" i="29"/>
  <c r="G15" i="21" s="1"/>
  <c r="G107" i="29"/>
  <c r="G14" i="21" s="1"/>
  <c r="G106" i="29"/>
  <c r="G13" i="21" s="1"/>
  <c r="G101" i="29"/>
  <c r="G11" i="21" s="1"/>
  <c r="F96" i="29"/>
  <c r="F95" i="29"/>
  <c r="F94" i="29"/>
  <c r="F93" i="29"/>
  <c r="F92" i="29"/>
  <c r="F91" i="29"/>
  <c r="F83" i="29"/>
  <c r="F82" i="29"/>
  <c r="F81" i="29"/>
  <c r="G81" i="29" s="1"/>
  <c r="F77" i="29"/>
  <c r="F76" i="29"/>
  <c r="G71" i="29"/>
  <c r="F17" i="21" s="1"/>
  <c r="G70" i="29"/>
  <c r="F16" i="21" s="1"/>
  <c r="G69" i="29"/>
  <c r="F15" i="21" s="1"/>
  <c r="G68" i="29"/>
  <c r="G67" i="29"/>
  <c r="F13" i="21" s="1"/>
  <c r="G62" i="29"/>
  <c r="F11" i="21" s="1"/>
  <c r="F57" i="29"/>
  <c r="F56" i="29"/>
  <c r="F55" i="29"/>
  <c r="F54" i="29"/>
  <c r="F53" i="29"/>
  <c r="F52" i="29"/>
  <c r="F44" i="29"/>
  <c r="F43" i="29"/>
  <c r="F42" i="29"/>
  <c r="G42" i="29" s="1"/>
  <c r="F38" i="29"/>
  <c r="F37" i="29"/>
  <c r="G32" i="29"/>
  <c r="E17" i="21" s="1"/>
  <c r="G31" i="29"/>
  <c r="E16" i="21" s="1"/>
  <c r="G30" i="29"/>
  <c r="E15" i="21" s="1"/>
  <c r="F29" i="29"/>
  <c r="G29" i="29" s="1"/>
  <c r="G28" i="29"/>
  <c r="E13" i="21" s="1"/>
  <c r="F27" i="29"/>
  <c r="G23" i="29"/>
  <c r="E11" i="21" s="1"/>
  <c r="F18" i="29"/>
  <c r="F17" i="29"/>
  <c r="F16" i="29"/>
  <c r="F15" i="29"/>
  <c r="F14" i="29"/>
  <c r="F13" i="29"/>
  <c r="F5" i="29"/>
  <c r="F4" i="29"/>
  <c r="F3" i="29"/>
  <c r="G3" i="29" s="1"/>
  <c r="O17" i="18"/>
  <c r="O16" i="18"/>
  <c r="O15" i="18"/>
  <c r="O14" i="18"/>
  <c r="O13" i="18"/>
  <c r="O11" i="18"/>
  <c r="O8" i="18"/>
  <c r="N17" i="18"/>
  <c r="N16" i="18"/>
  <c r="N15" i="18"/>
  <c r="N14" i="18"/>
  <c r="N13" i="18"/>
  <c r="N11" i="18"/>
  <c r="N5" i="18"/>
  <c r="M19" i="18"/>
  <c r="M17" i="18"/>
  <c r="M16" i="18"/>
  <c r="M15" i="18"/>
  <c r="M14" i="18"/>
  <c r="M13" i="18"/>
  <c r="M11" i="18"/>
  <c r="L17" i="18"/>
  <c r="L16" i="18"/>
  <c r="L15" i="18"/>
  <c r="L13" i="18"/>
  <c r="L11" i="18"/>
  <c r="K19" i="18"/>
  <c r="K17" i="18"/>
  <c r="K16" i="18"/>
  <c r="K15" i="18"/>
  <c r="K14" i="18"/>
  <c r="K13" i="18"/>
  <c r="K11" i="18"/>
  <c r="K6" i="18"/>
  <c r="J19" i="18"/>
  <c r="J17" i="18"/>
  <c r="J16" i="18"/>
  <c r="J15" i="18"/>
  <c r="J14" i="18"/>
  <c r="J13" i="18"/>
  <c r="J11" i="18"/>
  <c r="J5" i="18"/>
  <c r="I19" i="18"/>
  <c r="I17" i="18"/>
  <c r="I16" i="18"/>
  <c r="I15" i="18"/>
  <c r="I13" i="18"/>
  <c r="I11" i="18"/>
  <c r="H17" i="18"/>
  <c r="H16" i="18"/>
  <c r="H15" i="18"/>
  <c r="H14" i="18"/>
  <c r="H13" i="18"/>
  <c r="H11" i="18"/>
  <c r="H9" i="18"/>
  <c r="H5" i="18"/>
  <c r="G19" i="18"/>
  <c r="G17" i="18"/>
  <c r="G16" i="18"/>
  <c r="G15" i="18"/>
  <c r="G13" i="18"/>
  <c r="G11" i="18"/>
  <c r="G5" i="18"/>
  <c r="F19" i="18"/>
  <c r="F17" i="18"/>
  <c r="F16" i="18"/>
  <c r="F15" i="18"/>
  <c r="F14" i="18"/>
  <c r="F13" i="18"/>
  <c r="F11" i="18"/>
  <c r="F5" i="18"/>
  <c r="F38" i="28"/>
  <c r="F37" i="28"/>
  <c r="G32" i="28"/>
  <c r="E17" i="18" s="1"/>
  <c r="G31" i="28"/>
  <c r="E16" i="18" s="1"/>
  <c r="G30" i="28"/>
  <c r="E15" i="18" s="1"/>
  <c r="F29" i="28"/>
  <c r="G29" i="28" s="1"/>
  <c r="G28" i="28"/>
  <c r="E13" i="18" s="1"/>
  <c r="F27" i="28"/>
  <c r="G23" i="28"/>
  <c r="E11" i="18" s="1"/>
  <c r="F18" i="28"/>
  <c r="F17" i="28"/>
  <c r="F16" i="28"/>
  <c r="F15" i="28"/>
  <c r="F14" i="28"/>
  <c r="F13" i="28"/>
  <c r="F5" i="28"/>
  <c r="F4" i="28"/>
  <c r="F3" i="28"/>
  <c r="G3" i="28" s="1"/>
  <c r="E5" i="18" s="1"/>
  <c r="O24" i="27"/>
  <c r="N24" i="27"/>
  <c r="G24" i="27"/>
  <c r="F119" i="25"/>
  <c r="F118" i="25"/>
  <c r="F117" i="25"/>
  <c r="F116" i="25"/>
  <c r="F115" i="25"/>
  <c r="F114" i="25"/>
  <c r="G113" i="25"/>
  <c r="D38" i="25" s="1"/>
  <c r="D17" i="27" s="1"/>
  <c r="G112" i="25"/>
  <c r="D37" i="25" s="1"/>
  <c r="D16" i="27" s="1"/>
  <c r="F111" i="25"/>
  <c r="G111" i="25" s="1"/>
  <c r="D36" i="25" s="1"/>
  <c r="D15" i="27" s="1"/>
  <c r="F110" i="25"/>
  <c r="G110" i="25" s="1"/>
  <c r="F109" i="25"/>
  <c r="G109" i="25" s="1"/>
  <c r="D34" i="25" s="1"/>
  <c r="D13" i="27" s="1"/>
  <c r="F108" i="25"/>
  <c r="F107" i="25"/>
  <c r="G104" i="25"/>
  <c r="D32" i="25" s="1"/>
  <c r="D11" i="27" s="1"/>
  <c r="F99" i="25"/>
  <c r="F98" i="25"/>
  <c r="F97" i="25"/>
  <c r="F96" i="25"/>
  <c r="F95" i="25"/>
  <c r="F94" i="25"/>
  <c r="F87" i="25"/>
  <c r="F86" i="25"/>
  <c r="F85" i="25"/>
  <c r="F84" i="25"/>
  <c r="G84" i="25" s="1"/>
  <c r="D26" i="25" s="1"/>
  <c r="D5" i="27" s="1"/>
  <c r="F79" i="25"/>
  <c r="F78" i="25"/>
  <c r="F77" i="25"/>
  <c r="F76" i="25"/>
  <c r="F75" i="25"/>
  <c r="F74" i="25"/>
  <c r="G73" i="25"/>
  <c r="C38" i="25" s="1"/>
  <c r="C17" i="27" s="1"/>
  <c r="G72" i="25"/>
  <c r="F71" i="25"/>
  <c r="G71" i="25" s="1"/>
  <c r="C36" i="25" s="1"/>
  <c r="C15" i="27" s="1"/>
  <c r="F70" i="25"/>
  <c r="G70" i="25" s="1"/>
  <c r="C35" i="25" s="1"/>
  <c r="C14" i="27" s="1"/>
  <c r="F69" i="25"/>
  <c r="G69" i="25" s="1"/>
  <c r="C34" i="25" s="1"/>
  <c r="C13" i="27" s="1"/>
  <c r="F68" i="25"/>
  <c r="F67" i="25"/>
  <c r="G64" i="25"/>
  <c r="C32" i="25" s="1"/>
  <c r="C11" i="27" s="1"/>
  <c r="F59" i="25"/>
  <c r="F58" i="25"/>
  <c r="F57" i="25"/>
  <c r="F56" i="25"/>
  <c r="F55" i="25"/>
  <c r="F54" i="25"/>
  <c r="F51" i="25"/>
  <c r="F50" i="25"/>
  <c r="F47" i="25"/>
  <c r="F46" i="25"/>
  <c r="F45" i="25"/>
  <c r="F44" i="25"/>
  <c r="G44" i="25" s="1"/>
  <c r="C26" i="25" s="1"/>
  <c r="C5" i="27" s="1"/>
  <c r="F16" i="25"/>
  <c r="F15" i="25"/>
  <c r="O24" i="24"/>
  <c r="N24" i="24"/>
  <c r="F120" i="22"/>
  <c r="F119" i="22"/>
  <c r="F118" i="22"/>
  <c r="F117" i="22"/>
  <c r="F116" i="22"/>
  <c r="F115" i="22"/>
  <c r="G114" i="22"/>
  <c r="D38" i="22" s="1"/>
  <c r="D17" i="24" s="1"/>
  <c r="G113" i="22"/>
  <c r="D37" i="22" s="1"/>
  <c r="D16" i="24" s="1"/>
  <c r="F112" i="22"/>
  <c r="G112" i="22" s="1"/>
  <c r="D36" i="22" s="1"/>
  <c r="D15" i="24" s="1"/>
  <c r="F111" i="22"/>
  <c r="G111" i="22" s="1"/>
  <c r="F110" i="22"/>
  <c r="G110" i="22" s="1"/>
  <c r="D34" i="22" s="1"/>
  <c r="D13" i="24" s="1"/>
  <c r="F109" i="22"/>
  <c r="F108" i="22"/>
  <c r="G105" i="22"/>
  <c r="D32" i="22" s="1"/>
  <c r="D11" i="24" s="1"/>
  <c r="F100" i="22"/>
  <c r="F99" i="22"/>
  <c r="F98" i="22"/>
  <c r="F97" i="22"/>
  <c r="F96" i="22"/>
  <c r="F95" i="22"/>
  <c r="F88" i="22"/>
  <c r="F87" i="22"/>
  <c r="F86" i="22"/>
  <c r="F85" i="22"/>
  <c r="G85" i="22" s="1"/>
  <c r="F80" i="22"/>
  <c r="F79" i="22"/>
  <c r="F78" i="22"/>
  <c r="F77" i="22"/>
  <c r="F76" i="22"/>
  <c r="F75" i="22"/>
  <c r="G74" i="22"/>
  <c r="C38" i="22" s="1"/>
  <c r="C17" i="24" s="1"/>
  <c r="G73" i="22"/>
  <c r="C37" i="22" s="1"/>
  <c r="C16" i="24" s="1"/>
  <c r="F72" i="22"/>
  <c r="G72" i="22" s="1"/>
  <c r="C36" i="22" s="1"/>
  <c r="C15" i="24" s="1"/>
  <c r="F71" i="22"/>
  <c r="G71" i="22" s="1"/>
  <c r="F70" i="22"/>
  <c r="G70" i="22" s="1"/>
  <c r="C34" i="22" s="1"/>
  <c r="C13" i="24" s="1"/>
  <c r="F69" i="22"/>
  <c r="F68" i="22"/>
  <c r="G65" i="22"/>
  <c r="C32" i="22" s="1"/>
  <c r="C11" i="24" s="1"/>
  <c r="F60" i="22"/>
  <c r="F59" i="22"/>
  <c r="F58" i="22"/>
  <c r="F57" i="22"/>
  <c r="F56" i="22"/>
  <c r="F55" i="22"/>
  <c r="F48" i="22"/>
  <c r="F47" i="22"/>
  <c r="F46" i="22"/>
  <c r="F45" i="22"/>
  <c r="G45" i="22" s="1"/>
  <c r="C26" i="22" s="1"/>
  <c r="C5" i="24" s="1"/>
  <c r="F16" i="22"/>
  <c r="F15" i="22"/>
  <c r="H24" i="21"/>
  <c r="J24" i="21"/>
  <c r="F121" i="19"/>
  <c r="F120" i="19"/>
  <c r="F119" i="19"/>
  <c r="F118" i="19"/>
  <c r="F117" i="19"/>
  <c r="F116" i="19"/>
  <c r="G115" i="19"/>
  <c r="D39" i="19" s="1"/>
  <c r="D17" i="21" s="1"/>
  <c r="G114" i="19"/>
  <c r="D38" i="19" s="1"/>
  <c r="D16" i="21" s="1"/>
  <c r="F113" i="19"/>
  <c r="G113" i="19" s="1"/>
  <c r="D37" i="19" s="1"/>
  <c r="D15" i="21" s="1"/>
  <c r="F112" i="19"/>
  <c r="G112" i="19" s="1"/>
  <c r="F111" i="19"/>
  <c r="G111" i="19" s="1"/>
  <c r="D35" i="19" s="1"/>
  <c r="D13" i="21" s="1"/>
  <c r="F110" i="19"/>
  <c r="F109" i="19"/>
  <c r="G106" i="19"/>
  <c r="D33" i="19" s="1"/>
  <c r="D11" i="21" s="1"/>
  <c r="F101" i="19"/>
  <c r="F100" i="19"/>
  <c r="F99" i="19"/>
  <c r="F98" i="19"/>
  <c r="F97" i="19"/>
  <c r="F96" i="19"/>
  <c r="F89" i="19"/>
  <c r="F88" i="19"/>
  <c r="F87" i="19"/>
  <c r="F86" i="19"/>
  <c r="G86" i="19" s="1"/>
  <c r="G75" i="19"/>
  <c r="C39" i="19" s="1"/>
  <c r="C17" i="21" s="1"/>
  <c r="G74" i="19"/>
  <c r="C38" i="19" s="1"/>
  <c r="C16" i="21" s="1"/>
  <c r="G73" i="19"/>
  <c r="C37" i="19" s="1"/>
  <c r="C15" i="21" s="1"/>
  <c r="G72" i="19"/>
  <c r="G71" i="19"/>
  <c r="C35" i="19" s="1"/>
  <c r="C13" i="21" s="1"/>
  <c r="G66" i="19"/>
  <c r="C33" i="19" s="1"/>
  <c r="C11" i="21" s="1"/>
  <c r="G46" i="19"/>
  <c r="C27" i="19" s="1"/>
  <c r="C5" i="21" s="1"/>
  <c r="F16" i="19"/>
  <c r="F15" i="19"/>
  <c r="F120" i="16"/>
  <c r="F119" i="16"/>
  <c r="F118" i="16"/>
  <c r="F117" i="16"/>
  <c r="F116" i="16"/>
  <c r="F115" i="16"/>
  <c r="G114" i="16"/>
  <c r="D38" i="16" s="1"/>
  <c r="D17" i="18" s="1"/>
  <c r="G113" i="16"/>
  <c r="D37" i="16" s="1"/>
  <c r="D16" i="18" s="1"/>
  <c r="F112" i="16"/>
  <c r="G112" i="16" s="1"/>
  <c r="D36" i="16" s="1"/>
  <c r="D15" i="18" s="1"/>
  <c r="F111" i="16"/>
  <c r="G111" i="16" s="1"/>
  <c r="D35" i="16" s="1"/>
  <c r="D14" i="18" s="1"/>
  <c r="F110" i="16"/>
  <c r="G110" i="16" s="1"/>
  <c r="D34" i="16" s="1"/>
  <c r="D13" i="18" s="1"/>
  <c r="F109" i="16"/>
  <c r="F108" i="16"/>
  <c r="G105" i="16"/>
  <c r="D32" i="16" s="1"/>
  <c r="D11" i="18" s="1"/>
  <c r="F100" i="16"/>
  <c r="F99" i="16"/>
  <c r="F98" i="16"/>
  <c r="F97" i="16"/>
  <c r="F96" i="16"/>
  <c r="F95" i="16"/>
  <c r="F88" i="16"/>
  <c r="F87" i="16"/>
  <c r="F86" i="16"/>
  <c r="F85" i="16"/>
  <c r="G85" i="16" s="1"/>
  <c r="F80" i="16"/>
  <c r="F79" i="16"/>
  <c r="F78" i="16"/>
  <c r="F77" i="16"/>
  <c r="F76" i="16"/>
  <c r="F75" i="16"/>
  <c r="G74" i="16"/>
  <c r="C38" i="16" s="1"/>
  <c r="C17" i="18" s="1"/>
  <c r="G73" i="16"/>
  <c r="C37" i="16" s="1"/>
  <c r="C16" i="18" s="1"/>
  <c r="F72" i="16"/>
  <c r="G72" i="16" s="1"/>
  <c r="C36" i="16" s="1"/>
  <c r="C15" i="18" s="1"/>
  <c r="F71" i="16"/>
  <c r="G71" i="16" s="1"/>
  <c r="F70" i="16"/>
  <c r="G70" i="16" s="1"/>
  <c r="C34" i="16" s="1"/>
  <c r="C13" i="18" s="1"/>
  <c r="F69" i="16"/>
  <c r="F68" i="16"/>
  <c r="G65" i="16"/>
  <c r="C32" i="16" s="1"/>
  <c r="C11" i="18" s="1"/>
  <c r="F60" i="16"/>
  <c r="F59" i="16"/>
  <c r="F58" i="16"/>
  <c r="F57" i="16"/>
  <c r="F56" i="16"/>
  <c r="F55" i="16"/>
  <c r="F48" i="16"/>
  <c r="F47" i="16"/>
  <c r="F46" i="16"/>
  <c r="F45" i="16"/>
  <c r="G45" i="16" s="1"/>
  <c r="F16" i="16"/>
  <c r="F15" i="16"/>
  <c r="G352" i="29" l="1"/>
  <c r="M19" i="21" s="1"/>
  <c r="G9" i="31"/>
  <c r="E9" i="27" s="1"/>
  <c r="G9" i="30"/>
  <c r="E9" i="24" s="1"/>
  <c r="G50" i="25"/>
  <c r="C30" i="25" s="1"/>
  <c r="C9" i="27" s="1"/>
  <c r="E9" i="21"/>
  <c r="G160" i="31"/>
  <c r="H159" i="31" s="1"/>
  <c r="I25" i="27" s="1"/>
  <c r="G120" i="19"/>
  <c r="D41" i="19" s="1"/>
  <c r="D19" i="21" s="1"/>
  <c r="G392" i="29"/>
  <c r="N19" i="21" s="1"/>
  <c r="I9" i="24"/>
  <c r="M9" i="24"/>
  <c r="J9" i="27"/>
  <c r="G193" i="31"/>
  <c r="I19" i="27" s="1"/>
  <c r="F9" i="21"/>
  <c r="L9" i="27"/>
  <c r="D31" i="19"/>
  <c r="D9" i="21" s="1"/>
  <c r="C30" i="22"/>
  <c r="C9" i="24" s="1"/>
  <c r="G37" i="29"/>
  <c r="E19" i="21" s="1"/>
  <c r="L9" i="21"/>
  <c r="E9" i="18"/>
  <c r="G154" i="31"/>
  <c r="H19" i="27" s="1"/>
  <c r="F9" i="24"/>
  <c r="G154" i="30"/>
  <c r="H19" i="24" s="1"/>
  <c r="J9" i="24"/>
  <c r="G312" i="30"/>
  <c r="L19" i="24" s="1"/>
  <c r="N9" i="24"/>
  <c r="G37" i="31"/>
  <c r="E19" i="27" s="1"/>
  <c r="G9" i="27"/>
  <c r="K9" i="27"/>
  <c r="O9" i="27"/>
  <c r="J9" i="21"/>
  <c r="N9" i="21"/>
  <c r="G37" i="30"/>
  <c r="E19" i="24" s="1"/>
  <c r="G9" i="24"/>
  <c r="K9" i="24"/>
  <c r="G352" i="30"/>
  <c r="M19" i="24" s="1"/>
  <c r="O9" i="24"/>
  <c r="H9" i="27"/>
  <c r="G9" i="21"/>
  <c r="G193" i="29"/>
  <c r="I19" i="21" s="1"/>
  <c r="O9" i="21"/>
  <c r="H9" i="24"/>
  <c r="L9" i="24"/>
  <c r="I9" i="27"/>
  <c r="M9" i="27"/>
  <c r="D30" i="22"/>
  <c r="D9" i="24" s="1"/>
  <c r="G78" i="25"/>
  <c r="C40" i="25" s="1"/>
  <c r="C19" i="27" s="1"/>
  <c r="G37" i="28"/>
  <c r="E19" i="18" s="1"/>
  <c r="G154" i="29"/>
  <c r="H19" i="21" s="1"/>
  <c r="G312" i="29"/>
  <c r="L19" i="21" s="1"/>
  <c r="G352" i="31"/>
  <c r="M19" i="27" s="1"/>
  <c r="G193" i="30"/>
  <c r="I19" i="24" s="1"/>
  <c r="G119" i="16"/>
  <c r="D40" i="16" s="1"/>
  <c r="D19" i="18" s="1"/>
  <c r="G392" i="31"/>
  <c r="N19" i="27" s="1"/>
  <c r="G119" i="22"/>
  <c r="D40" i="22" s="1"/>
  <c r="D19" i="24" s="1"/>
  <c r="G76" i="29"/>
  <c r="F19" i="21" s="1"/>
  <c r="G232" i="29"/>
  <c r="J19" i="21" s="1"/>
  <c r="G232" i="30"/>
  <c r="J19" i="24" s="1"/>
  <c r="G272" i="31"/>
  <c r="G272" i="30"/>
  <c r="K19" i="24" s="1"/>
  <c r="G118" i="25"/>
  <c r="D40" i="25" s="1"/>
  <c r="D19" i="27" s="1"/>
  <c r="G115" i="29"/>
  <c r="G19" i="21" s="1"/>
  <c r="G272" i="29"/>
  <c r="K19" i="21" s="1"/>
  <c r="F17" i="25"/>
  <c r="H8" i="18"/>
  <c r="J6" i="18"/>
  <c r="K8" i="18"/>
  <c r="G360" i="31"/>
  <c r="H360" i="31" s="1"/>
  <c r="N26" i="27" s="1"/>
  <c r="G163" i="30"/>
  <c r="I8" i="24" s="1"/>
  <c r="G199" i="30"/>
  <c r="H198" i="30" s="1"/>
  <c r="G242" i="30"/>
  <c r="K8" i="24" s="1"/>
  <c r="G402" i="30"/>
  <c r="O8" i="24" s="1"/>
  <c r="G44" i="30"/>
  <c r="H44" i="30" s="1"/>
  <c r="G43" i="31"/>
  <c r="F6" i="27" s="1"/>
  <c r="G160" i="29"/>
  <c r="I6" i="21" s="1"/>
  <c r="G202" i="29"/>
  <c r="J8" i="21" s="1"/>
  <c r="G240" i="30"/>
  <c r="H240" i="30" s="1"/>
  <c r="G320" i="30"/>
  <c r="H320" i="30" s="1"/>
  <c r="G400" i="30"/>
  <c r="O7" i="24" s="1"/>
  <c r="G199" i="31"/>
  <c r="H198" i="31" s="1"/>
  <c r="J25" i="27" s="1"/>
  <c r="G242" i="31"/>
  <c r="K8" i="27" s="1"/>
  <c r="G24" i="30"/>
  <c r="E12" i="24" s="1"/>
  <c r="G163" i="29"/>
  <c r="I8" i="21" s="1"/>
  <c r="G199" i="29"/>
  <c r="J6" i="21" s="1"/>
  <c r="G282" i="31"/>
  <c r="L8" i="27" s="1"/>
  <c r="G399" i="31"/>
  <c r="O6" i="27" s="1"/>
  <c r="G47" i="19"/>
  <c r="C28" i="19" s="1"/>
  <c r="C6" i="21" s="1"/>
  <c r="G90" i="19"/>
  <c r="D30" i="19" s="1"/>
  <c r="D8" i="21" s="1"/>
  <c r="G359" i="29"/>
  <c r="H358" i="29" s="1"/>
  <c r="N25" i="21" s="1"/>
  <c r="G402" i="29"/>
  <c r="O8" i="21" s="1"/>
  <c r="G4" i="30"/>
  <c r="E6" i="24" s="1"/>
  <c r="G89" i="16"/>
  <c r="D29" i="16" s="1"/>
  <c r="D8" i="18" s="1"/>
  <c r="M9" i="18"/>
  <c r="G402" i="31"/>
  <c r="O8" i="27" s="1"/>
  <c r="G122" i="30"/>
  <c r="H122" i="30" s="1"/>
  <c r="L9" i="18"/>
  <c r="G130" i="29"/>
  <c r="H10" i="21" s="1"/>
  <c r="G44" i="29"/>
  <c r="H44" i="29" s="1"/>
  <c r="G122" i="29"/>
  <c r="H122" i="29" s="1"/>
  <c r="G362" i="30"/>
  <c r="N8" i="24" s="1"/>
  <c r="G399" i="30"/>
  <c r="O6" i="24" s="1"/>
  <c r="G240" i="31"/>
  <c r="K7" i="27" s="1"/>
  <c r="G66" i="22"/>
  <c r="C33" i="22" s="1"/>
  <c r="C12" i="24" s="1"/>
  <c r="G87" i="19"/>
  <c r="D28" i="19" s="1"/>
  <c r="D6" i="21" s="1"/>
  <c r="G4" i="29"/>
  <c r="E6" i="21" s="1"/>
  <c r="C30" i="16"/>
  <c r="C9" i="18" s="1"/>
  <c r="G47" i="22"/>
  <c r="H47" i="22" s="1"/>
  <c r="G89" i="22"/>
  <c r="D29" i="22" s="1"/>
  <c r="D8" i="24" s="1"/>
  <c r="G86" i="25"/>
  <c r="D28" i="25" s="1"/>
  <c r="D7" i="27" s="1"/>
  <c r="J7" i="18"/>
  <c r="N9" i="18"/>
  <c r="I9" i="18"/>
  <c r="G82" i="29"/>
  <c r="G6" i="21" s="1"/>
  <c r="G44" i="31"/>
  <c r="H44" i="31" s="1"/>
  <c r="G18" i="18"/>
  <c r="O12" i="18"/>
  <c r="G116" i="19"/>
  <c r="D40" i="19" s="1"/>
  <c r="D18" i="21" s="1"/>
  <c r="G86" i="22"/>
  <c r="D27" i="22" s="1"/>
  <c r="D6" i="24" s="1"/>
  <c r="L8" i="18"/>
  <c r="M6" i="18"/>
  <c r="O9" i="18"/>
  <c r="G319" i="29"/>
  <c r="M6" i="21" s="1"/>
  <c r="G5" i="30"/>
  <c r="E7" i="24" s="1"/>
  <c r="G319" i="30"/>
  <c r="M6" i="24" s="1"/>
  <c r="G86" i="16"/>
  <c r="D27" i="16" s="1"/>
  <c r="D6" i="18" s="1"/>
  <c r="G65" i="25"/>
  <c r="C33" i="25" s="1"/>
  <c r="C12" i="27" s="1"/>
  <c r="G7" i="18"/>
  <c r="N8" i="18"/>
  <c r="N12" i="18"/>
  <c r="O6" i="18"/>
  <c r="G362" i="29"/>
  <c r="N8" i="21" s="1"/>
  <c r="G379" i="29"/>
  <c r="N12" i="21" s="1"/>
  <c r="G399" i="29"/>
  <c r="O6" i="21" s="1"/>
  <c r="G82" i="30"/>
  <c r="G6" i="24" s="1"/>
  <c r="G160" i="30"/>
  <c r="I6" i="24" s="1"/>
  <c r="G360" i="30"/>
  <c r="H360" i="30" s="1"/>
  <c r="G72" i="31"/>
  <c r="F18" i="27" s="1"/>
  <c r="G124" i="31"/>
  <c r="H8" i="27" s="1"/>
  <c r="G200" i="31"/>
  <c r="J7" i="27" s="1"/>
  <c r="G400" i="31"/>
  <c r="H400" i="31" s="1"/>
  <c r="G49" i="16"/>
  <c r="C29" i="16" s="1"/>
  <c r="C8" i="18" s="1"/>
  <c r="F6" i="18"/>
  <c r="F9" i="18"/>
  <c r="J9" i="18"/>
  <c r="M7" i="18"/>
  <c r="G85" i="29"/>
  <c r="G8" i="21" s="1"/>
  <c r="G320" i="29"/>
  <c r="M7" i="21" s="1"/>
  <c r="G282" i="30"/>
  <c r="L8" i="24" s="1"/>
  <c r="G46" i="16"/>
  <c r="C27" i="16" s="1"/>
  <c r="C6" i="18" s="1"/>
  <c r="G87" i="16"/>
  <c r="H87" i="16" s="1"/>
  <c r="D26" i="18" s="1"/>
  <c r="G48" i="19"/>
  <c r="C29" i="19" s="1"/>
  <c r="C7" i="21" s="1"/>
  <c r="G9" i="18"/>
  <c r="J18" i="18"/>
  <c r="L18" i="18"/>
  <c r="G121" i="29"/>
  <c r="H6" i="21" s="1"/>
  <c r="H9" i="21"/>
  <c r="G239" i="29"/>
  <c r="K6" i="21" s="1"/>
  <c r="G360" i="29"/>
  <c r="H360" i="29" s="1"/>
  <c r="G200" i="30"/>
  <c r="J7" i="24" s="1"/>
  <c r="G83" i="31"/>
  <c r="H83" i="31" s="1"/>
  <c r="G26" i="27" s="1"/>
  <c r="G239" i="31"/>
  <c r="K6" i="27" s="1"/>
  <c r="G150" i="29"/>
  <c r="G33" i="28"/>
  <c r="E18" i="18" s="1"/>
  <c r="G228" i="29"/>
  <c r="J18" i="21" s="1"/>
  <c r="G288" i="30"/>
  <c r="L10" i="24" s="1"/>
  <c r="G85" i="31"/>
  <c r="G8" i="27" s="1"/>
  <c r="G76" i="19"/>
  <c r="C40" i="19" s="1"/>
  <c r="C18" i="21" s="1"/>
  <c r="G46" i="22"/>
  <c r="H45" i="22" s="1"/>
  <c r="C25" i="24" s="1"/>
  <c r="G87" i="22"/>
  <c r="H87" i="22" s="1"/>
  <c r="I29" i="22" s="1"/>
  <c r="G88" i="25"/>
  <c r="D29" i="25" s="1"/>
  <c r="D8" i="27" s="1"/>
  <c r="I10" i="18"/>
  <c r="K12" i="18"/>
  <c r="L10" i="18"/>
  <c r="M8" i="18"/>
  <c r="G7" i="29"/>
  <c r="E8" i="21" s="1"/>
  <c r="G83" i="29"/>
  <c r="H83" i="29" s="1"/>
  <c r="G242" i="29"/>
  <c r="K8" i="21" s="1"/>
  <c r="G388" i="29"/>
  <c r="N18" i="21" s="1"/>
  <c r="G408" i="29"/>
  <c r="O10" i="21" s="1"/>
  <c r="G85" i="30"/>
  <c r="G8" i="24" s="1"/>
  <c r="G121" i="30"/>
  <c r="H6" i="24" s="1"/>
  <c r="G280" i="30"/>
  <c r="H280" i="30" s="1"/>
  <c r="G322" i="30"/>
  <c r="M8" i="24" s="1"/>
  <c r="G5" i="31"/>
  <c r="H5" i="31" s="1"/>
  <c r="G189" i="31"/>
  <c r="I18" i="27" s="1"/>
  <c r="G288" i="31"/>
  <c r="L10" i="27" s="1"/>
  <c r="D30" i="16"/>
  <c r="D9" i="18" s="1"/>
  <c r="C31" i="19"/>
  <c r="C9" i="21" s="1"/>
  <c r="G75" i="22"/>
  <c r="G8" i="18"/>
  <c r="I7" i="18"/>
  <c r="K9" i="18"/>
  <c r="G72" i="29"/>
  <c r="F18" i="21" s="1"/>
  <c r="G200" i="29"/>
  <c r="H200" i="29" s="1"/>
  <c r="G322" i="29"/>
  <c r="M8" i="21" s="1"/>
  <c r="G7" i="30"/>
  <c r="E8" i="24" s="1"/>
  <c r="G43" i="30"/>
  <c r="F6" i="24" s="1"/>
  <c r="G130" i="30"/>
  <c r="H10" i="24" s="1"/>
  <c r="G239" i="30"/>
  <c r="H238" i="30" s="1"/>
  <c r="K25" i="24" s="1"/>
  <c r="G248" i="30"/>
  <c r="K10" i="24" s="1"/>
  <c r="G388" i="30"/>
  <c r="N18" i="24" s="1"/>
  <c r="G82" i="31"/>
  <c r="G6" i="27" s="1"/>
  <c r="G121" i="31"/>
  <c r="H6" i="27" s="1"/>
  <c r="G348" i="31"/>
  <c r="G115" i="22"/>
  <c r="D39" i="22" s="1"/>
  <c r="D18" i="24" s="1"/>
  <c r="G66" i="16"/>
  <c r="C33" i="16" s="1"/>
  <c r="C12" i="18" s="1"/>
  <c r="G95" i="16"/>
  <c r="D31" i="16" s="1"/>
  <c r="D10" i="18" s="1"/>
  <c r="G74" i="25"/>
  <c r="G114" i="25"/>
  <c r="I12" i="18"/>
  <c r="K10" i="18"/>
  <c r="G219" i="29"/>
  <c r="J12" i="21" s="1"/>
  <c r="G288" i="29"/>
  <c r="L10" i="21" s="1"/>
  <c r="G33" i="31"/>
  <c r="E18" i="27" s="1"/>
  <c r="G388" i="31"/>
  <c r="N18" i="27" s="1"/>
  <c r="G25" i="18"/>
  <c r="G6" i="18"/>
  <c r="O5" i="18"/>
  <c r="G5" i="21"/>
  <c r="L14" i="18"/>
  <c r="E14" i="18"/>
  <c r="H29" i="28"/>
  <c r="M5" i="18"/>
  <c r="E5" i="21"/>
  <c r="I5" i="21"/>
  <c r="H68" i="29"/>
  <c r="F14" i="21"/>
  <c r="K5" i="21"/>
  <c r="H264" i="29"/>
  <c r="K14" i="21"/>
  <c r="H224" i="30"/>
  <c r="J16" i="24"/>
  <c r="G106" i="16"/>
  <c r="D33" i="16" s="1"/>
  <c r="D12" i="18" s="1"/>
  <c r="G107" i="19"/>
  <c r="D34" i="19" s="1"/>
  <c r="D12" i="21" s="1"/>
  <c r="G49" i="22"/>
  <c r="C29" i="22" s="1"/>
  <c r="C8" i="24" s="1"/>
  <c r="G79" i="22"/>
  <c r="C40" i="22" s="1"/>
  <c r="C19" i="24" s="1"/>
  <c r="G48" i="25"/>
  <c r="C29" i="25" s="1"/>
  <c r="C8" i="27" s="1"/>
  <c r="G94" i="25"/>
  <c r="D31" i="25" s="1"/>
  <c r="D10" i="27" s="1"/>
  <c r="G4" i="28"/>
  <c r="E6" i="18" s="1"/>
  <c r="I6" i="18"/>
  <c r="L19" i="18"/>
  <c r="N10" i="18"/>
  <c r="N19" i="18"/>
  <c r="O19" i="18"/>
  <c r="H29" i="29"/>
  <c r="E14" i="21"/>
  <c r="G52" i="29"/>
  <c r="F10" i="21" s="1"/>
  <c r="G102" i="29"/>
  <c r="G12" i="21" s="1"/>
  <c r="G161" i="29"/>
  <c r="G169" i="29"/>
  <c r="I10" i="21" s="1"/>
  <c r="G240" i="29"/>
  <c r="G248" i="29"/>
  <c r="K10" i="21" s="1"/>
  <c r="G282" i="29"/>
  <c r="L8" i="21" s="1"/>
  <c r="G328" i="29"/>
  <c r="M10" i="21" s="1"/>
  <c r="H344" i="29"/>
  <c r="M14" i="21"/>
  <c r="H384" i="29"/>
  <c r="N14" i="21"/>
  <c r="G400" i="29"/>
  <c r="H5" i="24"/>
  <c r="G189" i="30"/>
  <c r="G279" i="30"/>
  <c r="L6" i="24" s="1"/>
  <c r="G308" i="30"/>
  <c r="L18" i="24" s="1"/>
  <c r="G328" i="30"/>
  <c r="M10" i="24" s="1"/>
  <c r="G359" i="30"/>
  <c r="E5" i="27"/>
  <c r="G130" i="31"/>
  <c r="H10" i="27" s="1"/>
  <c r="H304" i="29"/>
  <c r="L14" i="21"/>
  <c r="G75" i="16"/>
  <c r="C39" i="16" s="1"/>
  <c r="C18" i="18" s="1"/>
  <c r="G13" i="28"/>
  <c r="E10" i="18" s="1"/>
  <c r="F25" i="18"/>
  <c r="G91" i="29"/>
  <c r="G10" i="21" s="1"/>
  <c r="G432" i="29"/>
  <c r="O19" i="21" s="1"/>
  <c r="G111" i="30"/>
  <c r="G368" i="30"/>
  <c r="N10" i="24" s="1"/>
  <c r="H185" i="31"/>
  <c r="I16" i="27"/>
  <c r="M14" i="27"/>
  <c r="H344" i="31"/>
  <c r="H107" i="31"/>
  <c r="G14" i="27"/>
  <c r="G115" i="16"/>
  <c r="G106" i="22"/>
  <c r="D33" i="22" s="1"/>
  <c r="D12" i="24" s="1"/>
  <c r="G12" i="18"/>
  <c r="I14" i="18"/>
  <c r="M12" i="18"/>
  <c r="G24" i="29"/>
  <c r="E12" i="21" s="1"/>
  <c r="F5" i="21"/>
  <c r="L5" i="21"/>
  <c r="G299" i="29"/>
  <c r="L12" i="21" s="1"/>
  <c r="G339" i="29"/>
  <c r="M12" i="21" s="1"/>
  <c r="H29" i="30"/>
  <c r="E14" i="24"/>
  <c r="G52" i="30"/>
  <c r="F10" i="24" s="1"/>
  <c r="H68" i="30"/>
  <c r="F14" i="24"/>
  <c r="G102" i="30"/>
  <c r="G12" i="24" s="1"/>
  <c r="G150" i="30"/>
  <c r="H264" i="30"/>
  <c r="K14" i="24"/>
  <c r="G268" i="30"/>
  <c r="G339" i="30"/>
  <c r="M12" i="24" s="1"/>
  <c r="G408" i="30"/>
  <c r="O10" i="24" s="1"/>
  <c r="F17" i="22"/>
  <c r="G14" i="18"/>
  <c r="L7" i="18"/>
  <c r="G5" i="24"/>
  <c r="G56" i="19"/>
  <c r="C32" i="19" s="1"/>
  <c r="C10" i="21" s="1"/>
  <c r="G47" i="16"/>
  <c r="C28" i="16" s="1"/>
  <c r="F17" i="19"/>
  <c r="G88" i="19"/>
  <c r="H88" i="19" s="1"/>
  <c r="D26" i="21" s="1"/>
  <c r="G96" i="19"/>
  <c r="D32" i="19" s="1"/>
  <c r="D10" i="21" s="1"/>
  <c r="G45" i="25"/>
  <c r="C27" i="25" s="1"/>
  <c r="C6" i="27" s="1"/>
  <c r="G105" i="25"/>
  <c r="D33" i="25" s="1"/>
  <c r="D12" i="27" s="1"/>
  <c r="G7" i="28"/>
  <c r="E8" i="18" s="1"/>
  <c r="G24" i="28"/>
  <c r="E12" i="18" s="1"/>
  <c r="F10" i="18"/>
  <c r="F18" i="18"/>
  <c r="H10" i="18"/>
  <c r="H12" i="18"/>
  <c r="H19" i="18"/>
  <c r="I8" i="18"/>
  <c r="J8" i="18"/>
  <c r="J12" i="18"/>
  <c r="N6" i="18"/>
  <c r="G43" i="29"/>
  <c r="F6" i="21" s="1"/>
  <c r="G124" i="29"/>
  <c r="H8" i="21" s="1"/>
  <c r="G180" i="29"/>
  <c r="I12" i="21" s="1"/>
  <c r="G259" i="29"/>
  <c r="K12" i="21" s="1"/>
  <c r="G279" i="29"/>
  <c r="L6" i="21" s="1"/>
  <c r="G348" i="29"/>
  <c r="O5" i="21"/>
  <c r="G46" i="30"/>
  <c r="F8" i="24" s="1"/>
  <c r="G63" i="30"/>
  <c r="F12" i="24" s="1"/>
  <c r="G72" i="30"/>
  <c r="F18" i="24" s="1"/>
  <c r="G169" i="30"/>
  <c r="I10" i="24" s="1"/>
  <c r="H344" i="30"/>
  <c r="M16" i="24"/>
  <c r="G392" i="30"/>
  <c r="N19" i="24" s="1"/>
  <c r="G46" i="31"/>
  <c r="F8" i="27" s="1"/>
  <c r="G13" i="30"/>
  <c r="E10" i="24" s="1"/>
  <c r="G55" i="22"/>
  <c r="C31" i="22" s="1"/>
  <c r="C10" i="24" s="1"/>
  <c r="F7" i="18"/>
  <c r="K25" i="18"/>
  <c r="K5" i="18"/>
  <c r="L5" i="18"/>
  <c r="L12" i="18"/>
  <c r="H146" i="29"/>
  <c r="H14" i="21"/>
  <c r="G189" i="29"/>
  <c r="G268" i="29"/>
  <c r="G419" i="29"/>
  <c r="O12" i="21" s="1"/>
  <c r="E5" i="24"/>
  <c r="G83" i="30"/>
  <c r="G91" i="30"/>
  <c r="G10" i="24" s="1"/>
  <c r="G124" i="30"/>
  <c r="H8" i="24" s="1"/>
  <c r="G161" i="30"/>
  <c r="G208" i="30"/>
  <c r="J10" i="24" s="1"/>
  <c r="G432" i="30"/>
  <c r="O19" i="24" s="1"/>
  <c r="G24" i="31"/>
  <c r="E12" i="27" s="1"/>
  <c r="H5" i="27"/>
  <c r="O5" i="27"/>
  <c r="J10" i="18"/>
  <c r="H185" i="29"/>
  <c r="I14" i="21"/>
  <c r="G55" i="16"/>
  <c r="C31" i="16" s="1"/>
  <c r="C10" i="18" s="1"/>
  <c r="F17" i="16"/>
  <c r="G79" i="16"/>
  <c r="C40" i="16" s="1"/>
  <c r="C19" i="18" s="1"/>
  <c r="G50" i="19"/>
  <c r="C30" i="19" s="1"/>
  <c r="C8" i="21" s="1"/>
  <c r="G80" i="19"/>
  <c r="C41" i="19" s="1"/>
  <c r="C19" i="21" s="1"/>
  <c r="G46" i="25"/>
  <c r="C28" i="25" s="1"/>
  <c r="G54" i="25"/>
  <c r="C31" i="25" s="1"/>
  <c r="C10" i="27" s="1"/>
  <c r="G85" i="25"/>
  <c r="H84" i="25" s="1"/>
  <c r="D25" i="27" s="1"/>
  <c r="D30" i="25"/>
  <c r="D9" i="27" s="1"/>
  <c r="H6" i="18"/>
  <c r="L6" i="18"/>
  <c r="H5" i="21"/>
  <c r="G141" i="29"/>
  <c r="H12" i="21" s="1"/>
  <c r="I9" i="21"/>
  <c r="K9" i="21"/>
  <c r="G280" i="29"/>
  <c r="M9" i="21"/>
  <c r="G428" i="29"/>
  <c r="G76" i="30"/>
  <c r="F19" i="24" s="1"/>
  <c r="G115" i="30"/>
  <c r="G19" i="24" s="1"/>
  <c r="G202" i="30"/>
  <c r="J8" i="24" s="1"/>
  <c r="G219" i="30"/>
  <c r="J12" i="24" s="1"/>
  <c r="G228" i="30"/>
  <c r="L5" i="24"/>
  <c r="H304" i="30"/>
  <c r="L14" i="24"/>
  <c r="G248" i="31"/>
  <c r="K10" i="27" s="1"/>
  <c r="H304" i="31"/>
  <c r="L14" i="27"/>
  <c r="G67" i="19"/>
  <c r="C34" i="19" s="1"/>
  <c r="C12" i="21" s="1"/>
  <c r="G95" i="22"/>
  <c r="D31" i="22" s="1"/>
  <c r="D10" i="24" s="1"/>
  <c r="G10" i="18"/>
  <c r="H26" i="18"/>
  <c r="I5" i="18"/>
  <c r="M10" i="18"/>
  <c r="N7" i="18"/>
  <c r="O10" i="18"/>
  <c r="G13" i="29"/>
  <c r="E10" i="21" s="1"/>
  <c r="G111" i="29"/>
  <c r="G208" i="29"/>
  <c r="J10" i="21" s="1"/>
  <c r="G308" i="29"/>
  <c r="G368" i="29"/>
  <c r="N10" i="21" s="1"/>
  <c r="G33" i="30"/>
  <c r="G141" i="30"/>
  <c r="H12" i="24" s="1"/>
  <c r="G180" i="30"/>
  <c r="I12" i="24" s="1"/>
  <c r="G299" i="30"/>
  <c r="L12" i="24" s="1"/>
  <c r="G348" i="30"/>
  <c r="G419" i="30"/>
  <c r="O12" i="24" s="1"/>
  <c r="H7" i="18"/>
  <c r="G141" i="31"/>
  <c r="H146" i="31"/>
  <c r="H15" i="27"/>
  <c r="K5" i="27"/>
  <c r="G280" i="31"/>
  <c r="G308" i="31"/>
  <c r="L18" i="27" s="1"/>
  <c r="G319" i="31"/>
  <c r="M6" i="27" s="1"/>
  <c r="G408" i="31"/>
  <c r="O10" i="27" s="1"/>
  <c r="H29" i="31"/>
  <c r="E16" i="27"/>
  <c r="H264" i="31"/>
  <c r="K14" i="27"/>
  <c r="G268" i="31"/>
  <c r="K18" i="27" s="1"/>
  <c r="G359" i="31"/>
  <c r="N9" i="27"/>
  <c r="H424" i="31"/>
  <c r="O14" i="27"/>
  <c r="G111" i="31"/>
  <c r="K19" i="27"/>
  <c r="G428" i="31"/>
  <c r="G4" i="31"/>
  <c r="E6" i="27" s="1"/>
  <c r="G115" i="31"/>
  <c r="G19" i="27" s="1"/>
  <c r="G150" i="31"/>
  <c r="G208" i="31"/>
  <c r="J10" i="27" s="1"/>
  <c r="G228" i="31"/>
  <c r="G259" i="31"/>
  <c r="K12" i="27" s="1"/>
  <c r="G299" i="31"/>
  <c r="L12" i="27" s="1"/>
  <c r="G312" i="31"/>
  <c r="L19" i="27" s="1"/>
  <c r="G322" i="31"/>
  <c r="M8" i="27" s="1"/>
  <c r="G339" i="31"/>
  <c r="M12" i="27" s="1"/>
  <c r="G368" i="31"/>
  <c r="N10" i="27" s="1"/>
  <c r="G432" i="31"/>
  <c r="O19" i="27" s="1"/>
  <c r="G76" i="31"/>
  <c r="F19" i="27" s="1"/>
  <c r="G91" i="31"/>
  <c r="G10" i="27" s="1"/>
  <c r="H424" i="30"/>
  <c r="O14" i="24"/>
  <c r="G428" i="30"/>
  <c r="G161" i="31"/>
  <c r="G169" i="31"/>
  <c r="I10" i="27" s="1"/>
  <c r="G202" i="31"/>
  <c r="J8" i="27" s="1"/>
  <c r="G232" i="31"/>
  <c r="J19" i="27" s="1"/>
  <c r="G279" i="31"/>
  <c r="L6" i="27" s="1"/>
  <c r="G259" i="30"/>
  <c r="K12" i="24" s="1"/>
  <c r="G379" i="30"/>
  <c r="N12" i="24" s="1"/>
  <c r="G63" i="31"/>
  <c r="F12" i="27" s="1"/>
  <c r="G180" i="31"/>
  <c r="I12" i="27" s="1"/>
  <c r="G379" i="31"/>
  <c r="N12" i="27" s="1"/>
  <c r="F12" i="18"/>
  <c r="G328" i="31"/>
  <c r="M10" i="27" s="1"/>
  <c r="G13" i="31"/>
  <c r="E10" i="27" s="1"/>
  <c r="G52" i="31"/>
  <c r="F10" i="27" s="1"/>
  <c r="G102" i="31"/>
  <c r="G122" i="31"/>
  <c r="G163" i="31"/>
  <c r="G219" i="31"/>
  <c r="H384" i="31"/>
  <c r="G7" i="31"/>
  <c r="E8" i="27" s="1"/>
  <c r="H224" i="31"/>
  <c r="G419" i="31"/>
  <c r="H68" i="31"/>
  <c r="G320" i="31"/>
  <c r="G362" i="31"/>
  <c r="N8" i="27" s="1"/>
  <c r="H146" i="30"/>
  <c r="H185" i="30"/>
  <c r="H384" i="30"/>
  <c r="H107" i="30"/>
  <c r="G46" i="29"/>
  <c r="F8" i="21" s="1"/>
  <c r="G63" i="29"/>
  <c r="F12" i="21" s="1"/>
  <c r="H107" i="29"/>
  <c r="H424" i="29"/>
  <c r="G5" i="29"/>
  <c r="G33" i="29"/>
  <c r="H224" i="29"/>
  <c r="N25" i="18"/>
  <c r="G5" i="28"/>
  <c r="F8" i="18"/>
  <c r="J25" i="18"/>
  <c r="A35" i="27"/>
  <c r="H70" i="25"/>
  <c r="C28" i="27" s="1"/>
  <c r="C37" i="25"/>
  <c r="C16" i="27" s="1"/>
  <c r="H110" i="25"/>
  <c r="D28" i="27" s="1"/>
  <c r="D35" i="25"/>
  <c r="D14" i="27" s="1"/>
  <c r="A35" i="24"/>
  <c r="D26" i="22"/>
  <c r="D5" i="24" s="1"/>
  <c r="H111" i="22"/>
  <c r="D28" i="24" s="1"/>
  <c r="D35" i="22"/>
  <c r="D14" i="24" s="1"/>
  <c r="H71" i="22"/>
  <c r="C28" i="24" s="1"/>
  <c r="C35" i="22"/>
  <c r="C14" i="24" s="1"/>
  <c r="A35" i="21"/>
  <c r="H72" i="19"/>
  <c r="C28" i="21" s="1"/>
  <c r="C36" i="19"/>
  <c r="C14" i="21" s="1"/>
  <c r="D27" i="19"/>
  <c r="D5" i="21" s="1"/>
  <c r="H112" i="19"/>
  <c r="D28" i="21" s="1"/>
  <c r="D36" i="19"/>
  <c r="D14" i="21" s="1"/>
  <c r="A35" i="18"/>
  <c r="C26" i="16"/>
  <c r="C5" i="18" s="1"/>
  <c r="D26" i="16"/>
  <c r="D5" i="18" s="1"/>
  <c r="H111" i="16"/>
  <c r="D28" i="18" s="1"/>
  <c r="C35" i="16"/>
  <c r="C14" i="18" s="1"/>
  <c r="H71" i="16"/>
  <c r="C28" i="18" s="1"/>
  <c r="H46" i="19" l="1"/>
  <c r="C25" i="21" s="1"/>
  <c r="H74" i="25"/>
  <c r="C29" i="27" s="1"/>
  <c r="C39" i="25"/>
  <c r="C18" i="27" s="1"/>
  <c r="H150" i="29"/>
  <c r="I150" i="29" s="1"/>
  <c r="H198" i="29"/>
  <c r="J25" i="21" s="1"/>
  <c r="H7" i="24"/>
  <c r="F7" i="24"/>
  <c r="H159" i="30"/>
  <c r="I25" i="24" s="1"/>
  <c r="H318" i="30"/>
  <c r="M25" i="24" s="1"/>
  <c r="I6" i="27"/>
  <c r="H348" i="31"/>
  <c r="M29" i="27" s="1"/>
  <c r="H398" i="31"/>
  <c r="O25" i="27" s="1"/>
  <c r="I360" i="31"/>
  <c r="I83" i="31"/>
  <c r="H318" i="31"/>
  <c r="M25" i="27" s="1"/>
  <c r="N7" i="27"/>
  <c r="O7" i="27"/>
  <c r="H42" i="31"/>
  <c r="F25" i="27" s="1"/>
  <c r="M7" i="24"/>
  <c r="F7" i="27"/>
  <c r="H85" i="16"/>
  <c r="D25" i="18" s="1"/>
  <c r="H240" i="31"/>
  <c r="K26" i="27" s="1"/>
  <c r="H320" i="29"/>
  <c r="I320" i="29" s="1"/>
  <c r="H86" i="25"/>
  <c r="D26" i="27" s="1"/>
  <c r="J6" i="24"/>
  <c r="J25" i="24"/>
  <c r="I198" i="30"/>
  <c r="H200" i="31"/>
  <c r="J26" i="27" s="1"/>
  <c r="J6" i="27"/>
  <c r="H76" i="19"/>
  <c r="C29" i="21" s="1"/>
  <c r="H46" i="25"/>
  <c r="C26" i="27" s="1"/>
  <c r="H200" i="30"/>
  <c r="J26" i="24" s="1"/>
  <c r="H75" i="16"/>
  <c r="C29" i="18" s="1"/>
  <c r="H47" i="16"/>
  <c r="C26" i="18" s="1"/>
  <c r="K7" i="24"/>
  <c r="H114" i="25"/>
  <c r="D29" i="27" s="1"/>
  <c r="H86" i="19"/>
  <c r="D25" i="21" s="1"/>
  <c r="H75" i="22"/>
  <c r="C29" i="24" s="1"/>
  <c r="H115" i="16"/>
  <c r="D29" i="18" s="1"/>
  <c r="H400" i="30"/>
  <c r="I400" i="30" s="1"/>
  <c r="H388" i="30"/>
  <c r="I388" i="30" s="1"/>
  <c r="C39" i="22"/>
  <c r="C18" i="24" s="1"/>
  <c r="F7" i="21"/>
  <c r="H5" i="30"/>
  <c r="E26" i="24" s="1"/>
  <c r="H3" i="29"/>
  <c r="E25" i="21" s="1"/>
  <c r="D27" i="25"/>
  <c r="D6" i="27" s="1"/>
  <c r="H72" i="29"/>
  <c r="F29" i="21" s="1"/>
  <c r="H202" i="29"/>
  <c r="H18" i="21"/>
  <c r="H3" i="28"/>
  <c r="E25" i="18" s="1"/>
  <c r="M18" i="27"/>
  <c r="H388" i="29"/>
  <c r="I388" i="29" s="1"/>
  <c r="O7" i="18"/>
  <c r="O25" i="18"/>
  <c r="H388" i="31"/>
  <c r="I388" i="31" s="1"/>
  <c r="K6" i="24"/>
  <c r="H189" i="31"/>
  <c r="I189" i="31" s="1"/>
  <c r="H159" i="29"/>
  <c r="D28" i="16"/>
  <c r="D7" i="18" s="1"/>
  <c r="H85" i="22"/>
  <c r="D25" i="24" s="1"/>
  <c r="H398" i="30"/>
  <c r="O25" i="24" s="1"/>
  <c r="H3" i="30"/>
  <c r="E25" i="24" s="1"/>
  <c r="H116" i="19"/>
  <c r="D29" i="21" s="1"/>
  <c r="H33" i="31"/>
  <c r="I33" i="31" s="1"/>
  <c r="N6" i="21"/>
  <c r="H72" i="30"/>
  <c r="I72" i="30" s="1"/>
  <c r="I25" i="18"/>
  <c r="H115" i="22"/>
  <c r="D29" i="24" s="1"/>
  <c r="H308" i="30"/>
  <c r="I308" i="30" s="1"/>
  <c r="H45" i="16"/>
  <c r="C25" i="18" s="1"/>
  <c r="H44" i="25"/>
  <c r="C25" i="27" s="1"/>
  <c r="H33" i="28"/>
  <c r="I33" i="28" s="1"/>
  <c r="H238" i="29"/>
  <c r="K25" i="21" s="1"/>
  <c r="G27" i="18"/>
  <c r="H124" i="29"/>
  <c r="H27" i="21" s="1"/>
  <c r="H124" i="31"/>
  <c r="I124" i="31" s="1"/>
  <c r="H202" i="30"/>
  <c r="J27" i="24" s="1"/>
  <c r="C26" i="24"/>
  <c r="I47" i="22"/>
  <c r="H29" i="22"/>
  <c r="J29" i="22" s="1"/>
  <c r="H322" i="30"/>
  <c r="M27" i="24" s="1"/>
  <c r="H163" i="29"/>
  <c r="I163" i="29" s="1"/>
  <c r="H49" i="22"/>
  <c r="C27" i="24" s="1"/>
  <c r="H7" i="21"/>
  <c r="H228" i="29"/>
  <c r="J29" i="21" s="1"/>
  <c r="H322" i="29"/>
  <c r="I322" i="29" s="1"/>
  <c r="C28" i="22"/>
  <c r="C7" i="24" s="1"/>
  <c r="N7" i="24"/>
  <c r="D39" i="16"/>
  <c r="D18" i="18" s="1"/>
  <c r="E7" i="27"/>
  <c r="H42" i="30"/>
  <c r="F25" i="24" s="1"/>
  <c r="I27" i="18"/>
  <c r="H318" i="29"/>
  <c r="M25" i="21" s="1"/>
  <c r="H81" i="29"/>
  <c r="H48" i="19"/>
  <c r="H90" i="19"/>
  <c r="D27" i="21" s="1"/>
  <c r="H282" i="29"/>
  <c r="I282" i="29" s="1"/>
  <c r="H398" i="29"/>
  <c r="G7" i="27"/>
  <c r="H120" i="30"/>
  <c r="N7" i="21"/>
  <c r="C27" i="22"/>
  <c r="C6" i="24" s="1"/>
  <c r="H88" i="25"/>
  <c r="D27" i="27" s="1"/>
  <c r="I198" i="31"/>
  <c r="H89" i="16"/>
  <c r="D27" i="18" s="1"/>
  <c r="H50" i="19"/>
  <c r="C27" i="21" s="1"/>
  <c r="H362" i="30"/>
  <c r="I362" i="30" s="1"/>
  <c r="H238" i="31"/>
  <c r="K7" i="18"/>
  <c r="H48" i="25"/>
  <c r="C27" i="27" s="1"/>
  <c r="H85" i="29"/>
  <c r="I358" i="29"/>
  <c r="H81" i="31"/>
  <c r="G25" i="27" s="1"/>
  <c r="H81" i="30"/>
  <c r="H242" i="31"/>
  <c r="I242" i="31" s="1"/>
  <c r="H278" i="30"/>
  <c r="I238" i="30"/>
  <c r="H242" i="30"/>
  <c r="I242" i="30" s="1"/>
  <c r="H362" i="29"/>
  <c r="H163" i="30"/>
  <c r="I163" i="30" s="1"/>
  <c r="H278" i="31"/>
  <c r="L25" i="27" s="1"/>
  <c r="H268" i="31"/>
  <c r="I268" i="31" s="1"/>
  <c r="D28" i="22"/>
  <c r="G7" i="21"/>
  <c r="D39" i="25"/>
  <c r="D18" i="27" s="1"/>
  <c r="J7" i="21"/>
  <c r="H7" i="29"/>
  <c r="I7" i="29" s="1"/>
  <c r="H124" i="30"/>
  <c r="H27" i="24" s="1"/>
  <c r="H46" i="30"/>
  <c r="F27" i="24" s="1"/>
  <c r="I159" i="31"/>
  <c r="H120" i="29"/>
  <c r="L7" i="24"/>
  <c r="H120" i="31"/>
  <c r="H25" i="27" s="1"/>
  <c r="H42" i="29"/>
  <c r="H348" i="30"/>
  <c r="M18" i="24"/>
  <c r="H189" i="29"/>
  <c r="I18" i="21"/>
  <c r="I107" i="31"/>
  <c r="G28" i="27"/>
  <c r="H189" i="30"/>
  <c r="I18" i="24"/>
  <c r="I344" i="29"/>
  <c r="M28" i="21"/>
  <c r="I29" i="28"/>
  <c r="E28" i="18"/>
  <c r="J28" i="18"/>
  <c r="I384" i="30"/>
  <c r="N28" i="24"/>
  <c r="O18" i="18"/>
  <c r="C7" i="18"/>
  <c r="H33" i="29"/>
  <c r="E18" i="21"/>
  <c r="H7" i="30"/>
  <c r="O18" i="27"/>
  <c r="H428" i="31"/>
  <c r="H358" i="31"/>
  <c r="N6" i="27"/>
  <c r="I304" i="31"/>
  <c r="L28" i="27"/>
  <c r="H83" i="30"/>
  <c r="G7" i="24"/>
  <c r="F26" i="18"/>
  <c r="L26" i="18"/>
  <c r="H278" i="29"/>
  <c r="I28" i="18"/>
  <c r="I185" i="31"/>
  <c r="I28" i="27"/>
  <c r="H18" i="18"/>
  <c r="H49" i="16"/>
  <c r="G29" i="18"/>
  <c r="H242" i="29"/>
  <c r="H282" i="30"/>
  <c r="M28" i="18"/>
  <c r="H308" i="29"/>
  <c r="L18" i="21"/>
  <c r="I280" i="30"/>
  <c r="L26" i="24"/>
  <c r="D22" i="25"/>
  <c r="C7" i="27"/>
  <c r="H28" i="18"/>
  <c r="H5" i="29"/>
  <c r="E7" i="21"/>
  <c r="I224" i="31"/>
  <c r="J28" i="27"/>
  <c r="H163" i="31"/>
  <c r="I163" i="31" s="1"/>
  <c r="I8" i="27"/>
  <c r="H161" i="31"/>
  <c r="I7" i="27"/>
  <c r="I320" i="30"/>
  <c r="M26" i="24"/>
  <c r="H111" i="29"/>
  <c r="G18" i="21"/>
  <c r="N26" i="18"/>
  <c r="H280" i="29"/>
  <c r="L7" i="21"/>
  <c r="K18" i="18"/>
  <c r="I185" i="29"/>
  <c r="I28" i="21"/>
  <c r="I146" i="29"/>
  <c r="H28" i="21"/>
  <c r="H348" i="29"/>
  <c r="M18" i="21"/>
  <c r="M18" i="18"/>
  <c r="H268" i="30"/>
  <c r="K18" i="24"/>
  <c r="I68" i="30"/>
  <c r="F28" i="24"/>
  <c r="I83" i="29"/>
  <c r="G26" i="21"/>
  <c r="I304" i="29"/>
  <c r="L28" i="21"/>
  <c r="H3" i="31"/>
  <c r="I240" i="30"/>
  <c r="K26" i="24"/>
  <c r="N18" i="18"/>
  <c r="H228" i="31"/>
  <c r="J18" i="27"/>
  <c r="H280" i="31"/>
  <c r="L7" i="27"/>
  <c r="I344" i="30"/>
  <c r="M28" i="24"/>
  <c r="G28" i="18"/>
  <c r="I44" i="31"/>
  <c r="F26" i="27"/>
  <c r="I29" i="29"/>
  <c r="E28" i="21"/>
  <c r="I224" i="30"/>
  <c r="J28" i="24"/>
  <c r="I68" i="29"/>
  <c r="F28" i="21"/>
  <c r="L28" i="18"/>
  <c r="O26" i="18"/>
  <c r="J29" i="18"/>
  <c r="H25" i="18"/>
  <c r="I185" i="30"/>
  <c r="I28" i="24"/>
  <c r="H320" i="31"/>
  <c r="M7" i="27"/>
  <c r="H282" i="31"/>
  <c r="L27" i="27" s="1"/>
  <c r="H111" i="31"/>
  <c r="G18" i="27"/>
  <c r="I264" i="31"/>
  <c r="K28" i="27"/>
  <c r="I44" i="29"/>
  <c r="F26" i="21"/>
  <c r="I264" i="30"/>
  <c r="K28" i="24"/>
  <c r="I26" i="18"/>
  <c r="H358" i="30"/>
  <c r="N6" i="24"/>
  <c r="H400" i="29"/>
  <c r="O7" i="21"/>
  <c r="H240" i="29"/>
  <c r="K7" i="21"/>
  <c r="I304" i="30"/>
  <c r="L28" i="24"/>
  <c r="I424" i="29"/>
  <c r="O28" i="21"/>
  <c r="H122" i="31"/>
  <c r="H7" i="27"/>
  <c r="D29" i="19"/>
  <c r="H5" i="28"/>
  <c r="E7" i="18"/>
  <c r="F29" i="18"/>
  <c r="I107" i="30"/>
  <c r="G28" i="24"/>
  <c r="I146" i="30"/>
  <c r="H28" i="24"/>
  <c r="I384" i="31"/>
  <c r="N28" i="27"/>
  <c r="I424" i="30"/>
  <c r="O28" i="24"/>
  <c r="H150" i="31"/>
  <c r="H18" i="27"/>
  <c r="M26" i="18"/>
  <c r="K26" i="18"/>
  <c r="H150" i="30"/>
  <c r="H18" i="24"/>
  <c r="I29" i="30"/>
  <c r="E28" i="24"/>
  <c r="I44" i="30"/>
  <c r="F26" i="24"/>
  <c r="I200" i="29"/>
  <c r="J26" i="21"/>
  <c r="I87" i="22"/>
  <c r="D26" i="24"/>
  <c r="I122" i="29"/>
  <c r="H26" i="21"/>
  <c r="J26" i="18"/>
  <c r="I360" i="29"/>
  <c r="N26" i="21"/>
  <c r="H428" i="29"/>
  <c r="O18" i="21"/>
  <c r="H228" i="30"/>
  <c r="J18" i="24"/>
  <c r="H89" i="22"/>
  <c r="D27" i="24" s="1"/>
  <c r="M27" i="18"/>
  <c r="F28" i="18"/>
  <c r="I224" i="29"/>
  <c r="J28" i="21"/>
  <c r="H85" i="30"/>
  <c r="I85" i="30" s="1"/>
  <c r="H308" i="31"/>
  <c r="H322" i="31"/>
  <c r="H33" i="30"/>
  <c r="E18" i="24"/>
  <c r="I18" i="18"/>
  <c r="H72" i="31"/>
  <c r="H161" i="30"/>
  <c r="I7" i="24"/>
  <c r="I344" i="31"/>
  <c r="M28" i="27"/>
  <c r="H111" i="30"/>
  <c r="G18" i="24"/>
  <c r="I384" i="29"/>
  <c r="N28" i="21"/>
  <c r="H161" i="29"/>
  <c r="I7" i="21"/>
  <c r="G26" i="18"/>
  <c r="H46" i="31"/>
  <c r="F27" i="27" s="1"/>
  <c r="F9" i="27"/>
  <c r="H428" i="30"/>
  <c r="O18" i="24"/>
  <c r="K28" i="18"/>
  <c r="O28" i="18"/>
  <c r="N28" i="18"/>
  <c r="H7" i="28"/>
  <c r="E27" i="18" s="1"/>
  <c r="I107" i="29"/>
  <c r="G28" i="21"/>
  <c r="H402" i="30"/>
  <c r="I402" i="30" s="1"/>
  <c r="I68" i="31"/>
  <c r="F28" i="27"/>
  <c r="H12" i="27"/>
  <c r="I424" i="31"/>
  <c r="O28" i="27"/>
  <c r="I29" i="31"/>
  <c r="E28" i="27"/>
  <c r="I146" i="31"/>
  <c r="H28" i="27"/>
  <c r="I400" i="31"/>
  <c r="O26" i="27"/>
  <c r="H268" i="29"/>
  <c r="K18" i="21"/>
  <c r="I5" i="31"/>
  <c r="E26" i="27"/>
  <c r="I122" i="30"/>
  <c r="H26" i="24"/>
  <c r="I264" i="29"/>
  <c r="K28" i="21"/>
  <c r="H402" i="29"/>
  <c r="I360" i="30"/>
  <c r="N26" i="24"/>
  <c r="H46" i="29"/>
  <c r="H362" i="31"/>
  <c r="H202" i="31"/>
  <c r="J27" i="27" s="1"/>
  <c r="J12" i="27"/>
  <c r="H402" i="31"/>
  <c r="O27" i="27" s="1"/>
  <c r="O12" i="27"/>
  <c r="H85" i="31"/>
  <c r="G12" i="27"/>
  <c r="H7" i="31"/>
  <c r="E27" i="27" s="1"/>
  <c r="H35" i="25"/>
  <c r="I70" i="25"/>
  <c r="I110" i="25"/>
  <c r="I35" i="25"/>
  <c r="I84" i="25"/>
  <c r="I26" i="25"/>
  <c r="H26" i="22"/>
  <c r="I45" i="22"/>
  <c r="I111" i="22"/>
  <c r="I35" i="22"/>
  <c r="H35" i="22"/>
  <c r="I71" i="22"/>
  <c r="I88" i="19"/>
  <c r="I30" i="19"/>
  <c r="H36" i="19"/>
  <c r="I72" i="19"/>
  <c r="I112" i="19"/>
  <c r="I36" i="19"/>
  <c r="I29" i="16"/>
  <c r="I87" i="16"/>
  <c r="I111" i="16"/>
  <c r="I35" i="16"/>
  <c r="H35" i="16"/>
  <c r="I71" i="16"/>
  <c r="I240" i="31" l="1"/>
  <c r="I348" i="31"/>
  <c r="I74" i="25"/>
  <c r="H38" i="25"/>
  <c r="H29" i="21"/>
  <c r="I46" i="19"/>
  <c r="H27" i="19"/>
  <c r="I27" i="19"/>
  <c r="I318" i="31"/>
  <c r="H38" i="22"/>
  <c r="I76" i="19"/>
  <c r="H39" i="19"/>
  <c r="D22" i="16"/>
  <c r="I198" i="29"/>
  <c r="I72" i="29"/>
  <c r="I5" i="30"/>
  <c r="I318" i="30"/>
  <c r="I159" i="30"/>
  <c r="I42" i="30"/>
  <c r="I3" i="30"/>
  <c r="I120" i="31"/>
  <c r="I398" i="31"/>
  <c r="I42" i="31"/>
  <c r="I200" i="31"/>
  <c r="I85" i="16"/>
  <c r="I26" i="22"/>
  <c r="J26" i="22" s="1"/>
  <c r="N29" i="21"/>
  <c r="I26" i="16"/>
  <c r="I3" i="29"/>
  <c r="I86" i="19"/>
  <c r="I114" i="25"/>
  <c r="I398" i="30"/>
  <c r="I86" i="25"/>
  <c r="K29" i="27"/>
  <c r="I200" i="30"/>
  <c r="H26" i="25"/>
  <c r="J26" i="25" s="1"/>
  <c r="H29" i="25"/>
  <c r="M26" i="21"/>
  <c r="I46" i="25"/>
  <c r="J358" i="31"/>
  <c r="K358" i="31" s="1"/>
  <c r="C30" i="27"/>
  <c r="C31" i="27" s="1"/>
  <c r="I39" i="19"/>
  <c r="I29" i="25"/>
  <c r="I38" i="25"/>
  <c r="J38" i="25" s="1"/>
  <c r="J358" i="29"/>
  <c r="K358" i="29" s="1"/>
  <c r="I116" i="19"/>
  <c r="I75" i="22"/>
  <c r="I85" i="22"/>
  <c r="O26" i="24"/>
  <c r="I29" i="27"/>
  <c r="I47" i="16"/>
  <c r="I75" i="16"/>
  <c r="H38" i="16"/>
  <c r="D30" i="18"/>
  <c r="D31" i="18" s="1"/>
  <c r="I38" i="16"/>
  <c r="I115" i="16"/>
  <c r="H29" i="16"/>
  <c r="J29" i="16" s="1"/>
  <c r="I3" i="28"/>
  <c r="I38" i="22"/>
  <c r="N29" i="24"/>
  <c r="I115" i="22"/>
  <c r="J318" i="31"/>
  <c r="K318" i="31" s="1"/>
  <c r="N29" i="27"/>
  <c r="I228" i="29"/>
  <c r="E29" i="18"/>
  <c r="L29" i="24"/>
  <c r="J198" i="29"/>
  <c r="K198" i="29" s="1"/>
  <c r="I46" i="30"/>
  <c r="D30" i="27"/>
  <c r="D31" i="27" s="1"/>
  <c r="J27" i="21"/>
  <c r="I124" i="29"/>
  <c r="K27" i="18"/>
  <c r="I32" i="16"/>
  <c r="I322" i="30"/>
  <c r="I44" i="25"/>
  <c r="I202" i="29"/>
  <c r="M25" i="18"/>
  <c r="E29" i="27"/>
  <c r="D30" i="21"/>
  <c r="D31" i="21" s="1"/>
  <c r="I89" i="16"/>
  <c r="J85" i="16"/>
  <c r="F13" i="16" s="1"/>
  <c r="I318" i="29"/>
  <c r="F29" i="24"/>
  <c r="J278" i="30"/>
  <c r="K278" i="30" s="1"/>
  <c r="I25" i="21"/>
  <c r="I159" i="29"/>
  <c r="J42" i="30"/>
  <c r="K42" i="30" s="1"/>
  <c r="J3" i="30"/>
  <c r="K3" i="30" s="1"/>
  <c r="I238" i="29"/>
  <c r="L27" i="21"/>
  <c r="J42" i="29"/>
  <c r="K42" i="29" s="1"/>
  <c r="H27" i="27"/>
  <c r="J45" i="16"/>
  <c r="K45" i="16" s="1"/>
  <c r="J81" i="29"/>
  <c r="K81" i="29" s="1"/>
  <c r="I45" i="16"/>
  <c r="I202" i="30"/>
  <c r="I90" i="19"/>
  <c r="H26" i="16"/>
  <c r="I88" i="25"/>
  <c r="J86" i="19"/>
  <c r="K86" i="19" s="1"/>
  <c r="J120" i="29"/>
  <c r="K120" i="29" s="1"/>
  <c r="I46" i="31"/>
  <c r="M27" i="21"/>
  <c r="J318" i="29"/>
  <c r="K318" i="29" s="1"/>
  <c r="H32" i="25"/>
  <c r="N27" i="18"/>
  <c r="O27" i="18"/>
  <c r="H32" i="22"/>
  <c r="G27" i="21"/>
  <c r="N27" i="24"/>
  <c r="J159" i="29"/>
  <c r="K159" i="29" s="1"/>
  <c r="I27" i="21"/>
  <c r="J3" i="28"/>
  <c r="K3" i="28" s="1"/>
  <c r="I362" i="29"/>
  <c r="K27" i="24"/>
  <c r="I85" i="29"/>
  <c r="H33" i="19"/>
  <c r="J46" i="19"/>
  <c r="K46" i="19" s="1"/>
  <c r="I50" i="19"/>
  <c r="I7" i="28"/>
  <c r="I49" i="22"/>
  <c r="J44" i="25"/>
  <c r="K44" i="25" s="1"/>
  <c r="J318" i="30"/>
  <c r="K318" i="30" s="1"/>
  <c r="J238" i="31"/>
  <c r="K238" i="31" s="1"/>
  <c r="K27" i="27"/>
  <c r="I124" i="30"/>
  <c r="J45" i="22"/>
  <c r="K45" i="22" s="1"/>
  <c r="J84" i="25"/>
  <c r="K84" i="25" s="1"/>
  <c r="I32" i="25"/>
  <c r="I48" i="25"/>
  <c r="H27" i="18"/>
  <c r="J198" i="31"/>
  <c r="K198" i="31" s="1"/>
  <c r="I27" i="24"/>
  <c r="J27" i="18"/>
  <c r="J120" i="30"/>
  <c r="K120" i="30" s="1"/>
  <c r="C30" i="24"/>
  <c r="C31" i="24" s="1"/>
  <c r="I81" i="31"/>
  <c r="I282" i="31"/>
  <c r="J42" i="31"/>
  <c r="K42" i="31" s="1"/>
  <c r="I7" i="30"/>
  <c r="E27" i="21"/>
  <c r="J81" i="30"/>
  <c r="K81" i="30" s="1"/>
  <c r="K25" i="27"/>
  <c r="I238" i="31"/>
  <c r="G25" i="24"/>
  <c r="I81" i="30"/>
  <c r="J3" i="29"/>
  <c r="K3" i="29" s="1"/>
  <c r="C26" i="21"/>
  <c r="C30" i="21" s="1"/>
  <c r="C31" i="21" s="1"/>
  <c r="I48" i="19"/>
  <c r="H30" i="19"/>
  <c r="J30" i="19" s="1"/>
  <c r="J159" i="30"/>
  <c r="K159" i="30" s="1"/>
  <c r="G25" i="21"/>
  <c r="I81" i="29"/>
  <c r="I33" i="19"/>
  <c r="N27" i="21"/>
  <c r="J278" i="29"/>
  <c r="K278" i="29" s="1"/>
  <c r="H25" i="24"/>
  <c r="I120" i="30"/>
  <c r="J36" i="19"/>
  <c r="E27" i="24"/>
  <c r="O25" i="21"/>
  <c r="I398" i="29"/>
  <c r="M27" i="27"/>
  <c r="I202" i="31"/>
  <c r="I322" i="31"/>
  <c r="I32" i="22"/>
  <c r="L25" i="24"/>
  <c r="I278" i="30"/>
  <c r="I89" i="22"/>
  <c r="I278" i="31"/>
  <c r="H25" i="21"/>
  <c r="I120" i="29"/>
  <c r="D7" i="24"/>
  <c r="D22" i="22"/>
  <c r="J278" i="31"/>
  <c r="K278" i="31" s="1"/>
  <c r="J159" i="31"/>
  <c r="K159" i="31" s="1"/>
  <c r="O27" i="24"/>
  <c r="I27" i="27"/>
  <c r="J85" i="22"/>
  <c r="F13" i="22" s="1"/>
  <c r="F25" i="21"/>
  <c r="I42" i="29"/>
  <c r="I72" i="31"/>
  <c r="F29" i="27"/>
  <c r="I308" i="31"/>
  <c r="L29" i="27"/>
  <c r="I268" i="30"/>
  <c r="K29" i="24"/>
  <c r="I111" i="29"/>
  <c r="G29" i="21"/>
  <c r="L25" i="21"/>
  <c r="I278" i="29"/>
  <c r="L29" i="18"/>
  <c r="L27" i="18"/>
  <c r="I268" i="29"/>
  <c r="K29" i="21"/>
  <c r="I161" i="29"/>
  <c r="I26" i="21"/>
  <c r="I122" i="31"/>
  <c r="H26" i="27"/>
  <c r="J120" i="31"/>
  <c r="K120" i="31" s="1"/>
  <c r="I400" i="29"/>
  <c r="O26" i="21"/>
  <c r="J398" i="29"/>
  <c r="K398" i="29" s="1"/>
  <c r="I111" i="31"/>
  <c r="G29" i="27"/>
  <c r="N29" i="18"/>
  <c r="C27" i="18"/>
  <c r="C30" i="18" s="1"/>
  <c r="C31" i="18" s="1"/>
  <c r="I49" i="16"/>
  <c r="H32" i="16"/>
  <c r="I189" i="30"/>
  <c r="I29" i="24"/>
  <c r="I29" i="18"/>
  <c r="I228" i="30"/>
  <c r="J29" i="24"/>
  <c r="J198" i="30"/>
  <c r="K198" i="30" s="1"/>
  <c r="L25" i="18"/>
  <c r="M29" i="18"/>
  <c r="K29" i="18"/>
  <c r="I308" i="29"/>
  <c r="L29" i="21"/>
  <c r="I428" i="30"/>
  <c r="O29" i="24"/>
  <c r="N25" i="24"/>
  <c r="I358" i="30"/>
  <c r="J358" i="30"/>
  <c r="K358" i="30" s="1"/>
  <c r="H29" i="18"/>
  <c r="I33" i="29"/>
  <c r="E29" i="21"/>
  <c r="I33" i="30"/>
  <c r="E29" i="24"/>
  <c r="I348" i="29"/>
  <c r="M29" i="21"/>
  <c r="I280" i="29"/>
  <c r="L26" i="21"/>
  <c r="N25" i="27"/>
  <c r="I358" i="31"/>
  <c r="J35" i="25"/>
  <c r="I402" i="31"/>
  <c r="G27" i="24"/>
  <c r="I161" i="30"/>
  <c r="I26" i="24"/>
  <c r="I280" i="31"/>
  <c r="L26" i="27"/>
  <c r="I282" i="30"/>
  <c r="L27" i="24"/>
  <c r="I428" i="31"/>
  <c r="O29" i="27"/>
  <c r="I189" i="29"/>
  <c r="I29" i="21"/>
  <c r="I402" i="29"/>
  <c r="O27" i="21"/>
  <c r="D30" i="24"/>
  <c r="D31" i="24" s="1"/>
  <c r="I150" i="31"/>
  <c r="H29" i="27"/>
  <c r="I5" i="28"/>
  <c r="E26" i="18"/>
  <c r="E25" i="27"/>
  <c r="I3" i="31"/>
  <c r="I161" i="31"/>
  <c r="I26" i="27"/>
  <c r="I242" i="29"/>
  <c r="K27" i="21"/>
  <c r="I83" i="30"/>
  <c r="G26" i="24"/>
  <c r="J35" i="22"/>
  <c r="J398" i="30"/>
  <c r="K398" i="30" s="1"/>
  <c r="I111" i="30"/>
  <c r="G29" i="24"/>
  <c r="I428" i="29"/>
  <c r="O29" i="21"/>
  <c r="I150" i="30"/>
  <c r="H29" i="24"/>
  <c r="D22" i="19"/>
  <c r="D7" i="21"/>
  <c r="I240" i="29"/>
  <c r="K26" i="21"/>
  <c r="J238" i="29"/>
  <c r="K238" i="29" s="1"/>
  <c r="I320" i="31"/>
  <c r="M26" i="27"/>
  <c r="J238" i="30"/>
  <c r="K238" i="30" s="1"/>
  <c r="I228" i="31"/>
  <c r="J29" i="27"/>
  <c r="I5" i="29"/>
  <c r="E26" i="21"/>
  <c r="O29" i="18"/>
  <c r="I348" i="30"/>
  <c r="M29" i="24"/>
  <c r="I85" i="31"/>
  <c r="G27" i="27"/>
  <c r="F27" i="18"/>
  <c r="J81" i="31"/>
  <c r="K81" i="31" s="1"/>
  <c r="I362" i="31"/>
  <c r="N27" i="27"/>
  <c r="J398" i="31"/>
  <c r="K398" i="31" s="1"/>
  <c r="I46" i="29"/>
  <c r="F27" i="21"/>
  <c r="I7" i="31"/>
  <c r="J3" i="31"/>
  <c r="K3" i="31" s="1"/>
  <c r="J35" i="16"/>
  <c r="J27" i="19" l="1"/>
  <c r="J38" i="22"/>
  <c r="J39" i="19"/>
  <c r="J26" i="16"/>
  <c r="J29" i="25"/>
  <c r="J38" i="16"/>
  <c r="J32" i="22"/>
  <c r="J32" i="16"/>
  <c r="F12" i="16"/>
  <c r="F18" i="16" s="1"/>
  <c r="K85" i="16"/>
  <c r="F12" i="25"/>
  <c r="F18" i="25" s="1"/>
  <c r="F13" i="19"/>
  <c r="F19" i="19" s="1"/>
  <c r="F12" i="22"/>
  <c r="F18" i="22" s="1"/>
  <c r="F13" i="25"/>
  <c r="F12" i="19"/>
  <c r="F18" i="19" s="1"/>
  <c r="J32" i="25"/>
  <c r="K85" i="22"/>
  <c r="J33" i="19"/>
  <c r="F19" i="22"/>
  <c r="F19" i="16"/>
  <c r="F14" i="16" l="1"/>
  <c r="D39" i="34" s="1"/>
  <c r="F20" i="16"/>
  <c r="F14" i="22"/>
  <c r="D41" i="34" s="1"/>
  <c r="F14" i="25"/>
  <c r="D42" i="34" s="1"/>
  <c r="F14" i="19"/>
  <c r="D40" i="34" s="1"/>
  <c r="F20" i="22"/>
  <c r="F19" i="25"/>
  <c r="F20" i="25" s="1"/>
  <c r="F20" i="19"/>
  <c r="F40" i="34" s="1"/>
  <c r="F44" i="2"/>
  <c r="H12" i="25" l="1"/>
  <c r="F42" i="34"/>
  <c r="H12" i="22"/>
  <c r="F41" i="34"/>
  <c r="H12" i="16"/>
  <c r="F39" i="34"/>
  <c r="H12" i="19"/>
  <c r="F58" i="2" l="1"/>
  <c r="F59" i="2"/>
  <c r="F55" i="2" l="1"/>
  <c r="F54" i="2"/>
  <c r="X459" i="1" l="1"/>
  <c r="S426" i="1"/>
  <c r="F57" i="2" l="1"/>
  <c r="F56" i="2"/>
  <c r="G17" i="14" l="1"/>
  <c r="I13" i="14" l="1"/>
  <c r="I17" i="14"/>
  <c r="I15" i="14"/>
  <c r="I16" i="14"/>
  <c r="I14" i="14"/>
  <c r="H15" i="14"/>
  <c r="H16" i="14"/>
  <c r="H14" i="14"/>
  <c r="H13" i="14"/>
  <c r="H17" i="14"/>
  <c r="G14" i="14"/>
  <c r="G16" i="14"/>
  <c r="G13" i="14"/>
  <c r="G15" i="14"/>
  <c r="F14" i="14"/>
  <c r="F15" i="14"/>
  <c r="F16" i="14"/>
  <c r="F13" i="14"/>
  <c r="F17" i="14"/>
  <c r="M19" i="14"/>
  <c r="O19" i="14"/>
  <c r="L19" i="14"/>
  <c r="N19" i="14"/>
  <c r="J19" i="14"/>
  <c r="K19" i="14"/>
  <c r="G18" i="14"/>
  <c r="F70" i="1"/>
  <c r="E9" i="14" l="1"/>
  <c r="I18" i="14"/>
  <c r="E17" i="14"/>
  <c r="E14" i="14"/>
  <c r="E13" i="14"/>
  <c r="E16" i="14"/>
  <c r="E15" i="14"/>
  <c r="F28" i="14"/>
  <c r="G28" i="14"/>
  <c r="H28" i="14"/>
  <c r="I28" i="14"/>
  <c r="F18" i="14"/>
  <c r="H18" i="14"/>
  <c r="G88" i="2"/>
  <c r="O30" i="27" l="1"/>
  <c r="O31" i="27" s="1"/>
  <c r="O30" i="24"/>
  <c r="O31" i="24" s="1"/>
  <c r="N30" i="18"/>
  <c r="N31" i="18" s="1"/>
  <c r="L30" i="24"/>
  <c r="L31" i="24" s="1"/>
  <c r="K30" i="21"/>
  <c r="K31" i="21" s="1"/>
  <c r="K30" i="27"/>
  <c r="K31" i="27" s="1"/>
  <c r="J30" i="27"/>
  <c r="J31" i="27" s="1"/>
  <c r="I30" i="24"/>
  <c r="I31" i="24" s="1"/>
  <c r="I30" i="21"/>
  <c r="I31" i="21" s="1"/>
  <c r="H30" i="24"/>
  <c r="H31" i="24" s="1"/>
  <c r="H30" i="18"/>
  <c r="H31" i="18" s="1"/>
  <c r="H30" i="21"/>
  <c r="H31" i="21" s="1"/>
  <c r="F30" i="24"/>
  <c r="F31" i="24" s="1"/>
  <c r="E18" i="14"/>
  <c r="E28" i="14"/>
  <c r="F29" i="14"/>
  <c r="G29" i="14"/>
  <c r="H29" i="14"/>
  <c r="I29" i="14"/>
  <c r="O30" i="21" l="1"/>
  <c r="O31" i="21" s="1"/>
  <c r="O30" i="18"/>
  <c r="O31" i="18" s="1"/>
  <c r="N30" i="21"/>
  <c r="N31" i="21" s="1"/>
  <c r="N30" i="27"/>
  <c r="N31" i="27" s="1"/>
  <c r="N30" i="24"/>
  <c r="N31" i="24" s="1"/>
  <c r="M30" i="27"/>
  <c r="M31" i="27" s="1"/>
  <c r="M30" i="21"/>
  <c r="M31" i="21" s="1"/>
  <c r="M30" i="18"/>
  <c r="M31" i="18" s="1"/>
  <c r="M30" i="24"/>
  <c r="M31" i="24" s="1"/>
  <c r="L30" i="18"/>
  <c r="L31" i="18" s="1"/>
  <c r="L30" i="27"/>
  <c r="L31" i="27" s="1"/>
  <c r="L30" i="21"/>
  <c r="L31" i="21" s="1"/>
  <c r="K30" i="18"/>
  <c r="K31" i="18" s="1"/>
  <c r="K30" i="24"/>
  <c r="K31" i="24" s="1"/>
  <c r="J30" i="18"/>
  <c r="J31" i="18" s="1"/>
  <c r="J30" i="21"/>
  <c r="J31" i="21" s="1"/>
  <c r="J30" i="24"/>
  <c r="J31" i="24" s="1"/>
  <c r="I30" i="27"/>
  <c r="I31" i="27" s="1"/>
  <c r="I30" i="18"/>
  <c r="I31" i="18" s="1"/>
  <c r="H30" i="27"/>
  <c r="H31" i="27" s="1"/>
  <c r="G30" i="21"/>
  <c r="G31" i="21" s="1"/>
  <c r="G30" i="18"/>
  <c r="G31" i="18" s="1"/>
  <c r="G30" i="24"/>
  <c r="G31" i="24" s="1"/>
  <c r="G30" i="27"/>
  <c r="G31" i="27" s="1"/>
  <c r="F30" i="27"/>
  <c r="F31" i="27" s="1"/>
  <c r="F30" i="21"/>
  <c r="F31" i="21" s="1"/>
  <c r="F30" i="18"/>
  <c r="F31" i="18" s="1"/>
  <c r="E30" i="27"/>
  <c r="E31" i="27" s="1"/>
  <c r="E29" i="14"/>
  <c r="G112" i="2"/>
  <c r="G111" i="2"/>
  <c r="G113" i="2"/>
  <c r="E30" i="21" l="1"/>
  <c r="E31" i="21" s="1"/>
  <c r="E30" i="18"/>
  <c r="E31" i="18" s="1"/>
  <c r="E30" i="24"/>
  <c r="E31" i="24" s="1"/>
  <c r="G110" i="2" l="1"/>
  <c r="H110" i="2" s="1"/>
  <c r="G71" i="2" l="1"/>
  <c r="C36" i="2" s="1"/>
  <c r="C15" i="14" s="1"/>
  <c r="D36" i="2"/>
  <c r="D15" i="14" s="1"/>
  <c r="G48" i="2"/>
  <c r="G84" i="2"/>
  <c r="G44" i="2"/>
  <c r="G45" i="2"/>
  <c r="O11" i="14"/>
  <c r="N11" i="14"/>
  <c r="M11" i="14"/>
  <c r="L11" i="14"/>
  <c r="K11" i="14"/>
  <c r="J11" i="14"/>
  <c r="I11" i="14"/>
  <c r="H11" i="14"/>
  <c r="G11" i="14"/>
  <c r="F11" i="14"/>
  <c r="E11" i="14"/>
  <c r="G104" i="2"/>
  <c r="G64" i="2"/>
  <c r="N8" i="14"/>
  <c r="K8" i="14"/>
  <c r="J8" i="14"/>
  <c r="H8" i="14"/>
  <c r="E8" i="14"/>
  <c r="D29" i="2"/>
  <c r="D8" i="14" s="1"/>
  <c r="F4" i="14"/>
  <c r="G4" i="14"/>
  <c r="G24" i="14" s="1"/>
  <c r="H4" i="14"/>
  <c r="H24" i="14" s="1"/>
  <c r="I4" i="14"/>
  <c r="I24" i="14" s="1"/>
  <c r="J4" i="14"/>
  <c r="J24" i="14" s="1"/>
  <c r="O4" i="14"/>
  <c r="O24" i="14" s="1"/>
  <c r="N4" i="14"/>
  <c r="N24" i="14" s="1"/>
  <c r="M4" i="14"/>
  <c r="M24" i="14" s="1"/>
  <c r="L4" i="14"/>
  <c r="L24" i="14" s="1"/>
  <c r="K4" i="14"/>
  <c r="K24" i="14" s="1"/>
  <c r="O17" i="14"/>
  <c r="O16" i="14"/>
  <c r="O14" i="14"/>
  <c r="O13" i="14"/>
  <c r="N17" i="14"/>
  <c r="N16" i="14"/>
  <c r="N13" i="14"/>
  <c r="N5" i="14"/>
  <c r="M17" i="14"/>
  <c r="M16" i="14"/>
  <c r="M13" i="14"/>
  <c r="M5" i="14"/>
  <c r="L17" i="14"/>
  <c r="L16" i="14"/>
  <c r="L14" i="14"/>
  <c r="L13" i="14"/>
  <c r="L5" i="14"/>
  <c r="K14" i="14"/>
  <c r="K17" i="14"/>
  <c r="K16" i="14"/>
  <c r="K13" i="14"/>
  <c r="K5" i="14"/>
  <c r="J17" i="14"/>
  <c r="J16" i="14"/>
  <c r="J13" i="14"/>
  <c r="J5" i="14"/>
  <c r="I19" i="14"/>
  <c r="H19" i="14"/>
  <c r="H5" i="14"/>
  <c r="G19" i="14"/>
  <c r="F19" i="14"/>
  <c r="F5" i="14"/>
  <c r="E19" i="14"/>
  <c r="E5" i="14"/>
  <c r="G109" i="2"/>
  <c r="G69" i="2"/>
  <c r="G70" i="2"/>
  <c r="C35" i="2" s="1"/>
  <c r="C14" i="14" s="1"/>
  <c r="G73" i="2"/>
  <c r="G72" i="2"/>
  <c r="G86" i="2"/>
  <c r="G46" i="2"/>
  <c r="H46" i="2" s="1"/>
  <c r="C26" i="14" s="1"/>
  <c r="F16" i="2"/>
  <c r="F15" i="2"/>
  <c r="G118" i="2" l="1"/>
  <c r="D40" i="2" s="1"/>
  <c r="D19" i="14" s="1"/>
  <c r="F24" i="14"/>
  <c r="A35" i="14" s="1"/>
  <c r="H44" i="2"/>
  <c r="C26" i="2"/>
  <c r="C5" i="14" s="1"/>
  <c r="F17" i="2"/>
  <c r="J9" i="14"/>
  <c r="O9" i="14"/>
  <c r="K9" i="14"/>
  <c r="M9" i="14"/>
  <c r="J6" i="14"/>
  <c r="O6" i="14"/>
  <c r="I9" i="14"/>
  <c r="F9" i="14"/>
  <c r="F25" i="14"/>
  <c r="L9" i="14"/>
  <c r="H9" i="14"/>
  <c r="F6" i="14"/>
  <c r="N15" i="14"/>
  <c r="L6" i="14"/>
  <c r="I7" i="14"/>
  <c r="N9" i="14"/>
  <c r="M25" i="14"/>
  <c r="D32" i="2"/>
  <c r="D11" i="14" s="1"/>
  <c r="L15" i="14"/>
  <c r="H25" i="14"/>
  <c r="K6" i="14"/>
  <c r="I6" i="14"/>
  <c r="G94" i="2"/>
  <c r="O7" i="14"/>
  <c r="G7" i="14"/>
  <c r="K10" i="14"/>
  <c r="L10" i="14"/>
  <c r="L12" i="14"/>
  <c r="E10" i="14"/>
  <c r="G6" i="14"/>
  <c r="F12" i="14"/>
  <c r="H12" i="14"/>
  <c r="K12" i="14"/>
  <c r="G78" i="2"/>
  <c r="C40" i="2" s="1"/>
  <c r="C19" i="14" s="1"/>
  <c r="M12" i="14"/>
  <c r="E12" i="14"/>
  <c r="O10" i="14"/>
  <c r="G12" i="14"/>
  <c r="H10" i="14"/>
  <c r="G10" i="14"/>
  <c r="C28" i="2"/>
  <c r="C7" i="14" s="1"/>
  <c r="C29" i="2"/>
  <c r="C8" i="14" s="1"/>
  <c r="D26" i="2"/>
  <c r="D5" i="14" s="1"/>
  <c r="C37" i="2"/>
  <c r="C16" i="14" s="1"/>
  <c r="D37" i="2"/>
  <c r="D16" i="14" s="1"/>
  <c r="J15" i="14"/>
  <c r="N10" i="14"/>
  <c r="O15" i="14"/>
  <c r="G114" i="2"/>
  <c r="D39" i="2" s="1"/>
  <c r="D18" i="14" s="1"/>
  <c r="L18" i="14"/>
  <c r="C32" i="2"/>
  <c r="C11" i="14" s="1"/>
  <c r="J18" i="14"/>
  <c r="K15" i="14"/>
  <c r="J12" i="14"/>
  <c r="O18" i="14"/>
  <c r="G54" i="2"/>
  <c r="G85" i="2"/>
  <c r="M6" i="14"/>
  <c r="G74" i="2"/>
  <c r="C39" i="2" s="1"/>
  <c r="C18" i="14" s="1"/>
  <c r="D38" i="2"/>
  <c r="D17" i="14" s="1"/>
  <c r="F8" i="14"/>
  <c r="M14" i="14"/>
  <c r="I5" i="14"/>
  <c r="M8" i="14"/>
  <c r="O12" i="14"/>
  <c r="D28" i="2"/>
  <c r="D7" i="14" s="1"/>
  <c r="I46" i="2"/>
  <c r="H29" i="2"/>
  <c r="G9" i="14"/>
  <c r="I8" i="14"/>
  <c r="O5" i="14"/>
  <c r="C34" i="2"/>
  <c r="C13" i="14" s="1"/>
  <c r="G5" i="14"/>
  <c r="H86" i="2"/>
  <c r="M10" i="14"/>
  <c r="N6" i="14"/>
  <c r="C38" i="2"/>
  <c r="C17" i="14" s="1"/>
  <c r="J10" i="14"/>
  <c r="D34" i="2"/>
  <c r="D13" i="14" s="1"/>
  <c r="D35" i="2"/>
  <c r="D14" i="14" s="1"/>
  <c r="I35" i="2"/>
  <c r="I10" i="14"/>
  <c r="J14" i="14"/>
  <c r="N14" i="14"/>
  <c r="F10" i="14"/>
  <c r="E6" i="14"/>
  <c r="H6" i="14"/>
  <c r="I12" i="14"/>
  <c r="H70" i="2"/>
  <c r="L8" i="14"/>
  <c r="G8" i="14"/>
  <c r="G105" i="2"/>
  <c r="O8" i="14"/>
  <c r="G65" i="2"/>
  <c r="M15" i="14"/>
  <c r="N12" i="14"/>
  <c r="H35" i="2" l="1"/>
  <c r="J35" i="2" s="1"/>
  <c r="C28" i="14"/>
  <c r="H48" i="2"/>
  <c r="C27" i="14" s="1"/>
  <c r="D31" i="2"/>
  <c r="D10" i="14" s="1"/>
  <c r="H88" i="2"/>
  <c r="J25" i="14"/>
  <c r="J26" i="14"/>
  <c r="K25" i="14"/>
  <c r="O28" i="14"/>
  <c r="H7" i="14"/>
  <c r="N18" i="14"/>
  <c r="I26" i="14"/>
  <c r="G26" i="14"/>
  <c r="J28" i="14"/>
  <c r="J7" i="14"/>
  <c r="L7" i="14"/>
  <c r="E25" i="14"/>
  <c r="O29" i="14"/>
  <c r="D30" i="2"/>
  <c r="D9" i="14" s="1"/>
  <c r="M18" i="14"/>
  <c r="H74" i="2"/>
  <c r="H38" i="2" s="1"/>
  <c r="E7" i="14"/>
  <c r="C30" i="2"/>
  <c r="C9" i="14" s="1"/>
  <c r="N29" i="14"/>
  <c r="H114" i="2"/>
  <c r="I38" i="2" s="1"/>
  <c r="E27" i="14"/>
  <c r="K7" i="14"/>
  <c r="L29" i="14"/>
  <c r="M7" i="14"/>
  <c r="H84" i="2"/>
  <c r="I26" i="2" s="1"/>
  <c r="C31" i="2"/>
  <c r="C10" i="14" s="1"/>
  <c r="K29" i="14"/>
  <c r="D27" i="2"/>
  <c r="D6" i="14" s="1"/>
  <c r="K18" i="14"/>
  <c r="I110" i="2"/>
  <c r="D28" i="14"/>
  <c r="N7" i="14"/>
  <c r="M29" i="14"/>
  <c r="C27" i="2"/>
  <c r="C6" i="14" s="1"/>
  <c r="L25" i="14"/>
  <c r="E26" i="14"/>
  <c r="G25" i="14"/>
  <c r="N25" i="14"/>
  <c r="L26" i="14"/>
  <c r="D33" i="2"/>
  <c r="D12" i="14" s="1"/>
  <c r="H26" i="14"/>
  <c r="I25" i="14"/>
  <c r="I86" i="2"/>
  <c r="I29" i="2"/>
  <c r="J29" i="2" s="1"/>
  <c r="D26" i="14"/>
  <c r="I70" i="2"/>
  <c r="O25" i="14"/>
  <c r="C33" i="2"/>
  <c r="C12" i="14" s="1"/>
  <c r="F7" i="14"/>
  <c r="C29" i="14" l="1"/>
  <c r="O26" i="14"/>
  <c r="E30" i="14"/>
  <c r="E31" i="14" s="1"/>
  <c r="N28" i="14"/>
  <c r="I84" i="2"/>
  <c r="L28" i="14"/>
  <c r="I114" i="2"/>
  <c r="I74" i="2"/>
  <c r="K27" i="14"/>
  <c r="M27" i="14"/>
  <c r="H32" i="2"/>
  <c r="L27" i="14"/>
  <c r="I48" i="2"/>
  <c r="D25" i="14"/>
  <c r="D29" i="14"/>
  <c r="H27" i="14"/>
  <c r="H30" i="14" s="1"/>
  <c r="H31" i="14" s="1"/>
  <c r="J29" i="14"/>
  <c r="J84" i="2"/>
  <c r="K84" i="2" s="1"/>
  <c r="O27" i="14"/>
  <c r="K28" i="14"/>
  <c r="D22" i="2"/>
  <c r="M26" i="14"/>
  <c r="J38" i="2"/>
  <c r="K26" i="14"/>
  <c r="C25" i="14"/>
  <c r="I44" i="2"/>
  <c r="J44" i="2"/>
  <c r="H26" i="2"/>
  <c r="J26" i="2" s="1"/>
  <c r="G27" i="14"/>
  <c r="G30" i="14" s="1"/>
  <c r="G31" i="14" s="1"/>
  <c r="J27" i="14"/>
  <c r="M28" i="14"/>
  <c r="I32" i="2"/>
  <c r="I88" i="2"/>
  <c r="D27" i="14"/>
  <c r="F26" i="14"/>
  <c r="I27" i="14"/>
  <c r="I30" i="14" s="1"/>
  <c r="I31" i="14" s="1"/>
  <c r="N27" i="14"/>
  <c r="F27" i="14"/>
  <c r="N26" i="14"/>
  <c r="M30" i="14" l="1"/>
  <c r="M31" i="14" s="1"/>
  <c r="L30" i="14"/>
  <c r="L31" i="14" s="1"/>
  <c r="N30" i="14"/>
  <c r="N31" i="14" s="1"/>
  <c r="K30" i="14"/>
  <c r="K31" i="14" s="1"/>
  <c r="O30" i="14"/>
  <c r="O31" i="14" s="1"/>
  <c r="J30" i="14"/>
  <c r="J31" i="14" s="1"/>
  <c r="J32" i="2"/>
  <c r="F30" i="14"/>
  <c r="F31" i="14" s="1"/>
  <c r="C30" i="14"/>
  <c r="C31" i="14" s="1"/>
  <c r="D30" i="14"/>
  <c r="D31" i="14" s="1"/>
  <c r="F13" i="2"/>
  <c r="F19" i="2" s="1"/>
  <c r="K44" i="2"/>
  <c r="F12" i="2"/>
  <c r="F18" i="2" s="1"/>
  <c r="F14" i="2" l="1"/>
  <c r="D38" i="34" s="1"/>
  <c r="D43" i="34" s="1"/>
  <c r="F20" i="2"/>
  <c r="H12" i="2" l="1"/>
  <c r="F38" i="34"/>
  <c r="F43" i="34" s="1"/>
</calcChain>
</file>

<file path=xl/comments1.xml><?xml version="1.0" encoding="utf-8"?>
<comments xmlns="http://schemas.openxmlformats.org/spreadsheetml/2006/main">
  <authors>
    <author>Will Harman</author>
  </authors>
  <commentList>
    <comment ref="B4" authorId="0">
      <text>
        <r>
          <rPr>
            <sz val="9"/>
            <color indexed="81"/>
            <rFont val="Tahoma"/>
            <family val="2"/>
          </rPr>
          <t xml:space="preserve">Type entry into gray cells.
</t>
        </r>
      </text>
    </comment>
  </commentList>
</comments>
</file>

<file path=xl/comments2.xml><?xml version="1.0" encoding="utf-8"?>
<comments xmlns="http://schemas.openxmlformats.org/spreadsheetml/2006/main">
  <authors>
    <author>Will Harman</author>
  </authors>
  <commentList>
    <comment ref="B4" authorId="0">
      <text>
        <r>
          <rPr>
            <sz val="9"/>
            <color indexed="81"/>
            <rFont val="Tahoma"/>
            <family val="2"/>
          </rPr>
          <t xml:space="preserve">Type entry into gray cells.
</t>
        </r>
      </text>
    </comment>
  </commentList>
</comments>
</file>

<file path=xl/comments3.xml><?xml version="1.0" encoding="utf-8"?>
<comments xmlns="http://schemas.openxmlformats.org/spreadsheetml/2006/main">
  <authors>
    <author>Will Harman</author>
  </authors>
  <commentList>
    <comment ref="B4" authorId="0">
      <text>
        <r>
          <rPr>
            <sz val="9"/>
            <color indexed="81"/>
            <rFont val="Tahoma"/>
            <family val="2"/>
          </rPr>
          <t xml:space="preserve">Type entry into gray cells.
</t>
        </r>
      </text>
    </comment>
  </commentList>
</comments>
</file>

<file path=xl/comments4.xml><?xml version="1.0" encoding="utf-8"?>
<comments xmlns="http://schemas.openxmlformats.org/spreadsheetml/2006/main">
  <authors>
    <author>Will Harman</author>
  </authors>
  <commentList>
    <comment ref="B4" authorId="0">
      <text>
        <r>
          <rPr>
            <sz val="9"/>
            <color indexed="81"/>
            <rFont val="Tahoma"/>
            <family val="2"/>
          </rPr>
          <t xml:space="preserve">Type entry into gray cells.
</t>
        </r>
      </text>
    </comment>
  </commentList>
</comments>
</file>

<file path=xl/comments5.xml><?xml version="1.0" encoding="utf-8"?>
<comments xmlns="http://schemas.openxmlformats.org/spreadsheetml/2006/main">
  <authors>
    <author>Will Harman</author>
  </authors>
  <commentList>
    <comment ref="B4" authorId="0">
      <text>
        <r>
          <rPr>
            <sz val="9"/>
            <color indexed="81"/>
            <rFont val="Tahoma"/>
            <family val="2"/>
          </rPr>
          <t xml:space="preserve">Type entry into gray cells.
</t>
        </r>
      </text>
    </comment>
  </commentList>
</comments>
</file>

<file path=xl/sharedStrings.xml><?xml version="1.0" encoding="utf-8"?>
<sst xmlns="http://schemas.openxmlformats.org/spreadsheetml/2006/main" count="5961" uniqueCount="513">
  <si>
    <t>Bank Height Ratio (BHR)</t>
  </si>
  <si>
    <t>Functional Category</t>
  </si>
  <si>
    <t>Function-Based Parameters</t>
  </si>
  <si>
    <t>Measurement Method</t>
  </si>
  <si>
    <t>Field</t>
  </si>
  <si>
    <t>Index</t>
  </si>
  <si>
    <t>Hydraulics</t>
  </si>
  <si>
    <t>Floodplain Connectivity</t>
  </si>
  <si>
    <t>Bank Height Ratio</t>
  </si>
  <si>
    <t>Entrenchment Ratio</t>
  </si>
  <si>
    <t>C</t>
  </si>
  <si>
    <t>E</t>
  </si>
  <si>
    <t>B</t>
  </si>
  <si>
    <t>Bc</t>
  </si>
  <si>
    <t>Entrenchment Ratio (ER) C and E Streams</t>
  </si>
  <si>
    <t>Field Value</t>
  </si>
  <si>
    <t>Index Value</t>
  </si>
  <si>
    <t>Drainage Area (sqmi):</t>
  </si>
  <si>
    <t>Roll Up Scoring</t>
  </si>
  <si>
    <t>Parameter</t>
  </si>
  <si>
    <t>Category</t>
  </si>
  <si>
    <t>Overall</t>
  </si>
  <si>
    <t>A</t>
  </si>
  <si>
    <t>Sand</t>
  </si>
  <si>
    <t>Gravel</t>
  </si>
  <si>
    <t>LWD Index</t>
  </si>
  <si>
    <t>Geomorphology</t>
  </si>
  <si>
    <t>Large Woody Debris</t>
  </si>
  <si>
    <t>L/VL</t>
  </si>
  <si>
    <t>L/L</t>
  </si>
  <si>
    <t>L/M</t>
  </si>
  <si>
    <t>L/H</t>
  </si>
  <si>
    <t>L/VH</t>
  </si>
  <si>
    <t>M/VL</t>
  </si>
  <si>
    <t>M/L</t>
  </si>
  <si>
    <t>M/M</t>
  </si>
  <si>
    <t>M/H</t>
  </si>
  <si>
    <t>L/Ex</t>
  </si>
  <si>
    <t>H/L</t>
  </si>
  <si>
    <t>H/M</t>
  </si>
  <si>
    <t>H/H</t>
  </si>
  <si>
    <t>VH/VL</t>
  </si>
  <si>
    <t>Ex/VL</t>
  </si>
  <si>
    <t>H/Ex</t>
  </si>
  <si>
    <t>Ex/M</t>
  </si>
  <si>
    <t>Ex/H</t>
  </si>
  <si>
    <t>Ex/VH</t>
  </si>
  <si>
    <t>VH/VH</t>
  </si>
  <si>
    <t>Ex/Ex</t>
  </si>
  <si>
    <t>Dominant BEHI/NBS</t>
  </si>
  <si>
    <t>Riparian Vegetation</t>
  </si>
  <si>
    <t>Bed Form Diversity</t>
  </si>
  <si>
    <t>Pool Spacing Ratio</t>
  </si>
  <si>
    <t>Pool Depth Ratio</t>
  </si>
  <si>
    <t>Sinuosity</t>
  </si>
  <si>
    <t>Plan Form</t>
  </si>
  <si>
    <t>EXISTING CONDITION ASSESSMENT</t>
  </si>
  <si>
    <t>PROPOSED CONDITION ASSESSMENT</t>
  </si>
  <si>
    <t>Physicochemical</t>
  </si>
  <si>
    <t>Biology</t>
  </si>
  <si>
    <t>Hydrology</t>
  </si>
  <si>
    <t>Yes</t>
  </si>
  <si>
    <t>No</t>
  </si>
  <si>
    <t>FUNCTIONAL LIFT SUMMARY</t>
  </si>
  <si>
    <t>Notes</t>
  </si>
  <si>
    <t>1. Users input values that are highlighted based on restoration potential</t>
  </si>
  <si>
    <t>Existing Parameter</t>
  </si>
  <si>
    <t>Proposed Parameter</t>
  </si>
  <si>
    <t>Categories</t>
  </si>
  <si>
    <t>Mitigation</t>
  </si>
  <si>
    <t>TMDL</t>
  </si>
  <si>
    <t>Grant</t>
  </si>
  <si>
    <t>Other</t>
  </si>
  <si>
    <t>Programmatic Goals</t>
  </si>
  <si>
    <t>Fish</t>
  </si>
  <si>
    <t>HYDRAULICS</t>
  </si>
  <si>
    <t>HYDROLOGY</t>
  </si>
  <si>
    <t>GEOMORPHOLOGY</t>
  </si>
  <si>
    <t>PHYSICOCHEMICAL</t>
  </si>
  <si>
    <t>BIOLOGY</t>
  </si>
  <si>
    <t>Erosion Rate (ft/yr)</t>
  </si>
  <si>
    <t>Nitrogen</t>
  </si>
  <si>
    <t>Phosphorus</t>
  </si>
  <si>
    <t>F</t>
  </si>
  <si>
    <t>G</t>
  </si>
  <si>
    <t>Proposed Bed Material:</t>
  </si>
  <si>
    <t>Catchment Hydrology</t>
  </si>
  <si>
    <t>Percent Streambank Erosion (%)</t>
  </si>
  <si>
    <t>Bacteria</t>
  </si>
  <si>
    <t>Gc</t>
  </si>
  <si>
    <t>Entrenchment Ratio (ER) A, B and Bc Streams</t>
  </si>
  <si>
    <t>M/Ex</t>
  </si>
  <si>
    <t>M/VH</t>
  </si>
  <si>
    <t>H/VL</t>
  </si>
  <si>
    <t>H/VH</t>
  </si>
  <si>
    <t>VH/L</t>
  </si>
  <si>
    <t>VH/M</t>
  </si>
  <si>
    <t>VH/H</t>
  </si>
  <si>
    <t>VH/Ex</t>
  </si>
  <si>
    <t>Ex/L</t>
  </si>
  <si>
    <t>Reach ID:</t>
  </si>
  <si>
    <t>Existing Stream Type:</t>
  </si>
  <si>
    <t>FUNCTIONAL CATEGORY REPORT CARD</t>
  </si>
  <si>
    <t xml:space="preserve">Functional Category  </t>
  </si>
  <si>
    <t>ECS</t>
  </si>
  <si>
    <t>PCS</t>
  </si>
  <si>
    <t>Functional Lift</t>
  </si>
  <si>
    <t>Bed Material</t>
  </si>
  <si>
    <t>Bed Material Characterization</t>
  </si>
  <si>
    <t>Project Name:</t>
  </si>
  <si>
    <t>a</t>
  </si>
  <si>
    <t>b</t>
  </si>
  <si>
    <t>NF</t>
  </si>
  <si>
    <t>c</t>
  </si>
  <si>
    <t>d</t>
  </si>
  <si>
    <t>NF &amp; FAR</t>
  </si>
  <si>
    <t>Exisiting Condition Score (ECS)</t>
  </si>
  <si>
    <t>Proposed Condition Score (PCS)</t>
  </si>
  <si>
    <t>FUNCTION BASED PARAMETERS SUMMARY</t>
  </si>
  <si>
    <t>Data Collection Season:</t>
  </si>
  <si>
    <t>Poor</t>
  </si>
  <si>
    <t>Fair</t>
  </si>
  <si>
    <t>Good</t>
  </si>
  <si>
    <t>Rating (P/F/G)</t>
  </si>
  <si>
    <t>FAR&amp; NF</t>
  </si>
  <si>
    <t xml:space="preserve">This sheet provides the formulas used to calculate index values from the field values entered on the Quantification Tool worksheet.  Formulas are fit to known delineations between Functioning, Functioning-At-Risk and Not Functioning. </t>
  </si>
  <si>
    <t>Formulas are of the form: Y = aX + b, OR Y = aX^2 + bX + c, OR Y = aX^3 + bX^2 + cX + d where Y is the index value and X is the field value.</t>
  </si>
  <si>
    <t xml:space="preserve">This sheet is locked to prevent editing. If you have suggested changes based on watershed-specific data, please contact your local permitting agency or client. </t>
  </si>
  <si>
    <t>Reach Runoff</t>
  </si>
  <si>
    <t xml:space="preserve">Less than 10% </t>
  </si>
  <si>
    <t>Size Class Pebble Count Analyzer (p-value)</t>
  </si>
  <si>
    <t xml:space="preserve">As-Built </t>
  </si>
  <si>
    <t>As-Built</t>
  </si>
  <si>
    <t>Overall Score</t>
  </si>
  <si>
    <t>Functional Feet</t>
  </si>
  <si>
    <t>Monitoring Year</t>
  </si>
  <si>
    <t>Last Monitoring Year</t>
  </si>
  <si>
    <t>3. Leave values blank for field values that were not measured</t>
  </si>
  <si>
    <t>2. Users select values from a pull-down menu</t>
  </si>
  <si>
    <t>Existing and Proposed Stream Types</t>
  </si>
  <si>
    <t>Proposed Bed Material</t>
  </si>
  <si>
    <t>BEHI/NBS Scores</t>
  </si>
  <si>
    <t>Bioregion</t>
  </si>
  <si>
    <t>Yes/No</t>
  </si>
  <si>
    <t>Overall Watershed Condition</t>
  </si>
  <si>
    <t>Data Collection Season</t>
  </si>
  <si>
    <t>65abei</t>
  </si>
  <si>
    <t>65j</t>
  </si>
  <si>
    <t>68a</t>
  </si>
  <si>
    <t>68b</t>
  </si>
  <si>
    <t>69de</t>
  </si>
  <si>
    <t>71e</t>
  </si>
  <si>
    <t>71i</t>
  </si>
  <si>
    <t>73ab</t>
  </si>
  <si>
    <t>74a</t>
  </si>
  <si>
    <t>74b</t>
  </si>
  <si>
    <t>January - June</t>
  </si>
  <si>
    <t>July - December</t>
  </si>
  <si>
    <t xml:space="preserve">TMI </t>
  </si>
  <si>
    <t>Bioregion 73a or 73b</t>
  </si>
  <si>
    <t>All other Bioregions</t>
  </si>
  <si>
    <t>Stormwater Infiltration</t>
  </si>
  <si>
    <t>65abei, 65j, 66deik, 66fgj, 68a, 69de, 74b
67fghi, DA &lt;= 2 sq.mi.
68cd, Jan - June</t>
  </si>
  <si>
    <t>67fghi, DA &gt; 2 sq.mi.
68cd, July - Dec
71fgh, DA &gt; 2 sq.mi.
73ab</t>
  </si>
  <si>
    <t>68b, DA &gt; 2sq.mi.
71e
71i, DA &gt; 2sq.mi.</t>
  </si>
  <si>
    <t>71fgh, DA &lt;= 2 sq.mi.
71i, DA &lt;= 2sq.mi.
74a, DA &gt; 2 sq.mi.</t>
  </si>
  <si>
    <t>Coefficients - Y = a * X^2 + b * X + C</t>
  </si>
  <si>
    <t>Bioregion 73a or 73b - TMI &lt; 22</t>
  </si>
  <si>
    <t>Bioregion 73a or 73b - TMI &gt;= 22</t>
  </si>
  <si>
    <t>All other Bioregions - TMI &lt; 32</t>
  </si>
  <si>
    <t>All other Bioregions - TMI &gt;= 32</t>
  </si>
  <si>
    <t>Coefficients - Y = a * X + b</t>
  </si>
  <si>
    <t>Percent Clingers - Plot 1</t>
  </si>
  <si>
    <t>74b, DA &lt;= 2 sq.mi.</t>
  </si>
  <si>
    <t>65abei, DA &lt;= 2 sq.mi.</t>
  </si>
  <si>
    <t>74a, Jan-June, DA &gt; 2 sq.mi.
71i, DA &gt; 2 sq.mi., SQBANK</t>
  </si>
  <si>
    <t>65abei and 74b, DA&gt; 2 sq.mi.</t>
  </si>
  <si>
    <t>68b, DA &gt; 2 sq.mi.</t>
  </si>
  <si>
    <t>Coefficients - Y = a * X^2 + b * X + c</t>
  </si>
  <si>
    <t>Percent Clingers - Plot 2</t>
  </si>
  <si>
    <t>71i, DA &lt;= 2 sq.mi.
68cd, Jan - June</t>
  </si>
  <si>
    <t>68cd, July - Dec
68a, Jan - June</t>
  </si>
  <si>
    <t>71i, DA &gt; 2 sq.mi., SQKICK
67fghi, DA &lt;= 2 sq.mi.
65j</t>
  </si>
  <si>
    <t>67fghi, DA &gt; 2sq.mi.
69de
74a, July-Dec, DA &gt; 2 sq.mi.</t>
  </si>
  <si>
    <t>66deik, 71e, 71fgh</t>
  </si>
  <si>
    <t>66fgj
68a, July - Dec</t>
  </si>
  <si>
    <t>Macro Collection Method:</t>
  </si>
  <si>
    <t>Macro Collection Method</t>
  </si>
  <si>
    <t>SQKICK</t>
  </si>
  <si>
    <t>SQBANK</t>
  </si>
  <si>
    <t>Percent EPT-Cheum - Plot 1</t>
  </si>
  <si>
    <t>74a, Jan-June, DA &gt; 2 sq.mi.</t>
  </si>
  <si>
    <t>71i, DA &gt; 2 sq.mi., SQBANK</t>
  </si>
  <si>
    <t>65abei and 74b, DA&gt; 2 sq.mi.
71i, DA &gt; 2 sq.mi., SQKICK</t>
  </si>
  <si>
    <t>65abei, DA &lt;= 2 sq.mi.
68cd, July - Dec
71e</t>
  </si>
  <si>
    <t>65j, 67fghi
71i, DA &lt;= 2 sq.mi.
74a, July-Dec, DA &gt; 2 sq.mi.</t>
  </si>
  <si>
    <t>68a
68b, DA &gt; 2 sq.mi.
71fgh, DA &gt; 2 sq.mi.</t>
  </si>
  <si>
    <t>66fgj
71fgh, DA &lt;= 2 sq.mi.</t>
  </si>
  <si>
    <t>66deik
68cd, Jan - June
69de, July - Dec</t>
  </si>
  <si>
    <t>69de, Jan - June</t>
  </si>
  <si>
    <t>Percent EPT-Cheum - Plot 2</t>
  </si>
  <si>
    <t>67fghi, 71e, 73ab
71fgh, DA &gt; 2 sq.mi.</t>
  </si>
  <si>
    <t>66deik, 66fgj, 68a, 68cd
69de, July - Dec
71i, DA &lt;= 2 sq.mi.
71i, DA &gt; 2sq.mi., SQBANK
74a, July - Dec, DA &gt; 2 sq.mi.</t>
  </si>
  <si>
    <t>69de, Jan - June
71i, DA &gt; 2 sq.mi., SQKICK</t>
  </si>
  <si>
    <t>65j
68b, DA &gt; 2 sq.mi.</t>
  </si>
  <si>
    <t>Percent OC - Plot 1</t>
  </si>
  <si>
    <t>Percent OC - Plot 2</t>
  </si>
  <si>
    <t>65abei, DA &lt;= 2 sq.mi.
71fgh, DA &lt;= 2 sq.mi.</t>
  </si>
  <si>
    <t>FAR</t>
  </si>
  <si>
    <t>Proposed Stream Slope (%):</t>
  </si>
  <si>
    <t>Aggradation Ratio</t>
  </si>
  <si>
    <t>Native Fish Score Index</t>
  </si>
  <si>
    <t>E. Coli (cfu/100mL)</t>
  </si>
  <si>
    <t>Total Phosphorous</t>
  </si>
  <si>
    <t xml:space="preserve">66deg &gt; 2.5 </t>
  </si>
  <si>
    <t xml:space="preserve">68b &gt; 2.5 </t>
  </si>
  <si>
    <t xml:space="preserve">68ac &gt; 2.5 </t>
  </si>
  <si>
    <t xml:space="preserve">71fg &gt; 2.5 </t>
  </si>
  <si>
    <t xml:space="preserve">67fhi &gt; 2.5 </t>
  </si>
  <si>
    <t xml:space="preserve">65j &gt; 2.5 </t>
  </si>
  <si>
    <t xml:space="preserve">69de &gt; 2.5 </t>
  </si>
  <si>
    <t xml:space="preserve">71e &gt; 2.5 </t>
  </si>
  <si>
    <t xml:space="preserve">66f &gt; 2.5 </t>
  </si>
  <si>
    <t xml:space="preserve">67g &gt; 2.5 </t>
  </si>
  <si>
    <t xml:space="preserve">74b &gt; 2.5 </t>
  </si>
  <si>
    <t>Functioning 67g &amp; 74b</t>
  </si>
  <si>
    <t xml:space="preserve">71hi &gt; 2.5 </t>
  </si>
  <si>
    <t xml:space="preserve">73a &gt; 2.5 </t>
  </si>
  <si>
    <t xml:space="preserve">74a &gt; 2.5 </t>
  </si>
  <si>
    <t>Functioning</t>
  </si>
  <si>
    <t>66ik</t>
  </si>
  <si>
    <t>66g</t>
  </si>
  <si>
    <t>66j</t>
  </si>
  <si>
    <t>66f</t>
  </si>
  <si>
    <t>67g</t>
  </si>
  <si>
    <t>67fhi</t>
  </si>
  <si>
    <t>68d</t>
  </si>
  <si>
    <t>68c</t>
  </si>
  <si>
    <t>71h</t>
  </si>
  <si>
    <t>73b</t>
  </si>
  <si>
    <t>73a</t>
  </si>
  <si>
    <t xml:space="preserve">71fg &gt; 2.5, NF </t>
  </si>
  <si>
    <t xml:space="preserve">71fg &gt; 2.5, FAR </t>
  </si>
  <si>
    <t>66deg / DA &lt;= 2.5</t>
  </si>
  <si>
    <t>67fhi / DA &lt;= 2.5</t>
  </si>
  <si>
    <t xml:space="preserve">65abei &gt; 2.5 </t>
  </si>
  <si>
    <t>69de / DA &lt;= 2.5</t>
  </si>
  <si>
    <t>68ac / DA &lt;= 2.5</t>
  </si>
  <si>
    <t>71fg / DA &lt;= 2.5</t>
  </si>
  <si>
    <t>65abei / DA &lt;= 2.5</t>
  </si>
  <si>
    <t>68b / DA &lt;= 2.5</t>
  </si>
  <si>
    <t xml:space="preserve">69de, 68ac, 71fg </t>
  </si>
  <si>
    <t>71e / DA &lt;= 2.5</t>
  </si>
  <si>
    <t>67g / DA &lt;= 2.5</t>
  </si>
  <si>
    <t>65j / DA &lt;= 2.5</t>
  </si>
  <si>
    <t>66f / DA &lt;= 2.5</t>
  </si>
  <si>
    <t>71hi / DA &lt;= 2.5</t>
  </si>
  <si>
    <t>74b / DA &lt;= 2.5</t>
  </si>
  <si>
    <t>74a / DA &lt;= 2.5</t>
  </si>
  <si>
    <t>73a / DA &lt;= 2.5</t>
  </si>
  <si>
    <t xml:space="preserve">69de / DA &lt;=2.5 </t>
  </si>
  <si>
    <t xml:space="preserve">65abei / DA &lt;=2.5 </t>
  </si>
  <si>
    <t xml:space="preserve">65j / DA &lt;=2.5 </t>
  </si>
  <si>
    <t xml:space="preserve">68c / DA &lt;=2.5 </t>
  </si>
  <si>
    <t xml:space="preserve">68a / DA &lt;=2.5 </t>
  </si>
  <si>
    <t>Nitrate-Nitrite</t>
  </si>
  <si>
    <t xml:space="preserve">71f / DA &lt;=2.5 </t>
  </si>
  <si>
    <t xml:space="preserve">74a / DA &lt;=2.5 </t>
  </si>
  <si>
    <t xml:space="preserve">74a / DA &gt; 2.5 </t>
  </si>
  <si>
    <t xml:space="preserve">67fghi / DA &lt;=2.5 </t>
  </si>
  <si>
    <t xml:space="preserve">73a / DA &lt;=2.5 </t>
  </si>
  <si>
    <t xml:space="preserve">66d / DA &lt;=2.5 </t>
  </si>
  <si>
    <t xml:space="preserve">71ghi / DA &lt;=2.5 </t>
  </si>
  <si>
    <t xml:space="preserve">74b / DA &lt;=2.5 </t>
  </si>
  <si>
    <t xml:space="preserve">71e / DA &lt;=2.5 </t>
  </si>
  <si>
    <t>% Nutrient Tolerant Macros</t>
  </si>
  <si>
    <t>71f</t>
  </si>
  <si>
    <t>71g</t>
  </si>
  <si>
    <t>66d</t>
  </si>
  <si>
    <t>66e</t>
  </si>
  <si>
    <t>Total Phosphorus (mg/L)</t>
  </si>
  <si>
    <t>Nitrate-Nitrite (mg/L)</t>
  </si>
  <si>
    <t xml:space="preserve">73a / DA &gt; 2.5 </t>
  </si>
  <si>
    <t xml:space="preserve">68a / DA &gt; 2.5 </t>
  </si>
  <si>
    <t xml:space="preserve">69de / DA &gt; 2.5 </t>
  </si>
  <si>
    <t xml:space="preserve">71f / DA &gt; 2.5 </t>
  </si>
  <si>
    <t xml:space="preserve">65abei / DA &gt; 2.5 </t>
  </si>
  <si>
    <t xml:space="preserve">65j / DA &gt; 2.5 </t>
  </si>
  <si>
    <t xml:space="preserve">68c / DA &gt; 2.5 </t>
  </si>
  <si>
    <t xml:space="preserve">67fghi / DA &gt; 2.5 </t>
  </si>
  <si>
    <t xml:space="preserve">74b / DA &gt; 2.5 </t>
  </si>
  <si>
    <t xml:space="preserve">66d / DA &gt; 2.5 </t>
  </si>
  <si>
    <t xml:space="preserve">71ghi / DA &gt; 2.5 </t>
  </si>
  <si>
    <t xml:space="preserve">71e / DA &gt; 2.5 </t>
  </si>
  <si>
    <t xml:space="preserve">66efg </t>
  </si>
  <si>
    <t xml:space="preserve">68b </t>
  </si>
  <si>
    <t>66efg</t>
  </si>
  <si>
    <t>Rising Limb</t>
  </si>
  <si>
    <t>Falling Limb</t>
  </si>
  <si>
    <t>Watershed Assessment Form</t>
  </si>
  <si>
    <t>WATERSHED ASSESSMENT</t>
  </si>
  <si>
    <t>Description of Watershed Condition</t>
  </si>
  <si>
    <t>Impervious cover in Watershed (Hydrology)</t>
  </si>
  <si>
    <t xml:space="preserve">Greater than 20% </t>
  </si>
  <si>
    <t>Between 10% and 20%</t>
  </si>
  <si>
    <t xml:space="preserve"> Percent Land Use Change in Watershed  (Hydrology)</t>
  </si>
  <si>
    <t>Road Density in Watershed (Hydrology)</t>
  </si>
  <si>
    <t>Catchment Forested Riparian Corridor (Geomorphology)</t>
  </si>
  <si>
    <t>&lt; 30% of bottom substrate affected by recent deposition; small amount of deposition on bars and benches, little to no deposition in pools</t>
  </si>
  <si>
    <t>&gt; 30% of stream miles in catchment on 303(d) list</t>
  </si>
  <si>
    <t>There is little to no agricultural land uses or livestock and cropland within catchment causes no impact to water quality or biology.</t>
  </si>
  <si>
    <t>Process Wastewater Outfalls in Watershed (Physicochemical)</t>
  </si>
  <si>
    <t xml:space="preserve">Aggradation Ratio </t>
  </si>
  <si>
    <t>Sinuosity for Unconfined Alluvial Valleys</t>
  </si>
  <si>
    <t>Sinuosity for Confined Alluvial Valleys</t>
  </si>
  <si>
    <t>Sinuosity for Colluvial Valleys</t>
  </si>
  <si>
    <t>Valley Type:</t>
  </si>
  <si>
    <t>Valley Type</t>
  </si>
  <si>
    <t>Unconfined Alluvial</t>
  </si>
  <si>
    <t>Confined Alluvial</t>
  </si>
  <si>
    <t>Colluvial</t>
  </si>
  <si>
    <t>Coefficients - Y = a * X^3 + b * X^2 + c * X + d</t>
  </si>
  <si>
    <t># LWD Pieces</t>
  </si>
  <si>
    <t># Pieces</t>
  </si>
  <si>
    <t>Date:</t>
  </si>
  <si>
    <t>Sinuosity for E5 Streams in Unconfined Alluvial Valleys</t>
  </si>
  <si>
    <t>Less than 20%</t>
  </si>
  <si>
    <t xml:space="preserve"> Greater than 70%</t>
  </si>
  <si>
    <t>Between 20% and 70%</t>
  </si>
  <si>
    <t>Proposed Stream Type:</t>
  </si>
  <si>
    <t>Livestock access to stream and/or intensive cropland upstream of project reach. A sufficient reach of stream is between agricultural land use and project reach.</t>
  </si>
  <si>
    <t>Tennessee Macroinvertebrate Index</t>
  </si>
  <si>
    <t>Catch per Unit Effort Score</t>
  </si>
  <si>
    <t>Large Woody Debris Index</t>
  </si>
  <si>
    <t>Percent Riffle (%)</t>
  </si>
  <si>
    <t>Percent Clingers (%)</t>
  </si>
  <si>
    <t>Percent Oligochaeta and Chironomidae (%)</t>
  </si>
  <si>
    <t xml:space="preserve">Buffer Width </t>
  </si>
  <si>
    <t>E. Coli (Cfu/100 mL)</t>
  </si>
  <si>
    <t>Percent EPT - Cheumatopsyche (%)</t>
  </si>
  <si>
    <t>Macroinvertebrates</t>
  </si>
  <si>
    <t>Existing Stream Length (feet):</t>
  </si>
  <si>
    <t>Proposed Stream Length (feet):</t>
  </si>
  <si>
    <t>Existing Stream Length (feet)</t>
  </si>
  <si>
    <t>Proposed Stream Length (feet)</t>
  </si>
  <si>
    <t>Additional Stream Length (feet)</t>
  </si>
  <si>
    <t>Streams within the Catchment Area Currently Assessed as Impaired (Physicochemical)</t>
  </si>
  <si>
    <t>restoration project. All parameters would rarely, if ever, be used for a single project. The scenarios below show when each parameter could be</t>
  </si>
  <si>
    <t>The following table is provided to assist project owners, regulators and practitioners in selecting the appropriate parameters for each stream</t>
  </si>
  <si>
    <t>Bedform Diversity</t>
  </si>
  <si>
    <t>Pool-Pool Spacing Ratio</t>
  </si>
  <si>
    <t>E. Coli  (Cfu/100 ml)</t>
  </si>
  <si>
    <t>Scenarios</t>
  </si>
  <si>
    <t xml:space="preserve">Can be used instead of LWDI for rapid assessment methods. </t>
  </si>
  <si>
    <t>Percent Nutrient Tolerant Macroinvertebrates (%)</t>
  </si>
  <si>
    <t>Project easements that include large portions of the catchment upstream of restoration activities.</t>
  </si>
  <si>
    <t>Recommended to use both measurements with the parameter.</t>
  </si>
  <si>
    <t xml:space="preserve">Applicants may choose to attempt functional lift by reporting either the TMI or the other three biometrics. </t>
  </si>
  <si>
    <t>Tennessee Macroinvertebrate Index (TMI)</t>
  </si>
  <si>
    <t>Large Woody Debris Index (LWDI)</t>
  </si>
  <si>
    <t xml:space="preserve">No roads in or adjacent to the lateral drainage area, some roads in catchment.  No more than one major road proposed in 10 year DOT plans. Road Density between 1.5 and 2.5 miles of road length per square mile of watershed drainage area.    </t>
  </si>
  <si>
    <t xml:space="preserve">Roads located in or adjacent to lateral drainage area and/or throughout catchment and/or major roads proposed in 10 year DOT plans. 
Road Density &gt; 2.5 miles of road length per square mile of watershed drainage area. </t>
  </si>
  <si>
    <t>Organic Enrichment</t>
  </si>
  <si>
    <t>Ecoregion:</t>
  </si>
  <si>
    <t>Bedrock</t>
  </si>
  <si>
    <t>Boulders</t>
  </si>
  <si>
    <t>Cobble</t>
  </si>
  <si>
    <t>Silt/Clay</t>
  </si>
  <si>
    <t>Pool Spacing Ratio for Slope &lt;= 2%</t>
  </si>
  <si>
    <t>Pool Spacing Ratio for Slopes &gt; 2%</t>
  </si>
  <si>
    <t xml:space="preserve">Pool Depth Ratio </t>
  </si>
  <si>
    <t>Percent Riffle for Ecoregion 67</t>
  </si>
  <si>
    <t>Percent Riffle for Ecoregions 71, 68, &amp; 69</t>
  </si>
  <si>
    <t>Percent Riffle for Ecoregion 66</t>
  </si>
  <si>
    <t>Tree Density</t>
  </si>
  <si>
    <t>Average DBH</t>
  </si>
  <si>
    <t xml:space="preserve">Coefficients - Y = a * X + b </t>
  </si>
  <si>
    <t>Left - Average Diameter at Breast Height (DBH; in)</t>
  </si>
  <si>
    <t>Right - Average DBH (in)</t>
  </si>
  <si>
    <t>Left - Buffer Width (feet)</t>
  </si>
  <si>
    <t>Right - Buffer Width (feet)</t>
  </si>
  <si>
    <t>Left - Tree Density (#/acre)</t>
  </si>
  <si>
    <t>Right - Tree Density (#/acre)</t>
  </si>
  <si>
    <t>Left - Native Herbaceous Cover (%)</t>
  </si>
  <si>
    <t>Right - Native Herbaceous Cover (%)</t>
  </si>
  <si>
    <t>Left - Native Shrub Cover (%)</t>
  </si>
  <si>
    <t>Right - Native Shrub Cover (%)</t>
  </si>
  <si>
    <t>Percent Riffle for Ecoregions 73, 74 &amp; 65</t>
  </si>
  <si>
    <t>Watershed Land Use Runoff Score</t>
  </si>
  <si>
    <t xml:space="preserve">Overall Watershed Condition       </t>
  </si>
  <si>
    <t>4. These field values do not apply to ephemeral channels.</t>
  </si>
  <si>
    <t>Flow Type</t>
  </si>
  <si>
    <t>Perennial/Intermittent</t>
  </si>
  <si>
    <t>Ephemeral</t>
  </si>
  <si>
    <t>Percent Armoring (%)</t>
  </si>
  <si>
    <t>Lateral Migration</t>
  </si>
  <si>
    <t>Change in Functional Condition (PCS - ECS)</t>
  </si>
  <si>
    <t>Existing Stream Functional Feet (FF)</t>
  </si>
  <si>
    <t>Proposed Stream Functional Feet (FF)</t>
  </si>
  <si>
    <t>Functional Lift (Proposed FF - Existing FF)</t>
  </si>
  <si>
    <t>MITIGATION SUMMARY</t>
  </si>
  <si>
    <t>Credits</t>
  </si>
  <si>
    <t>Native Herbaceous Cover</t>
  </si>
  <si>
    <t>Proposed Flow Type:</t>
  </si>
  <si>
    <t>66 &amp; 74/65</t>
  </si>
  <si>
    <t>67, 68/69, &amp; 71</t>
  </si>
  <si>
    <t xml:space="preserve">Rapidly urbanizing/urban. Impervious cover in watershed increased by more than 5% in 5 years. </t>
  </si>
  <si>
    <t>Single family homes/suburban. Impervious cover in watershed increased by less than 5% but more than 2.5% in 5 years.</t>
  </si>
  <si>
    <t>Rural communities and/or slow growth area or primarily forested. Impervious cover in watershed increased by less than 2.5% in 5 years.</t>
  </si>
  <si>
    <t xml:space="preserve">No roads in watershed.  No proposed roads in 10 year DOT plans. Road Density &lt; 1.5 miles of road length per square mile of watershed drainage area. </t>
  </si>
  <si>
    <t>No impoundments on the main stem; small impoundments on tributaries that limits flow and may affect the main stem.</t>
  </si>
  <si>
    <t>Aquatic organism barriers (including impoundment(s)) located within 1 mile upstream or downstream of project area has a negative effect on aquatic organism passage.</t>
  </si>
  <si>
    <r>
      <t>No potential sources for organismal recruitment from upstream of project stream reach.</t>
    </r>
    <r>
      <rPr>
        <strike/>
        <sz val="11"/>
        <color theme="1"/>
        <rFont val="Calibri"/>
        <family val="2"/>
        <scheme val="minor"/>
      </rPr>
      <t/>
    </r>
  </si>
  <si>
    <t xml:space="preserve"> Potential sources for organismal recruitment  1km to 5km upstream of project stream reach. </t>
  </si>
  <si>
    <t xml:space="preserve"> Potential sources for organismal recruitment  within 1km upstream of project stream reach.  </t>
  </si>
  <si>
    <r>
      <t>used. Note, if a parameter is selected and modified, it must be assessed for every monitoring event along with the existing</t>
    </r>
    <r>
      <rPr>
        <i/>
        <sz val="11"/>
        <color theme="1"/>
        <rFont val="Calibri"/>
        <family val="2"/>
        <scheme val="minor"/>
      </rPr>
      <t xml:space="preserve"> </t>
    </r>
    <r>
      <rPr>
        <b/>
        <sz val="11"/>
        <color theme="1"/>
        <rFont val="Calibri"/>
        <family val="2"/>
        <scheme val="minor"/>
      </rPr>
      <t>and</t>
    </r>
    <r>
      <rPr>
        <sz val="11"/>
        <color theme="1"/>
        <rFont val="Calibri"/>
        <family val="2"/>
        <scheme val="minor"/>
      </rPr>
      <t xml:space="preserve"> proposed conditions.</t>
    </r>
  </si>
  <si>
    <t>Required for all assessments with forested floodplain reference conditions.</t>
  </si>
  <si>
    <t>Streambank Armoring (%)</t>
  </si>
  <si>
    <t>Left - Average Diameter at Breast Height (DBH)</t>
  </si>
  <si>
    <t>Right - Average DBH</t>
  </si>
  <si>
    <t>Left Buffer Width (feet)</t>
  </si>
  <si>
    <t>Right Buffer Width (feet)</t>
  </si>
  <si>
    <t>Left  - Native Herbaceous Cover (%)</t>
  </si>
  <si>
    <t>Right  - Native Herbaceous Cover (%)</t>
  </si>
  <si>
    <r>
      <rPr>
        <u/>
        <sz val="11"/>
        <rFont val="Arial"/>
        <family val="2"/>
      </rPr>
      <t>Purpose:</t>
    </r>
    <r>
      <rPr>
        <sz val="11"/>
        <rFont val="Arial"/>
        <family val="2"/>
      </rPr>
      <t xml:space="preserve"> This form is used to aid in the site selection process and gage a stream's restoration potential. The form includes descriptions of watershed processes and stressors that exist outside of the stream, can limit the restoration potential, and </t>
    </r>
    <r>
      <rPr>
        <b/>
        <sz val="11"/>
        <rFont val="Arial"/>
        <family val="2"/>
      </rPr>
      <t>will not</t>
    </r>
    <r>
      <rPr>
        <sz val="11"/>
        <rFont val="Arial"/>
        <family val="2"/>
      </rPr>
      <t xml:space="preserve"> be addressed as part of the proposed project. The "watershed" is a combination of both the </t>
    </r>
    <r>
      <rPr>
        <b/>
        <sz val="11"/>
        <rFont val="Arial"/>
        <family val="2"/>
      </rPr>
      <t>catchment</t>
    </r>
    <r>
      <rPr>
        <sz val="11"/>
        <rFont val="Arial"/>
        <family val="2"/>
      </rPr>
      <t xml:space="preserve"> draining to the stream project area and the </t>
    </r>
    <r>
      <rPr>
        <b/>
        <sz val="11"/>
        <rFont val="Arial"/>
        <family val="2"/>
      </rPr>
      <t>lateral drainage area</t>
    </r>
    <r>
      <rPr>
        <sz val="11"/>
        <rFont val="Arial"/>
        <family val="2"/>
      </rPr>
      <t xml:space="preserve"> containing the stream. The </t>
    </r>
    <r>
      <rPr>
        <b/>
        <sz val="11"/>
        <rFont val="Arial"/>
        <family val="2"/>
      </rPr>
      <t>catchment</t>
    </r>
    <r>
      <rPr>
        <sz val="11"/>
        <rFont val="Arial"/>
        <family val="2"/>
      </rPr>
      <t xml:space="preserve"> is the area draining to the stream's upper boundary above the project. The </t>
    </r>
    <r>
      <rPr>
        <b/>
        <sz val="11"/>
        <rFont val="Arial"/>
        <family val="2"/>
      </rPr>
      <t>lateral drainage area</t>
    </r>
    <r>
      <rPr>
        <sz val="11"/>
        <rFont val="Arial"/>
        <family val="2"/>
      </rPr>
      <t xml:space="preserve"> is the areas draining to the stream from either side of the channel within the project boundary. Therefore, the watershed is equal to the catchment and the lateral drainage area.</t>
    </r>
  </si>
  <si>
    <t>Catchment Impoundments (Hydrology) 
These include small dams, farm ponds, and large impoundments which are greater than 20 feet in height or structures with the capacity to have 30 acre feet in storage. These features will remain in place.</t>
  </si>
  <si>
    <t>Percent Forested in Catchment (Hydrology)</t>
  </si>
  <si>
    <t>Organism Recruitment from Catchment (Biology)</t>
  </si>
  <si>
    <t xml:space="preserve">Aquatic Organism Barriers in Watershed (Biology) </t>
  </si>
  <si>
    <t>Agricultural Land Use in Catchment (Physicochemical)</t>
  </si>
  <si>
    <t>Livestock access to stream and/or intensive cropland  immediately upstream of project reach.</t>
  </si>
  <si>
    <t>POOR</t>
  </si>
  <si>
    <t>FAIR</t>
  </si>
  <si>
    <t>GOOD</t>
  </si>
  <si>
    <t>Upstream Latitude:</t>
  </si>
  <si>
    <t>Upstream Longitude:</t>
  </si>
  <si>
    <t>Downstream Latitude:</t>
  </si>
  <si>
    <t>Downstream Longitude:</t>
  </si>
  <si>
    <t>Reach Information and 
Reference Standard Stratification</t>
  </si>
  <si>
    <t>Native Shrub  Cover</t>
  </si>
  <si>
    <t>Required for all assessments and flow types.</t>
  </si>
  <si>
    <t xml:space="preserve">Intermittent and perennial streams with gravel beds and sandy banks where fining is occurring. </t>
  </si>
  <si>
    <t>Required for intermittent and perennial, non-bedrock dominated streams.</t>
  </si>
  <si>
    <t xml:space="preserve">Assessed in intermittent and perennial stream reaches  with proposed functional lift to biology that are within streams large enough to have a reference standard capable of supporting a level of species diversity adequate for the measurement methods. </t>
  </si>
  <si>
    <t>Assessed in intermittent and perennial stream reaches with proposed  functional lift to biology.</t>
  </si>
  <si>
    <t>Assessed in intermittent and perennial stream reaches with proposed  functional lift to water quality.</t>
  </si>
  <si>
    <t xml:space="preserve">Assessed in intermittent and perennial stream reaches with stormwater BMPs or other non-point source mitigation practices proposed in conjunction with the stream restoration project. Project will modestly improve the nitrogen and/or phosphorus parameters. </t>
  </si>
  <si>
    <t>Assessed in intermittent and perennial stream reaches with livestock access and  proposed functional lift to water quality.</t>
  </si>
  <si>
    <t>Required for all intermittent and perennial assessments.</t>
  </si>
  <si>
    <t xml:space="preserve">Measure in intermittent and perennial reaches exhibiting evidence of aggradation. </t>
  </si>
  <si>
    <t>Stream Name:</t>
  </si>
  <si>
    <t>Programmatic Goals:</t>
  </si>
  <si>
    <t>Stream Summary Information</t>
  </si>
  <si>
    <t>Reach ID</t>
  </si>
  <si>
    <t>Functional Lift (Credits)</t>
  </si>
  <si>
    <t>Totals</t>
  </si>
  <si>
    <t>Stream Evolution Description</t>
  </si>
  <si>
    <t>Describe the stage of channel evolution for each reach using either the Stream Evolution Model (Cleur and Thorne, 2013) and/or the Rosgen Channel Succession Scenario (Rosgen, 2006).</t>
  </si>
  <si>
    <t>Insert Aerial Photo of Project Reach</t>
  </si>
  <si>
    <t>The Tennessee Stream Quantification Tool Credits:</t>
  </si>
  <si>
    <r>
      <rPr>
        <b/>
        <sz val="11"/>
        <color theme="1"/>
        <rFont val="Calibri"/>
        <family val="2"/>
        <scheme val="minor"/>
      </rPr>
      <t>Lead Agency:</t>
    </r>
    <r>
      <rPr>
        <sz val="11"/>
        <color theme="1"/>
        <rFont val="Calibri"/>
        <family val="2"/>
        <scheme val="minor"/>
      </rPr>
      <t xml:space="preserve"> Tennessee Department of Environment and Conservation (TDEC)</t>
    </r>
  </si>
  <si>
    <t>Contributing Agencies:</t>
  </si>
  <si>
    <t>U.S. Environmental Protection Agency</t>
  </si>
  <si>
    <t>U.S. Army Corps of Engineers</t>
  </si>
  <si>
    <t>Tennessee Interagency Review Team</t>
  </si>
  <si>
    <t>Contractors:</t>
  </si>
  <si>
    <t xml:space="preserve">Stream Mechanics </t>
  </si>
  <si>
    <t xml:space="preserve">Ecosystem Planning and Restoration (EPR) </t>
  </si>
  <si>
    <t>Version 1.0</t>
  </si>
  <si>
    <t>Version Last Updated</t>
  </si>
  <si>
    <r>
      <t xml:space="preserve">NOTICE: </t>
    </r>
    <r>
      <rPr>
        <sz val="11"/>
        <color rgb="FF000000"/>
        <rFont val="Calibri"/>
        <family val="2"/>
        <scheme val="minor"/>
      </rPr>
      <t>If you find errors or problems, please contact Vena L. Jones at vena.l.jones@tn.gov</t>
    </r>
    <r>
      <rPr>
        <b/>
        <sz val="13"/>
        <color rgb="FF000000"/>
        <rFont val="Calibri"/>
        <family val="2"/>
        <scheme val="minor"/>
      </rPr>
      <t xml:space="preserve"> </t>
    </r>
  </si>
  <si>
    <t>30-60% of bottom substrate affected by recent deposition; fine material in pools, bends and some on bars and benches.</t>
  </si>
  <si>
    <t>No streams within catchment on 303(d) list.</t>
  </si>
  <si>
    <t>No NPDES permits within the lateral drainage area and none within one mile of project reach.</t>
  </si>
  <si>
    <t>No barrier within watershed OR barriers provide beneficial effect on project area and allows for aquatic organism passage.</t>
  </si>
  <si>
    <t>Barrier exists but does not adversely affect aquatic organism passage OR a small blockage exists that is creating a minor fish passage barrier.</t>
  </si>
  <si>
    <t>A few NPDES permits within drainage area and none OR a minor one within one mile of project reach.</t>
  </si>
  <si>
    <t>At least one major and several minor PWOs within the watershed and less than one mile of project reach.</t>
  </si>
  <si>
    <t>&gt;60% of bottom substrate affected by recent deposition; significant amount of fine material accumulating in pools, bends, bars and benches.</t>
  </si>
  <si>
    <t>&lt; 30% of stream miles in catchment on 303(d) list.</t>
  </si>
  <si>
    <t>&lt;50% of streams (including tributaries) within catchment has &gt; 25 feet corridor width.</t>
  </si>
  <si>
    <t>50-80% of  streams (including tributaries) within catchment has &gt; 25 feet corridor width.</t>
  </si>
  <si>
    <t>&gt;80% of contributing streams (including tributaries) within catchment has &gt; 25 feet corridor width.</t>
  </si>
  <si>
    <t>Large impoundment on the main stem or tributaries directly tied to project and/or multiple small impoundments; these impoundments limit flow in tributaries and/or the main stem throughout catchment.</t>
  </si>
  <si>
    <t>No impoundments in catchment area.</t>
  </si>
  <si>
    <t>Required for intermittent and perennial streams.</t>
  </si>
  <si>
    <t>Required if present for all flow types.</t>
  </si>
  <si>
    <t xml:space="preserve">Required that one of these measurements is applied to all assessments and flow types, not both.  </t>
  </si>
  <si>
    <t>Required for all assessments and flow types within a forested floodplain reference condition.</t>
  </si>
  <si>
    <t>Size Class Pebble Count Analyzer 
(p-value)</t>
  </si>
  <si>
    <t xml:space="preserve">Fine Sediment Deposition  in Lateral Drainage Area (Geomorphology and Physicochemical) </t>
  </si>
  <si>
    <t>Describe this stream AND reach break criteria:</t>
  </si>
  <si>
    <t>Explain the goals and objectives for this stream project:</t>
  </si>
  <si>
    <t xml:space="preserve">Describe the stage of channel evolution for: REACH 5
</t>
  </si>
  <si>
    <t xml:space="preserve">Describe the stage of channel evolution for: REACH 4
</t>
  </si>
  <si>
    <t xml:space="preserve">Describe the stage of channel evolution for: REACH 3
</t>
  </si>
  <si>
    <t xml:space="preserve">Describe the stage of channel evolution for: REACH 1
</t>
  </si>
  <si>
    <t xml:space="preserve">Describe the stage of channel evolution for: REACH 2
</t>
  </si>
  <si>
    <t>Example TN SQT Project</t>
  </si>
  <si>
    <t>Jones Reach 1</t>
  </si>
  <si>
    <t>Jones Creek Stream Restoration Project</t>
  </si>
  <si>
    <t xml:space="preserve">Jones Creek  </t>
  </si>
  <si>
    <t>Jones Creek</t>
  </si>
  <si>
    <t>Create a resilient stream ecosystem that generates mitigation credit</t>
  </si>
  <si>
    <r>
      <rPr>
        <b/>
        <u/>
        <sz val="11"/>
        <color theme="1"/>
        <rFont val="Calibri"/>
        <family val="2"/>
        <scheme val="minor"/>
      </rPr>
      <t>Goals:</t>
    </r>
    <r>
      <rPr>
        <sz val="11"/>
        <color theme="1"/>
        <rFont val="Calibri"/>
        <family val="2"/>
        <scheme val="minor"/>
      </rPr>
      <t xml:space="preserve">Examples of design goals using the pyramid levels include: restore native brook trout habitat (pyramid level 3 goal),
 restore native brook trout biomass (pyramid level 5), restore the stream biology to a functioning condition (pyramid level 5), reduce sediment supply from eroding streambanks (pyramid level 3), and reduce nutrient inputs (pyramid level 4). All of these goals communicate why the project is being undertaken. </t>
    </r>
  </si>
  <si>
    <r>
      <rPr>
        <b/>
        <u/>
        <sz val="11"/>
        <color theme="1"/>
        <rFont val="Calibri"/>
        <family val="2"/>
        <scheme val="minor"/>
      </rPr>
      <t>Objectives:</t>
    </r>
    <r>
      <rPr>
        <sz val="11"/>
        <color theme="1"/>
        <rFont val="Calibri"/>
        <family val="2"/>
        <scheme val="minor"/>
      </rPr>
      <t>Example objectives include: increasing floodplain connectivity, establishing a riparian buffer, and increasing 
bed form diversity. These objectives can’t stand alone, but with the goals, they can describe what the practitioner will do to address the functional impairment. The objectives can be quantitative as well. For example: floodplain connectivity will be improved by reducing the bank height ratio from 2.0 to 1.0. Now, functional lift is being communicated and the reference standard is established for monitoring.</t>
    </r>
  </si>
  <si>
    <t>P</t>
  </si>
  <si>
    <t>Rater(s): Cowboy Jones</t>
  </si>
  <si>
    <t>Date: 4-29-2019</t>
  </si>
  <si>
    <t>p</t>
  </si>
  <si>
    <t>f</t>
  </si>
  <si>
    <t>The overall watershed condition is poor to fair. The channel is impacted, and the catchment above 
the project site is generally in poor condition. There is not good water quality moving into the project. Organismal recruitment is not likely. That, coupled with current, poor land use management in the lateral drainage area, limited substrate, lack of riparian area and poor bedforms leave little to no ability for aquatic organisms to colonize substrate. There are no site constraints, therfore the restoration potential is moderate for this project. No biolgoical improvement is predicted.</t>
  </si>
  <si>
    <r>
      <rPr>
        <b/>
        <sz val="11"/>
        <color theme="1"/>
        <rFont val="Calibri"/>
        <family val="2"/>
        <scheme val="minor"/>
      </rPr>
      <t>Explain the restoration potential of this stream based on the programmatic goals</t>
    </r>
    <r>
      <rPr>
        <sz val="11"/>
        <color theme="1"/>
        <rFont val="Calibri"/>
        <family val="2"/>
        <scheme val="minor"/>
      </rPr>
      <t>:
The overall watershed condition is poor to fair. The channel is impacted, and the catchment above the project site is generally in poor condition. There is not good water quality moving into the project. Organismal recruitment is not likely. That, coupled with current, poor land use management in the lateral drainage area, limited substrate, lack of riparian area and poor bedforms leave little to no ability for aquatic organisms to colonize substrate. There are no site constraints, therfore the restoration potential is moderate for this project. No biolgoical improvement is predicted.The long term success of this project is high given the ability to place the project in a wide conservation easement and other factors mentioned above.</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</si>
</sst>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0"/>
    <numFmt numFmtId="166" formatCode="0.000"/>
    <numFmt numFmtId="167" formatCode="0.00000"/>
    <numFmt numFmtId="168" formatCode="0.000000"/>
  </numFmts>
  <fonts count="28" x14ac:knownFonts="1">
    <font>
      <sz val="11"/>
      <color theme="1"/>
      <name val="Calibri"/>
      <family val="2"/>
      <scheme val="minor"/>
    </font>
    <font>
      <b/>
      <sz val="11"/>
      <color theme="1"/>
      <name val="Calibri"/>
      <family val="2"/>
      <scheme val="minor"/>
    </font>
    <font>
      <sz val="9"/>
      <color indexed="81"/>
      <name val="Tahoma"/>
      <family val="2"/>
    </font>
    <font>
      <sz val="10"/>
      <name val="Arial"/>
      <family val="2"/>
    </font>
    <font>
      <b/>
      <sz val="14"/>
      <name val="Arial"/>
      <family val="2"/>
    </font>
    <font>
      <sz val="11"/>
      <name val="Arial"/>
      <family val="2"/>
    </font>
    <font>
      <b/>
      <sz val="12"/>
      <name val="Arial"/>
      <family val="2"/>
    </font>
    <font>
      <b/>
      <sz val="15"/>
      <color theme="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color rgb="FF000000"/>
      <name val="Calibri"/>
      <family val="2"/>
      <scheme val="minor"/>
    </font>
    <font>
      <sz val="14"/>
      <color theme="1"/>
      <name val="Calibri"/>
      <family val="2"/>
      <scheme val="minor"/>
    </font>
    <font>
      <sz val="11"/>
      <color theme="1"/>
      <name val="Calibri"/>
      <family val="2"/>
      <scheme val="minor"/>
    </font>
    <font>
      <sz val="18"/>
      <color rgb="FFFF0000"/>
      <name val="Calibri"/>
      <family val="2"/>
      <scheme val="minor"/>
    </font>
    <font>
      <strike/>
      <sz val="11"/>
      <color theme="1"/>
      <name val="Calibri"/>
      <family val="2"/>
      <scheme val="minor"/>
    </font>
    <font>
      <i/>
      <sz val="11"/>
      <color theme="1"/>
      <name val="Calibri"/>
      <family val="2"/>
      <scheme val="minor"/>
    </font>
    <font>
      <b/>
      <sz val="18"/>
      <color theme="1"/>
      <name val="Calibri"/>
      <family val="2"/>
      <scheme val="minor"/>
    </font>
    <font>
      <u/>
      <sz val="11"/>
      <name val="Arial"/>
      <family val="2"/>
    </font>
    <font>
      <b/>
      <sz val="11"/>
      <name val="Arial"/>
      <family val="2"/>
    </font>
    <font>
      <sz val="11"/>
      <color rgb="FF000000"/>
      <name val="Calibri"/>
      <family val="2"/>
      <scheme val="minor"/>
    </font>
    <font>
      <b/>
      <sz val="13"/>
      <color rgb="FF000000"/>
      <name val="Calibri"/>
      <family val="2"/>
      <scheme val="minor"/>
    </font>
    <font>
      <b/>
      <sz val="16"/>
      <name val="Arial"/>
      <family val="2"/>
    </font>
    <font>
      <sz val="16"/>
      <color theme="1"/>
      <name val="Calibri"/>
      <family val="2"/>
      <scheme val="minor"/>
    </font>
    <font>
      <b/>
      <u/>
      <sz val="11"/>
      <color theme="1"/>
      <name val="Calibri"/>
      <family val="2"/>
      <scheme val="minor"/>
    </font>
  </fonts>
  <fills count="20">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indexed="9"/>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4" tint="0.59999389629810485"/>
        <bgColor indexed="65"/>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bgColor indexed="64"/>
      </patternFill>
    </fill>
    <fill>
      <patternFill patternType="lightDown"/>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ck">
        <color indexed="64"/>
      </right>
      <top/>
      <bottom/>
      <diagonal/>
    </border>
    <border>
      <left style="thick">
        <color indexed="64"/>
      </left>
      <right/>
      <top/>
      <bottom/>
      <diagonal/>
    </border>
    <border>
      <left/>
      <right style="thick">
        <color indexed="64"/>
      </right>
      <top/>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medium">
        <color indexed="64"/>
      </right>
      <top/>
      <bottom/>
      <diagonal/>
    </border>
    <border>
      <left style="hair">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3" fillId="0" borderId="0"/>
    <xf numFmtId="9" fontId="16" fillId="0" borderId="0" applyFont="0" applyFill="0" applyBorder="0" applyAlignment="0" applyProtection="0"/>
    <xf numFmtId="0" fontId="16" fillId="15" borderId="0" applyNumberFormat="0" applyBorder="0" applyAlignment="0" applyProtection="0"/>
  </cellStyleXfs>
  <cellXfs count="723">
    <xf numFmtId="0" fontId="0" fillId="0" borderId="0" xfId="0"/>
    <xf numFmtId="0" fontId="0" fillId="0" borderId="0" xfId="0" applyFill="1" applyBorder="1"/>
    <xf numFmtId="0" fontId="0" fillId="0" borderId="0" xfId="0" applyFill="1" applyBorder="1" applyAlignment="1">
      <alignment vertical="center" wrapText="1"/>
    </xf>
    <xf numFmtId="0" fontId="1" fillId="0" borderId="0" xfId="0" applyFont="1" applyAlignment="1"/>
    <xf numFmtId="0" fontId="0" fillId="0" borderId="1" xfId="0"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2" borderId="5" xfId="0" applyFill="1" applyBorder="1" applyAlignment="1">
      <alignment vertical="center" wrapText="1"/>
    </xf>
    <xf numFmtId="0" fontId="0" fillId="3" borderId="5" xfId="0" applyFill="1" applyBorder="1" applyAlignment="1">
      <alignment vertical="center" wrapText="1"/>
    </xf>
    <xf numFmtId="0" fontId="0" fillId="4" borderId="5" xfId="0" applyFill="1" applyBorder="1" applyAlignment="1">
      <alignment vertical="center" wrapText="1"/>
    </xf>
    <xf numFmtId="0" fontId="0" fillId="4" borderId="6" xfId="0" applyFill="1" applyBorder="1" applyAlignment="1">
      <alignment vertical="center" wrapText="1"/>
    </xf>
    <xf numFmtId="0" fontId="0" fillId="0" borderId="0" xfId="0" applyFill="1" applyAlignment="1">
      <alignment horizontal="center"/>
    </xf>
    <xf numFmtId="0" fontId="0" fillId="0" borderId="0" xfId="0" applyFill="1"/>
    <xf numFmtId="0" fontId="0" fillId="0" borderId="0" xfId="0"/>
    <xf numFmtId="0" fontId="1" fillId="0" borderId="0" xfId="0" applyFont="1"/>
    <xf numFmtId="0" fontId="0" fillId="0" borderId="0" xfId="0" applyAlignment="1">
      <alignment vertical="center"/>
    </xf>
    <xf numFmtId="0" fontId="0" fillId="0" borderId="0" xfId="0" applyFill="1" applyBorder="1" applyAlignment="1">
      <alignment vertical="center"/>
    </xf>
    <xf numFmtId="0" fontId="0" fillId="0" borderId="0" xfId="0" applyBorder="1" applyAlignment="1">
      <alignment horizontal="center"/>
    </xf>
    <xf numFmtId="2" fontId="0" fillId="0" borderId="0" xfId="0" applyNumberFormat="1"/>
    <xf numFmtId="0" fontId="0" fillId="0" borderId="2" xfId="0" applyFill="1" applyBorder="1" applyAlignment="1">
      <alignment vertical="center" wrapText="1"/>
    </xf>
    <xf numFmtId="0" fontId="0" fillId="0" borderId="0" xfId="0" applyBorder="1"/>
    <xf numFmtId="0" fontId="6" fillId="7" borderId="16" xfId="1" applyFont="1" applyFill="1" applyBorder="1" applyAlignment="1">
      <alignment vertical="center" wrapText="1"/>
    </xf>
    <xf numFmtId="0" fontId="6" fillId="7" borderId="19" xfId="1" applyFont="1" applyFill="1" applyBorder="1" applyAlignment="1">
      <alignment vertical="center" wrapText="1"/>
    </xf>
    <xf numFmtId="0" fontId="5" fillId="7" borderId="26" xfId="1" applyFont="1" applyFill="1" applyBorder="1" applyAlignment="1">
      <alignment vertical="center"/>
    </xf>
    <xf numFmtId="0" fontId="3" fillId="0" borderId="0" xfId="1" applyFont="1"/>
    <xf numFmtId="0" fontId="3" fillId="7" borderId="20" xfId="1" applyFont="1" applyFill="1" applyBorder="1"/>
    <xf numFmtId="0" fontId="3" fillId="7" borderId="21" xfId="1" applyFont="1" applyFill="1" applyBorder="1"/>
    <xf numFmtId="0" fontId="3" fillId="0" borderId="22" xfId="1" applyFont="1" applyBorder="1" applyAlignment="1">
      <alignment horizontal="center" vertical="center" wrapText="1"/>
    </xf>
    <xf numFmtId="0" fontId="3" fillId="0" borderId="23" xfId="1" applyFont="1" applyBorder="1" applyAlignment="1">
      <alignment horizontal="center" vertical="center" wrapText="1"/>
    </xf>
    <xf numFmtId="0" fontId="3" fillId="0" borderId="0" xfId="1" applyFont="1" applyFill="1"/>
    <xf numFmtId="0" fontId="3" fillId="7" borderId="25" xfId="1" applyFont="1" applyFill="1" applyBorder="1"/>
    <xf numFmtId="0" fontId="3" fillId="7" borderId="26" xfId="1" applyFont="1" applyFill="1" applyBorder="1"/>
    <xf numFmtId="0" fontId="3" fillId="7" borderId="27" xfId="1" applyFont="1" applyFill="1" applyBorder="1"/>
    <xf numFmtId="0" fontId="6" fillId="7" borderId="8" xfId="1" applyFont="1" applyFill="1" applyBorder="1" applyAlignment="1">
      <alignment horizontal="center" vertical="center" wrapText="1"/>
    </xf>
    <xf numFmtId="0" fontId="3" fillId="0" borderId="22" xfId="1" applyFont="1" applyFill="1" applyBorder="1" applyAlignment="1">
      <alignment vertical="center" wrapText="1"/>
    </xf>
    <xf numFmtId="0" fontId="1" fillId="0" borderId="0" xfId="0" applyFont="1" applyBorder="1" applyAlignment="1"/>
    <xf numFmtId="0" fontId="0" fillId="0" borderId="0" xfId="0" applyBorder="1" applyAlignment="1">
      <alignment vertical="center" wrapText="1"/>
    </xf>
    <xf numFmtId="0" fontId="0" fillId="0" borderId="38" xfId="0" applyBorder="1" applyAlignment="1">
      <alignment vertical="center" wrapText="1"/>
    </xf>
    <xf numFmtId="0" fontId="8" fillId="0" borderId="2" xfId="0" applyFont="1" applyBorder="1" applyAlignment="1">
      <alignment vertical="center" wrapText="1"/>
    </xf>
    <xf numFmtId="0" fontId="0" fillId="0" borderId="0" xfId="0" applyFill="1" applyProtection="1"/>
    <xf numFmtId="0" fontId="0" fillId="0" borderId="0" xfId="0" applyProtection="1"/>
    <xf numFmtId="0" fontId="11" fillId="0" borderId="7" xfId="0" applyFont="1" applyBorder="1"/>
    <xf numFmtId="0" fontId="11" fillId="7" borderId="7" xfId="0" applyFont="1" applyFill="1" applyBorder="1" applyAlignment="1" applyProtection="1">
      <alignment horizontal="center"/>
      <protection locked="0"/>
    </xf>
    <xf numFmtId="0" fontId="11" fillId="0" borderId="7" xfId="0" applyFont="1" applyFill="1" applyBorder="1"/>
    <xf numFmtId="2" fontId="11" fillId="0" borderId="7" xfId="0" applyNumberFormat="1" applyFont="1" applyBorder="1" applyAlignment="1" applyProtection="1">
      <alignment horizontal="center" vertical="center"/>
    </xf>
    <xf numFmtId="0" fontId="11" fillId="0" borderId="7" xfId="0" applyFont="1" applyBorder="1" applyAlignment="1" applyProtection="1">
      <alignment horizontal="center"/>
    </xf>
    <xf numFmtId="1" fontId="11" fillId="0" borderId="7" xfId="0" applyNumberFormat="1" applyFont="1" applyBorder="1" applyAlignment="1" applyProtection="1">
      <alignment horizontal="center"/>
    </xf>
    <xf numFmtId="2" fontId="11" fillId="0" borderId="7" xfId="0" applyNumberFormat="1" applyFont="1" applyBorder="1" applyAlignment="1">
      <alignment horizontal="center"/>
    </xf>
    <xf numFmtId="0" fontId="12" fillId="0" borderId="7" xfId="0" applyFont="1" applyBorder="1" applyAlignment="1">
      <alignment horizontal="center"/>
    </xf>
    <xf numFmtId="0" fontId="12" fillId="0" borderId="7" xfId="0" applyFont="1" applyFill="1" applyBorder="1" applyAlignment="1">
      <alignment horizontal="center"/>
    </xf>
    <xf numFmtId="0" fontId="11" fillId="8" borderId="8" xfId="0" applyFont="1" applyFill="1" applyBorder="1" applyAlignment="1">
      <alignment horizontal="left" vertical="center"/>
    </xf>
    <xf numFmtId="0" fontId="11" fillId="8" borderId="0" xfId="0" applyFont="1" applyFill="1" applyBorder="1"/>
    <xf numFmtId="0" fontId="11" fillId="7" borderId="33" xfId="0" applyFont="1" applyFill="1" applyBorder="1" applyAlignment="1" applyProtection="1">
      <alignment horizontal="center"/>
      <protection locked="0"/>
    </xf>
    <xf numFmtId="0" fontId="11" fillId="9" borderId="0" xfId="0" applyFont="1" applyFill="1" applyBorder="1"/>
    <xf numFmtId="0" fontId="11" fillId="9" borderId="33" xfId="0" applyFont="1" applyFill="1" applyBorder="1"/>
    <xf numFmtId="0" fontId="11" fillId="10" borderId="7" xfId="0" applyFont="1" applyFill="1" applyBorder="1" applyAlignment="1">
      <alignment horizontal="left" vertical="center"/>
    </xf>
    <xf numFmtId="0" fontId="11" fillId="10" borderId="11" xfId="0" applyFont="1" applyFill="1" applyBorder="1"/>
    <xf numFmtId="0" fontId="11" fillId="10" borderId="0" xfId="0" applyFont="1" applyFill="1" applyBorder="1"/>
    <xf numFmtId="0" fontId="13" fillId="10" borderId="0" xfId="0" applyFont="1" applyFill="1" applyBorder="1"/>
    <xf numFmtId="0" fontId="11" fillId="10" borderId="18" xfId="0" applyFont="1" applyFill="1" applyBorder="1"/>
    <xf numFmtId="0" fontId="11" fillId="7" borderId="37" xfId="0" applyFont="1" applyFill="1" applyBorder="1" applyAlignment="1" applyProtection="1">
      <alignment horizontal="center"/>
      <protection locked="0"/>
    </xf>
    <xf numFmtId="0" fontId="11" fillId="10" borderId="28" xfId="0" applyFont="1" applyFill="1" applyBorder="1"/>
    <xf numFmtId="0" fontId="11" fillId="10" borderId="34" xfId="0" applyFont="1" applyFill="1" applyBorder="1"/>
    <xf numFmtId="0" fontId="11" fillId="10" borderId="37" xfId="0" applyFont="1" applyFill="1" applyBorder="1"/>
    <xf numFmtId="0" fontId="11" fillId="10" borderId="33" xfId="0" applyFont="1" applyFill="1" applyBorder="1"/>
    <xf numFmtId="0" fontId="11" fillId="11" borderId="0" xfId="0" applyFont="1" applyFill="1" applyBorder="1"/>
    <xf numFmtId="0" fontId="11" fillId="11" borderId="7" xfId="0" applyFont="1" applyFill="1" applyBorder="1" applyAlignment="1">
      <alignment horizontal="left" vertical="center"/>
    </xf>
    <xf numFmtId="0" fontId="11" fillId="11" borderId="11" xfId="0" applyFont="1" applyFill="1" applyBorder="1"/>
    <xf numFmtId="0" fontId="11" fillId="11" borderId="9" xfId="0" applyFont="1" applyFill="1" applyBorder="1" applyAlignment="1">
      <alignment horizontal="left" vertical="center"/>
    </xf>
    <xf numFmtId="0" fontId="11" fillId="11" borderId="33" xfId="0" applyFont="1" applyFill="1" applyBorder="1"/>
    <xf numFmtId="0" fontId="11" fillId="12" borderId="33" xfId="0" applyFont="1" applyFill="1" applyBorder="1"/>
    <xf numFmtId="0" fontId="11" fillId="10" borderId="10" xfId="0" applyFont="1" applyFill="1" applyBorder="1"/>
    <xf numFmtId="0" fontId="10" fillId="0" borderId="0" xfId="0" applyFont="1" applyFill="1"/>
    <xf numFmtId="0" fontId="0" fillId="0" borderId="0" xfId="0" applyFill="1" applyAlignment="1">
      <alignment vertical="center"/>
    </xf>
    <xf numFmtId="0" fontId="11" fillId="8" borderId="7" xfId="0" applyFont="1" applyFill="1" applyBorder="1" applyAlignment="1">
      <alignment horizontal="left"/>
    </xf>
    <xf numFmtId="0" fontId="11" fillId="9" borderId="7" xfId="0" applyFont="1" applyFill="1" applyBorder="1" applyAlignment="1">
      <alignment horizontal="left"/>
    </xf>
    <xf numFmtId="0" fontId="11" fillId="10" borderId="7" xfId="0" applyFont="1" applyFill="1" applyBorder="1" applyAlignment="1">
      <alignment horizontal="left"/>
    </xf>
    <xf numFmtId="0" fontId="11" fillId="12" borderId="7" xfId="0" applyFont="1" applyFill="1" applyBorder="1" applyAlignment="1">
      <alignment horizontal="left"/>
    </xf>
    <xf numFmtId="164" fontId="0" fillId="0" borderId="2" xfId="0" applyNumberFormat="1" applyBorder="1" applyAlignment="1">
      <alignment vertical="center" wrapText="1"/>
    </xf>
    <xf numFmtId="0" fontId="11" fillId="0" borderId="10" xfId="0" applyFont="1" applyBorder="1" applyAlignment="1" applyProtection="1">
      <alignment horizontal="left"/>
    </xf>
    <xf numFmtId="0" fontId="11" fillId="0" borderId="11" xfId="0" applyFont="1" applyBorder="1" applyAlignment="1" applyProtection="1">
      <alignment horizontal="left"/>
    </xf>
    <xf numFmtId="2" fontId="11" fillId="10" borderId="7" xfId="0" applyNumberFormat="1" applyFont="1" applyFill="1" applyBorder="1" applyAlignment="1">
      <alignment horizontal="center"/>
    </xf>
    <xf numFmtId="2" fontId="11" fillId="8" borderId="8" xfId="0" applyNumberFormat="1" applyFont="1" applyFill="1" applyBorder="1" applyAlignment="1">
      <alignment horizontal="center"/>
    </xf>
    <xf numFmtId="2" fontId="11" fillId="10" borderId="36" xfId="0" applyNumberFormat="1" applyFont="1" applyFill="1" applyBorder="1" applyAlignment="1">
      <alignment horizontal="center"/>
    </xf>
    <xf numFmtId="2" fontId="11" fillId="11" borderId="8" xfId="0" applyNumberFormat="1" applyFont="1" applyFill="1" applyBorder="1" applyAlignment="1">
      <alignment horizontal="center"/>
    </xf>
    <xf numFmtId="2" fontId="11" fillId="11" borderId="7" xfId="0" applyNumberFormat="1" applyFont="1" applyFill="1" applyBorder="1" applyAlignment="1">
      <alignment horizontal="center"/>
    </xf>
    <xf numFmtId="2" fontId="11" fillId="11" borderId="36" xfId="0" applyNumberFormat="1" applyFont="1" applyFill="1" applyBorder="1" applyAlignment="1">
      <alignment horizontal="center"/>
    </xf>
    <xf numFmtId="0" fontId="11" fillId="0" borderId="10" xfId="0" applyFont="1" applyBorder="1" applyAlignment="1" applyProtection="1"/>
    <xf numFmtId="0" fontId="11" fillId="0" borderId="11" xfId="0" applyFont="1" applyBorder="1" applyAlignment="1" applyProtection="1"/>
    <xf numFmtId="0" fontId="11" fillId="0" borderId="18" xfId="0" applyFont="1" applyBorder="1" applyAlignment="1" applyProtection="1"/>
    <xf numFmtId="0" fontId="11" fillId="0" borderId="37" xfId="0" applyFont="1" applyBorder="1" applyAlignment="1" applyProtection="1"/>
    <xf numFmtId="0" fontId="11" fillId="0" borderId="18" xfId="0" applyFont="1" applyBorder="1" applyAlignment="1" applyProtection="1">
      <alignment horizontal="left"/>
    </xf>
    <xf numFmtId="0" fontId="11" fillId="0" borderId="37" xfId="0" applyFont="1" applyBorder="1" applyAlignment="1" applyProtection="1">
      <alignment horizontal="left"/>
    </xf>
    <xf numFmtId="0" fontId="0" fillId="0" borderId="0" xfId="0" applyAlignment="1"/>
    <xf numFmtId="1" fontId="0" fillId="0" borderId="2" xfId="0" applyNumberFormat="1" applyBorder="1" applyAlignment="1">
      <alignment vertical="center" wrapText="1"/>
    </xf>
    <xf numFmtId="0" fontId="0" fillId="0" borderId="0" xfId="0" applyAlignment="1">
      <alignment horizontal="center"/>
    </xf>
    <xf numFmtId="0" fontId="0" fillId="0" borderId="0" xfId="0" applyAlignment="1">
      <alignment horizontal="left"/>
    </xf>
    <xf numFmtId="165" fontId="0" fillId="0" borderId="2" xfId="0" applyNumberFormat="1" applyBorder="1"/>
    <xf numFmtId="0" fontId="0" fillId="0" borderId="0" xfId="0" applyFill="1" applyBorder="1" applyAlignment="1"/>
    <xf numFmtId="0" fontId="0" fillId="0" borderId="0" xfId="0" applyBorder="1" applyAlignment="1">
      <alignment vertical="center"/>
    </xf>
    <xf numFmtId="0" fontId="0" fillId="0" borderId="0" xfId="0" applyFill="1" applyBorder="1" applyAlignment="1">
      <alignment horizontal="center"/>
    </xf>
    <xf numFmtId="0" fontId="0" fillId="0" borderId="0" xfId="0" applyFont="1" applyFill="1"/>
    <xf numFmtId="0" fontId="0" fillId="0" borderId="0" xfId="0" applyFont="1" applyFill="1" applyAlignment="1">
      <alignment horizontal="center"/>
    </xf>
    <xf numFmtId="0" fontId="1" fillId="0" borderId="0" xfId="0" applyFont="1" applyFill="1"/>
    <xf numFmtId="0" fontId="0" fillId="0" borderId="0" xfId="0" applyFont="1" applyFill="1" applyAlignment="1">
      <alignment vertical="center"/>
    </xf>
    <xf numFmtId="0" fontId="0" fillId="0" borderId="0" xfId="0" applyFont="1" applyFill="1" applyBorder="1" applyAlignment="1">
      <alignment horizontal="center"/>
    </xf>
    <xf numFmtId="0" fontId="0" fillId="0" borderId="0" xfId="0" applyFill="1" applyAlignment="1">
      <alignment horizontal="center"/>
    </xf>
    <xf numFmtId="1" fontId="0" fillId="0" borderId="0" xfId="0" applyNumberFormat="1" applyBorder="1" applyAlignment="1">
      <alignment vertical="center" wrapText="1"/>
    </xf>
    <xf numFmtId="1" fontId="0" fillId="0" borderId="0" xfId="0" applyNumberFormat="1" applyBorder="1"/>
    <xf numFmtId="2" fontId="0" fillId="0" borderId="0" xfId="0" applyNumberFormat="1" applyBorder="1"/>
    <xf numFmtId="2" fontId="8" fillId="0" borderId="2" xfId="0" applyNumberFormat="1" applyFont="1" applyBorder="1" applyAlignment="1">
      <alignment vertical="center" wrapText="1"/>
    </xf>
    <xf numFmtId="0" fontId="0" fillId="0" borderId="0" xfId="0" applyFill="1" applyAlignment="1">
      <alignment horizontal="center"/>
    </xf>
    <xf numFmtId="2" fontId="11" fillId="0" borderId="7" xfId="2" applyNumberFormat="1" applyFont="1" applyBorder="1" applyAlignment="1">
      <alignment horizontal="center"/>
    </xf>
    <xf numFmtId="0" fontId="10" fillId="0" borderId="0" xfId="0" applyFont="1" applyBorder="1" applyAlignment="1"/>
    <xf numFmtId="0" fontId="0" fillId="0" borderId="37" xfId="0" applyBorder="1" applyAlignment="1"/>
    <xf numFmtId="0" fontId="11" fillId="0" borderId="0" xfId="0" applyFont="1" applyBorder="1" applyAlignment="1" applyProtection="1">
      <alignment horizontal="left"/>
    </xf>
    <xf numFmtId="0" fontId="11" fillId="0" borderId="0" xfId="0" applyFont="1" applyBorder="1" applyAlignment="1" applyProtection="1"/>
    <xf numFmtId="0" fontId="11" fillId="0" borderId="0" xfId="0" applyFont="1" applyBorder="1" applyAlignment="1"/>
    <xf numFmtId="0" fontId="0" fillId="0" borderId="0" xfId="0" applyBorder="1" applyAlignment="1"/>
    <xf numFmtId="0" fontId="10" fillId="0" borderId="0" xfId="0" applyFont="1" applyBorder="1" applyAlignment="1">
      <alignment horizontal="center" vertical="center"/>
    </xf>
    <xf numFmtId="0" fontId="12" fillId="0" borderId="0" xfId="0" applyFont="1" applyBorder="1" applyAlignment="1">
      <alignment horizontal="center" vertical="center" wrapText="1"/>
    </xf>
    <xf numFmtId="2" fontId="11" fillId="0" borderId="0" xfId="0" applyNumberFormat="1" applyFont="1" applyBorder="1" applyAlignment="1">
      <alignment horizontal="center"/>
    </xf>
    <xf numFmtId="2" fontId="0" fillId="0" borderId="2" xfId="0" applyNumberFormat="1" applyBorder="1" applyAlignment="1">
      <alignment vertical="center" wrapText="1"/>
    </xf>
    <xf numFmtId="0" fontId="0" fillId="0" borderId="0" xfId="0" applyFill="1" applyAlignment="1">
      <alignment horizontal="center"/>
    </xf>
    <xf numFmtId="0" fontId="11" fillId="12" borderId="18" xfId="0" applyFont="1" applyFill="1" applyBorder="1"/>
    <xf numFmtId="0" fontId="11" fillId="12" borderId="37" xfId="0" applyFont="1" applyFill="1" applyBorder="1"/>
    <xf numFmtId="0" fontId="11" fillId="12" borderId="34" xfId="0" applyFont="1" applyFill="1" applyBorder="1"/>
    <xf numFmtId="0" fontId="0" fillId="0" borderId="0" xfId="0" applyFill="1" applyBorder="1" applyAlignment="1">
      <alignment horizontal="center"/>
    </xf>
    <xf numFmtId="0" fontId="0" fillId="0" borderId="0" xfId="0" applyAlignment="1">
      <alignment horizontal="center"/>
    </xf>
    <xf numFmtId="0" fontId="0" fillId="0" borderId="0" xfId="0" applyFill="1" applyAlignment="1">
      <alignment horizontal="center"/>
    </xf>
    <xf numFmtId="0" fontId="0" fillId="0" borderId="3" xfId="0" applyFill="1" applyBorder="1" applyAlignment="1">
      <alignment vertical="center" wrapText="1"/>
    </xf>
    <xf numFmtId="0" fontId="0" fillId="0" borderId="2" xfId="0" applyBorder="1"/>
    <xf numFmtId="0" fontId="0" fillId="3" borderId="5" xfId="0" applyFill="1" applyBorder="1"/>
    <xf numFmtId="166" fontId="0" fillId="0" borderId="2" xfId="0" applyNumberFormat="1" applyBorder="1" applyAlignment="1">
      <alignment vertical="center" wrapText="1"/>
    </xf>
    <xf numFmtId="0" fontId="0" fillId="0" borderId="0" xfId="0" applyFill="1" applyAlignment="1"/>
    <xf numFmtId="0" fontId="11" fillId="7" borderId="8" xfId="0" applyFont="1" applyFill="1" applyBorder="1" applyAlignment="1" applyProtection="1">
      <alignment horizontal="center"/>
      <protection locked="0"/>
    </xf>
    <xf numFmtId="0" fontId="12" fillId="0" borderId="7" xfId="0" applyFont="1" applyBorder="1" applyAlignment="1">
      <alignment horizontal="center"/>
    </xf>
    <xf numFmtId="0" fontId="11" fillId="0" borderId="0" xfId="0" applyFont="1" applyFill="1" applyBorder="1"/>
    <xf numFmtId="0" fontId="11" fillId="0" borderId="0" xfId="0" applyFont="1" applyFill="1" applyBorder="1" applyAlignment="1">
      <alignment vertical="center"/>
    </xf>
    <xf numFmtId="0" fontId="11" fillId="0" borderId="0" xfId="0" applyFont="1" applyFill="1" applyBorder="1" applyAlignment="1">
      <alignment horizontal="left" vertical="center"/>
    </xf>
    <xf numFmtId="0" fontId="9" fillId="0" borderId="0" xfId="0" applyFont="1" applyBorder="1" applyAlignment="1">
      <alignment vertical="center"/>
    </xf>
    <xf numFmtId="2" fontId="9" fillId="0" borderId="7" xfId="0" applyNumberFormat="1" applyFont="1" applyBorder="1" applyAlignment="1">
      <alignment horizontal="center"/>
    </xf>
    <xf numFmtId="0" fontId="15" fillId="0" borderId="0" xfId="0" applyFont="1"/>
    <xf numFmtId="164" fontId="0" fillId="0" borderId="2" xfId="0" applyNumberFormat="1" applyFill="1" applyBorder="1" applyAlignment="1">
      <alignment vertical="center" wrapText="1"/>
    </xf>
    <xf numFmtId="0" fontId="9" fillId="0" borderId="7" xfId="0" applyFont="1" applyBorder="1" applyAlignment="1">
      <alignment horizontal="center" vertical="center"/>
    </xf>
    <xf numFmtId="2" fontId="15" fillId="0" borderId="7" xfId="0" applyNumberFormat="1" applyFont="1" applyBorder="1" applyAlignment="1">
      <alignment horizontal="center" vertical="center"/>
    </xf>
    <xf numFmtId="0" fontId="9" fillId="0" borderId="7" xfId="0" applyFont="1" applyBorder="1" applyAlignment="1">
      <alignment horizontal="center"/>
    </xf>
    <xf numFmtId="0" fontId="10" fillId="0" borderId="10" xfId="0" applyFont="1" applyBorder="1" applyAlignment="1"/>
    <xf numFmtId="2" fontId="11" fillId="16" borderId="7" xfId="0" applyNumberFormat="1" applyFont="1" applyFill="1" applyBorder="1" applyAlignment="1">
      <alignment horizontal="center"/>
    </xf>
    <xf numFmtId="2" fontId="15" fillId="16" borderId="7" xfId="0" applyNumberFormat="1" applyFont="1" applyFill="1" applyBorder="1" applyAlignment="1">
      <alignment horizontal="center" vertical="center"/>
    </xf>
    <xf numFmtId="0" fontId="9" fillId="16" borderId="7" xfId="0" applyFont="1" applyFill="1" applyBorder="1" applyAlignment="1">
      <alignment horizontal="center"/>
    </xf>
    <xf numFmtId="0" fontId="9" fillId="16" borderId="7" xfId="0" applyFont="1" applyFill="1" applyBorder="1" applyAlignment="1">
      <alignment horizontal="center" vertical="center"/>
    </xf>
    <xf numFmtId="0" fontId="9" fillId="0" borderId="7" xfId="0" applyFont="1" applyBorder="1" applyAlignment="1">
      <alignment horizontal="center" vertical="center"/>
    </xf>
    <xf numFmtId="0" fontId="0" fillId="0" borderId="0" xfId="0" applyAlignment="1">
      <alignment horizontal="center"/>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12" fillId="0" borderId="12" xfId="0" applyFont="1" applyBorder="1" applyAlignment="1">
      <alignment horizontal="center"/>
    </xf>
    <xf numFmtId="0" fontId="12" fillId="0" borderId="7" xfId="0" applyFont="1" applyBorder="1" applyAlignment="1">
      <alignment horizontal="center"/>
    </xf>
    <xf numFmtId="167" fontId="0" fillId="0" borderId="0" xfId="0" applyNumberFormat="1"/>
    <xf numFmtId="2" fontId="0" fillId="3" borderId="5" xfId="0" applyNumberFormat="1" applyFill="1" applyBorder="1" applyAlignment="1">
      <alignment vertical="center" wrapText="1"/>
    </xf>
    <xf numFmtId="0" fontId="11" fillId="17" borderId="7" xfId="0" applyFont="1" applyFill="1" applyBorder="1" applyAlignment="1" applyProtection="1">
      <alignment horizontal="center"/>
      <protection locked="0"/>
    </xf>
    <xf numFmtId="0" fontId="11" fillId="7" borderId="36" xfId="0" applyFont="1" applyFill="1" applyBorder="1" applyAlignment="1" applyProtection="1">
      <alignment horizontal="center"/>
      <protection locked="0"/>
    </xf>
    <xf numFmtId="0" fontId="11" fillId="7" borderId="9" xfId="0" applyFont="1" applyFill="1" applyBorder="1" applyAlignment="1" applyProtection="1">
      <alignment horizontal="center"/>
      <protection locked="0"/>
    </xf>
    <xf numFmtId="0" fontId="0" fillId="0" borderId="0" xfId="0" applyFill="1" applyAlignment="1">
      <alignment horizontal="center"/>
    </xf>
    <xf numFmtId="0" fontId="11" fillId="7" borderId="28" xfId="0" applyFont="1" applyFill="1" applyBorder="1" applyAlignment="1" applyProtection="1">
      <alignment horizontal="center"/>
      <protection locked="0"/>
    </xf>
    <xf numFmtId="0" fontId="11" fillId="7" borderId="18" xfId="0" applyFont="1" applyFill="1" applyBorder="1" applyAlignment="1" applyProtection="1">
      <alignment horizontal="center"/>
      <protection locked="0"/>
    </xf>
    <xf numFmtId="0" fontId="11" fillId="7" borderId="34" xfId="0" applyFont="1" applyFill="1" applyBorder="1" applyAlignment="1" applyProtection="1">
      <alignment horizontal="center"/>
      <protection locked="0"/>
    </xf>
    <xf numFmtId="0" fontId="11" fillId="11" borderId="9" xfId="0" applyFont="1" applyFill="1" applyBorder="1" applyAlignment="1">
      <alignment horizontal="left" vertical="center"/>
    </xf>
    <xf numFmtId="0" fontId="0" fillId="0" borderId="0" xfId="0" applyFill="1" applyAlignment="1">
      <alignment horizontal="center"/>
    </xf>
    <xf numFmtId="1" fontId="0" fillId="0" borderId="3" xfId="0" applyNumberFormat="1" applyBorder="1" applyAlignment="1">
      <alignment vertical="center" wrapText="1"/>
    </xf>
    <xf numFmtId="1" fontId="0" fillId="0" borderId="0" xfId="0" applyNumberFormat="1" applyFont="1" applyBorder="1" applyAlignment="1">
      <alignment horizontal="right" vertical="center" wrapText="1"/>
    </xf>
    <xf numFmtId="1" fontId="0" fillId="0" borderId="38" xfId="0" applyNumberFormat="1" applyFont="1" applyBorder="1" applyAlignment="1">
      <alignment horizontal="right" vertical="center" wrapText="1"/>
    </xf>
    <xf numFmtId="1" fontId="0" fillId="0" borderId="38" xfId="0" applyNumberFormat="1" applyBorder="1" applyAlignment="1">
      <alignment vertical="center" wrapText="1"/>
    </xf>
    <xf numFmtId="0" fontId="11" fillId="12" borderId="28" xfId="0" applyFont="1" applyFill="1" applyBorder="1"/>
    <xf numFmtId="0" fontId="11" fillId="12" borderId="0" xfId="0" applyFont="1" applyFill="1" applyBorder="1"/>
    <xf numFmtId="0" fontId="11" fillId="0" borderId="0" xfId="0" applyFont="1" applyBorder="1"/>
    <xf numFmtId="1" fontId="11" fillId="0" borderId="0" xfId="0" applyNumberFormat="1" applyFont="1" applyBorder="1" applyAlignment="1">
      <alignment horizontal="center"/>
    </xf>
    <xf numFmtId="0" fontId="11" fillId="0" borderId="0" xfId="0" applyFont="1" applyBorder="1" applyAlignment="1">
      <alignment horizontal="left"/>
    </xf>
    <xf numFmtId="9" fontId="11" fillId="0" borderId="0" xfId="2" applyFont="1" applyBorder="1" applyAlignment="1">
      <alignment horizontal="center"/>
    </xf>
    <xf numFmtId="165" fontId="0" fillId="0" borderId="0" xfId="0" applyNumberFormat="1" applyBorder="1"/>
    <xf numFmtId="0" fontId="11" fillId="0" borderId="36" xfId="0" applyFont="1" applyFill="1" applyBorder="1"/>
    <xf numFmtId="2" fontId="0" fillId="2" borderId="5" xfId="0" applyNumberFormat="1" applyFill="1" applyBorder="1" applyAlignment="1">
      <alignment vertical="center" wrapText="1"/>
    </xf>
    <xf numFmtId="2" fontId="0" fillId="3" borderId="6" xfId="0" applyNumberFormat="1" applyFill="1" applyBorder="1" applyAlignment="1">
      <alignment vertical="center" wrapText="1"/>
    </xf>
    <xf numFmtId="168" fontId="0" fillId="0" borderId="0" xfId="0" applyNumberFormat="1"/>
    <xf numFmtId="168" fontId="0" fillId="0" borderId="0" xfId="0" applyNumberFormat="1" applyFill="1"/>
    <xf numFmtId="0" fontId="0" fillId="0" borderId="0" xfId="0" applyAlignment="1">
      <alignment horizontal="center"/>
    </xf>
    <xf numFmtId="0" fontId="11" fillId="10" borderId="9" xfId="0" applyFont="1" applyFill="1" applyBorder="1" applyAlignment="1">
      <alignment horizontal="left" vertical="center"/>
    </xf>
    <xf numFmtId="0" fontId="0" fillId="0" borderId="0" xfId="0" applyFont="1" applyAlignment="1">
      <alignment wrapText="1"/>
    </xf>
    <xf numFmtId="11" fontId="0" fillId="0" borderId="0" xfId="0" quotePrefix="1" applyNumberFormat="1" applyFont="1" applyAlignment="1">
      <alignment wrapText="1"/>
    </xf>
    <xf numFmtId="0" fontId="0" fillId="0" borderId="0" xfId="0" applyFont="1" applyFill="1" applyBorder="1"/>
    <xf numFmtId="0" fontId="0" fillId="0" borderId="37" xfId="0" applyBorder="1" applyAlignment="1">
      <alignment horizontal="center"/>
    </xf>
    <xf numFmtId="0" fontId="0" fillId="0" borderId="28" xfId="0" applyFill="1" applyBorder="1"/>
    <xf numFmtId="0" fontId="0" fillId="0" borderId="29" xfId="0" applyBorder="1"/>
    <xf numFmtId="0" fontId="0" fillId="0" borderId="34" xfId="0" applyFill="1" applyBorder="1"/>
    <xf numFmtId="0" fontId="0" fillId="0" borderId="33" xfId="0" applyFill="1" applyBorder="1"/>
    <xf numFmtId="0" fontId="0" fillId="0" borderId="35" xfId="0" applyFill="1" applyBorder="1"/>
    <xf numFmtId="0" fontId="0" fillId="0" borderId="37" xfId="0" applyBorder="1"/>
    <xf numFmtId="0" fontId="0" fillId="0" borderId="17" xfId="0" applyBorder="1"/>
    <xf numFmtId="0" fontId="0" fillId="0" borderId="35" xfId="0" applyBorder="1"/>
    <xf numFmtId="0" fontId="0" fillId="0" borderId="33" xfId="0" applyBorder="1" applyAlignment="1">
      <alignment vertical="center" wrapText="1"/>
    </xf>
    <xf numFmtId="0" fontId="0" fillId="0" borderId="34" xfId="0" applyBorder="1" applyAlignment="1">
      <alignment vertical="center" wrapText="1"/>
    </xf>
    <xf numFmtId="0" fontId="0" fillId="0" borderId="18" xfId="0" applyFill="1" applyBorder="1"/>
    <xf numFmtId="0" fontId="0" fillId="0" borderId="18" xfId="0" applyBorder="1" applyAlignment="1">
      <alignment horizontal="left"/>
    </xf>
    <xf numFmtId="0" fontId="0" fillId="0" borderId="34" xfId="0" applyBorder="1" applyAlignment="1">
      <alignment vertical="center"/>
    </xf>
    <xf numFmtId="0" fontId="0" fillId="0" borderId="33" xfId="0" applyBorder="1" applyAlignment="1">
      <alignment vertical="center"/>
    </xf>
    <xf numFmtId="0" fontId="0" fillId="0" borderId="35" xfId="0" applyBorder="1" applyAlignment="1">
      <alignment vertical="center"/>
    </xf>
    <xf numFmtId="0" fontId="0" fillId="0" borderId="33" xfId="0" applyBorder="1"/>
    <xf numFmtId="0" fontId="0" fillId="0" borderId="28" xfId="0" applyFill="1" applyBorder="1" applyAlignment="1">
      <alignment horizontal="center"/>
    </xf>
    <xf numFmtId="0" fontId="0" fillId="0" borderId="34" xfId="0" applyFill="1" applyBorder="1" applyAlignment="1">
      <alignment horizontal="center"/>
    </xf>
    <xf numFmtId="0" fontId="0" fillId="0" borderId="17" xfId="0" applyBorder="1" applyAlignment="1"/>
    <xf numFmtId="0" fontId="0" fillId="0" borderId="28" xfId="0" applyBorder="1" applyAlignment="1"/>
    <xf numFmtId="0" fontId="0" fillId="0" borderId="28" xfId="0" applyBorder="1"/>
    <xf numFmtId="0" fontId="0" fillId="0" borderId="34" xfId="0" applyBorder="1"/>
    <xf numFmtId="0" fontId="0" fillId="0" borderId="29" xfId="0" applyFill="1" applyBorder="1"/>
    <xf numFmtId="0" fontId="0" fillId="0" borderId="28" xfId="0" applyFill="1" applyBorder="1" applyAlignment="1"/>
    <xf numFmtId="0" fontId="0" fillId="0" borderId="28"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38" xfId="0" applyBorder="1" applyAlignment="1">
      <alignment vertical="center"/>
    </xf>
    <xf numFmtId="0" fontId="0" fillId="0" borderId="29" xfId="0" applyBorder="1" applyAlignment="1">
      <alignment vertical="center"/>
    </xf>
    <xf numFmtId="0" fontId="0" fillId="0" borderId="29" xfId="0" applyFill="1" applyBorder="1" applyAlignment="1"/>
    <xf numFmtId="0" fontId="0" fillId="0" borderId="37" xfId="0" applyBorder="1" applyAlignment="1">
      <alignment horizontal="left"/>
    </xf>
    <xf numFmtId="0" fontId="0" fillId="0" borderId="37" xfId="0" applyFill="1" applyBorder="1"/>
    <xf numFmtId="0" fontId="0" fillId="0" borderId="37" xfId="0" applyBorder="1" applyAlignment="1">
      <alignment vertical="center"/>
    </xf>
    <xf numFmtId="0" fontId="0" fillId="0" borderId="17" xfId="0" applyFill="1" applyBorder="1"/>
    <xf numFmtId="0" fontId="0" fillId="0" borderId="18" xfId="0" applyBorder="1" applyAlignment="1">
      <alignment vertical="center"/>
    </xf>
    <xf numFmtId="0" fontId="11" fillId="10" borderId="9" xfId="0" applyFont="1" applyFill="1" applyBorder="1" applyAlignment="1">
      <alignment horizontal="left" vertical="center"/>
    </xf>
    <xf numFmtId="0" fontId="0" fillId="0" borderId="0" xfId="0" applyFill="1" applyAlignment="1">
      <alignment horizontal="center"/>
    </xf>
    <xf numFmtId="164" fontId="0" fillId="0" borderId="0" xfId="0" applyNumberFormat="1" applyBorder="1" applyAlignment="1">
      <alignment vertical="center" wrapText="1"/>
    </xf>
    <xf numFmtId="0" fontId="3" fillId="0" borderId="39" xfId="1" applyFont="1" applyFill="1" applyBorder="1" applyAlignment="1">
      <alignment vertical="center" wrapText="1"/>
    </xf>
    <xf numFmtId="0" fontId="3" fillId="0" borderId="13" xfId="1" applyFont="1" applyFill="1" applyBorder="1" applyAlignment="1">
      <alignment horizontal="center" vertical="center" wrapText="1"/>
    </xf>
    <xf numFmtId="164" fontId="0" fillId="0" borderId="3" xfId="0" applyNumberFormat="1" applyFill="1" applyBorder="1" applyAlignment="1">
      <alignment vertical="center" wrapText="1"/>
    </xf>
    <xf numFmtId="164" fontId="0" fillId="0" borderId="38" xfId="0" applyNumberFormat="1" applyFill="1" applyBorder="1" applyAlignment="1">
      <alignment vertical="center" wrapText="1"/>
    </xf>
    <xf numFmtId="0" fontId="0" fillId="0" borderId="0" xfId="0" applyBorder="1" applyAlignment="1">
      <alignment horizontal="left"/>
    </xf>
    <xf numFmtId="0" fontId="11" fillId="11" borderId="9" xfId="0" applyFont="1" applyFill="1" applyBorder="1" applyAlignment="1">
      <alignment horizontal="left" vertical="center"/>
    </xf>
    <xf numFmtId="2" fontId="11" fillId="11" borderId="7" xfId="0" applyNumberFormat="1" applyFont="1" applyFill="1" applyBorder="1" applyAlignment="1">
      <alignment horizontal="center" vertical="center"/>
    </xf>
    <xf numFmtId="164" fontId="0" fillId="0" borderId="3" xfId="0" applyNumberFormat="1" applyBorder="1" applyAlignment="1">
      <alignment vertical="center" wrapText="1"/>
    </xf>
    <xf numFmtId="0" fontId="0" fillId="0" borderId="28" xfId="0" applyBorder="1" applyAlignment="1">
      <alignment horizontal="left"/>
    </xf>
    <xf numFmtId="1" fontId="0" fillId="0" borderId="2" xfId="0" applyNumberFormat="1" applyBorder="1"/>
    <xf numFmtId="0" fontId="0" fillId="0" borderId="0" xfId="0" applyAlignment="1">
      <alignment horizontal="left" vertical="center"/>
    </xf>
    <xf numFmtId="0" fontId="11" fillId="7" borderId="35" xfId="0" applyFont="1" applyFill="1" applyBorder="1" applyAlignment="1" applyProtection="1">
      <alignment horizontal="center"/>
      <protection locked="0"/>
    </xf>
    <xf numFmtId="0" fontId="11" fillId="10" borderId="10" xfId="0" applyFont="1" applyFill="1" applyBorder="1" applyAlignment="1">
      <alignment horizontal="left" vertical="center"/>
    </xf>
    <xf numFmtId="0" fontId="11" fillId="10" borderId="12" xfId="0" applyFont="1" applyFill="1" applyBorder="1"/>
    <xf numFmtId="0" fontId="11" fillId="10" borderId="17" xfId="0" applyFont="1" applyFill="1" applyBorder="1"/>
    <xf numFmtId="0" fontId="11" fillId="10" borderId="35" xfId="0" applyFont="1" applyFill="1" applyBorder="1"/>
    <xf numFmtId="0" fontId="10" fillId="7" borderId="7" xfId="0" applyFont="1" applyFill="1" applyBorder="1" applyAlignment="1" applyProtection="1">
      <alignment horizontal="center"/>
      <protection locked="0"/>
    </xf>
    <xf numFmtId="0" fontId="10" fillId="0" borderId="11" xfId="0" applyFont="1" applyFill="1" applyBorder="1" applyAlignment="1" applyProtection="1">
      <protection locked="0"/>
    </xf>
    <xf numFmtId="0" fontId="10" fillId="0" borderId="12" xfId="0" applyFont="1" applyFill="1" applyBorder="1" applyAlignment="1" applyProtection="1">
      <protection locked="0"/>
    </xf>
    <xf numFmtId="0" fontId="10" fillId="18" borderId="7" xfId="0" applyFont="1" applyFill="1" applyBorder="1" applyAlignment="1" applyProtection="1">
      <alignment horizontal="right"/>
      <protection locked="0"/>
    </xf>
    <xf numFmtId="2" fontId="11" fillId="8" borderId="8" xfId="0" applyNumberFormat="1" applyFont="1" applyFill="1" applyBorder="1" applyAlignment="1" applyProtection="1">
      <alignment horizontal="center"/>
    </xf>
    <xf numFmtId="2" fontId="11" fillId="10" borderId="7" xfId="0" applyNumberFormat="1" applyFont="1" applyFill="1" applyBorder="1" applyAlignment="1" applyProtection="1">
      <alignment horizontal="center"/>
    </xf>
    <xf numFmtId="2" fontId="11" fillId="10" borderId="36" xfId="0" applyNumberFormat="1" applyFont="1" applyFill="1" applyBorder="1" applyAlignment="1" applyProtection="1">
      <alignment horizontal="center"/>
    </xf>
    <xf numFmtId="2" fontId="11" fillId="11" borderId="8" xfId="0" applyNumberFormat="1" applyFont="1" applyFill="1" applyBorder="1" applyAlignment="1" applyProtection="1">
      <alignment horizontal="center"/>
    </xf>
    <xf numFmtId="2" fontId="11" fillId="11" borderId="7" xfId="0" applyNumberFormat="1" applyFont="1" applyFill="1" applyBorder="1" applyAlignment="1" applyProtection="1">
      <alignment horizontal="center" vertical="center"/>
    </xf>
    <xf numFmtId="2" fontId="11" fillId="11" borderId="7" xfId="0" applyNumberFormat="1" applyFont="1" applyFill="1" applyBorder="1" applyAlignment="1" applyProtection="1">
      <alignment horizontal="center"/>
    </xf>
    <xf numFmtId="2" fontId="11" fillId="11" borderId="36" xfId="0" applyNumberFormat="1" applyFont="1" applyFill="1" applyBorder="1" applyAlignment="1" applyProtection="1">
      <alignment horizontal="center"/>
    </xf>
    <xf numFmtId="0" fontId="12" fillId="0" borderId="7" xfId="0" applyFont="1" applyBorder="1" applyAlignment="1" applyProtection="1">
      <alignment horizontal="center"/>
    </xf>
    <xf numFmtId="0" fontId="0" fillId="0" borderId="0" xfId="0" applyFill="1" applyBorder="1" applyAlignment="1">
      <alignment horizontal="center"/>
    </xf>
    <xf numFmtId="2" fontId="0" fillId="0" borderId="2" xfId="3" applyNumberFormat="1" applyFont="1" applyFill="1" applyBorder="1" applyAlignment="1">
      <alignment horizontal="right" vertical="center"/>
    </xf>
    <xf numFmtId="0" fontId="0" fillId="0" borderId="2" xfId="3" applyFont="1" applyFill="1" applyBorder="1" applyAlignment="1">
      <alignment horizontal="right" vertical="center"/>
    </xf>
    <xf numFmtId="1" fontId="0" fillId="0" borderId="3" xfId="3" applyNumberFormat="1" applyFont="1" applyFill="1" applyBorder="1" applyAlignment="1">
      <alignment horizontal="right" vertical="center"/>
    </xf>
    <xf numFmtId="2" fontId="0" fillId="0" borderId="0" xfId="3" applyNumberFormat="1" applyFont="1" applyFill="1" applyBorder="1" applyAlignment="1">
      <alignment horizontal="right" vertical="center"/>
    </xf>
    <xf numFmtId="0" fontId="0" fillId="0" borderId="0" xfId="3" applyFont="1" applyFill="1" applyBorder="1" applyAlignment="1">
      <alignment horizontal="right" vertical="center"/>
    </xf>
    <xf numFmtId="0" fontId="16" fillId="0" borderId="0" xfId="3" applyFill="1" applyBorder="1" applyAlignment="1">
      <alignment horizontal="right" vertical="center"/>
    </xf>
    <xf numFmtId="0" fontId="0" fillId="0" borderId="5" xfId="0" applyBorder="1" applyAlignment="1">
      <alignment vertical="center" wrapText="1"/>
    </xf>
    <xf numFmtId="0" fontId="0" fillId="0" borderId="29" xfId="0" applyFill="1" applyBorder="1" applyAlignment="1">
      <alignment vertical="center" wrapText="1"/>
    </xf>
    <xf numFmtId="0" fontId="0" fillId="0" borderId="29" xfId="0" applyBorder="1" applyAlignment="1">
      <alignment horizontal="center"/>
    </xf>
    <xf numFmtId="0" fontId="0" fillId="0" borderId="2" xfId="0" applyFill="1" applyBorder="1" applyAlignment="1"/>
    <xf numFmtId="0" fontId="0" fillId="0" borderId="33" xfId="0" applyFill="1" applyBorder="1" applyAlignment="1">
      <alignment horizontal="center"/>
    </xf>
    <xf numFmtId="0" fontId="0" fillId="0" borderId="29" xfId="0" applyFill="1" applyBorder="1" applyAlignment="1">
      <alignment horizontal="center"/>
    </xf>
    <xf numFmtId="0" fontId="0" fillId="0" borderId="35" xfId="0" applyFill="1" applyBorder="1" applyAlignment="1">
      <alignment horizontal="center"/>
    </xf>
    <xf numFmtId="0" fontId="7" fillId="0" borderId="29" xfId="0" applyFont="1" applyBorder="1" applyAlignment="1">
      <alignment vertical="center"/>
    </xf>
    <xf numFmtId="0" fontId="1" fillId="0" borderId="29" xfId="0" applyFont="1" applyBorder="1" applyAlignment="1"/>
    <xf numFmtId="164" fontId="0" fillId="0" borderId="29" xfId="0" applyNumberFormat="1" applyFill="1" applyBorder="1" applyAlignment="1">
      <alignment vertical="center" wrapText="1"/>
    </xf>
    <xf numFmtId="0" fontId="0" fillId="0" borderId="29" xfId="0" applyBorder="1" applyAlignment="1"/>
    <xf numFmtId="0" fontId="0" fillId="0" borderId="29" xfId="0" applyBorder="1" applyAlignment="1">
      <alignment vertical="center" wrapText="1"/>
    </xf>
    <xf numFmtId="0" fontId="0" fillId="0" borderId="29" xfId="0" applyFill="1" applyBorder="1" applyAlignment="1">
      <alignment vertical="center"/>
    </xf>
    <xf numFmtId="0" fontId="3" fillId="0" borderId="4" xfId="1" applyFont="1" applyFill="1" applyBorder="1" applyAlignment="1">
      <alignment horizontal="center" vertical="center" wrapText="1"/>
    </xf>
    <xf numFmtId="0" fontId="0" fillId="0" borderId="3" xfId="0" quotePrefix="1" applyFill="1" applyBorder="1" applyAlignment="1">
      <alignment vertical="center" wrapText="1"/>
    </xf>
    <xf numFmtId="0" fontId="6" fillId="7" borderId="18" xfId="1" applyFont="1" applyFill="1" applyBorder="1" applyAlignment="1">
      <alignment horizontal="center" vertical="center" wrapText="1"/>
    </xf>
    <xf numFmtId="0" fontId="3" fillId="0" borderId="22" xfId="1" applyFont="1" applyFill="1" applyBorder="1" applyAlignment="1">
      <alignment horizontal="center" vertical="center" wrapText="1"/>
    </xf>
    <xf numFmtId="0" fontId="3" fillId="0" borderId="23" xfId="1" applyFont="1" applyFill="1" applyBorder="1" applyAlignment="1">
      <alignment horizontal="center" vertical="center" wrapText="1"/>
    </xf>
    <xf numFmtId="0" fontId="11" fillId="11" borderId="9" xfId="0" applyFont="1" applyFill="1" applyBorder="1" applyAlignment="1">
      <alignment horizontal="left" vertical="center"/>
    </xf>
    <xf numFmtId="0" fontId="0" fillId="11" borderId="7" xfId="0" applyFill="1" applyBorder="1" applyAlignment="1">
      <alignment vertical="center" wrapText="1"/>
    </xf>
    <xf numFmtId="0" fontId="0" fillId="8" borderId="7" xfId="0" applyFill="1" applyBorder="1" applyAlignment="1">
      <alignment vertical="center" wrapText="1"/>
    </xf>
    <xf numFmtId="0" fontId="1" fillId="14" borderId="7" xfId="0" applyFont="1" applyFill="1" applyBorder="1" applyAlignment="1">
      <alignment horizontal="left" wrapText="1"/>
    </xf>
    <xf numFmtId="0" fontId="0" fillId="9" borderId="7" xfId="0" applyFont="1" applyFill="1" applyBorder="1" applyAlignment="1">
      <alignment horizontal="left" vertical="center" wrapText="1"/>
    </xf>
    <xf numFmtId="0" fontId="0" fillId="11" borderId="7" xfId="0" applyFill="1" applyBorder="1" applyAlignment="1">
      <alignment horizontal="left" vertical="center" wrapText="1"/>
    </xf>
    <xf numFmtId="0" fontId="11" fillId="11" borderId="36" xfId="0" applyFont="1" applyFill="1" applyBorder="1" applyAlignment="1">
      <alignment horizontal="left" vertical="center"/>
    </xf>
    <xf numFmtId="0" fontId="11" fillId="11" borderId="7" xfId="0" applyFont="1" applyFill="1" applyBorder="1" applyAlignment="1">
      <alignment horizontal="left"/>
    </xf>
    <xf numFmtId="0" fontId="0" fillId="0" borderId="0" xfId="0" applyFill="1" applyAlignment="1">
      <alignment horizontal="center"/>
    </xf>
    <xf numFmtId="0" fontId="0" fillId="0" borderId="0" xfId="0" applyFill="1" applyBorder="1" applyAlignment="1">
      <alignment horizontal="center"/>
    </xf>
    <xf numFmtId="0" fontId="0" fillId="0" borderId="0" xfId="3" applyFont="1" applyFill="1" applyBorder="1" applyAlignment="1">
      <alignment horizontal="center" vertical="center"/>
    </xf>
    <xf numFmtId="2" fontId="11" fillId="10" borderId="0" xfId="0" applyNumberFormat="1" applyFont="1" applyFill="1" applyBorder="1" applyAlignment="1">
      <alignment horizontal="center"/>
    </xf>
    <xf numFmtId="0" fontId="0" fillId="0" borderId="0" xfId="0" applyAlignment="1">
      <alignment horizontal="center"/>
    </xf>
    <xf numFmtId="0" fontId="11" fillId="10" borderId="9" xfId="0" applyFont="1" applyFill="1" applyBorder="1" applyAlignment="1">
      <alignment horizontal="left" vertical="center"/>
    </xf>
    <xf numFmtId="0" fontId="11" fillId="11" borderId="36" xfId="0" applyFont="1" applyFill="1" applyBorder="1" applyAlignment="1">
      <alignment horizontal="left" vertical="center"/>
    </xf>
    <xf numFmtId="0" fontId="11" fillId="11" borderId="9" xfId="0" applyFont="1" applyFill="1" applyBorder="1" applyAlignment="1">
      <alignment horizontal="left" vertical="center"/>
    </xf>
    <xf numFmtId="0" fontId="11" fillId="8" borderId="8" xfId="0" applyFont="1" applyFill="1" applyBorder="1" applyAlignment="1">
      <alignment horizontal="left" vertical="center"/>
    </xf>
    <xf numFmtId="0" fontId="9" fillId="0" borderId="7" xfId="0" applyFont="1" applyBorder="1" applyAlignment="1">
      <alignment horizontal="center" vertical="center"/>
    </xf>
    <xf numFmtId="2" fontId="15" fillId="0" borderId="7" xfId="0" applyNumberFormat="1" applyFont="1" applyBorder="1" applyAlignment="1">
      <alignment horizontal="center" vertical="center"/>
    </xf>
    <xf numFmtId="0" fontId="12" fillId="0" borderId="12" xfId="0" applyFont="1" applyBorder="1" applyAlignment="1">
      <alignment horizontal="center"/>
    </xf>
    <xf numFmtId="2" fontId="11" fillId="0" borderId="7" xfId="0" applyNumberFormat="1" applyFont="1" applyBorder="1" applyAlignment="1" applyProtection="1">
      <alignment horizontal="center" vertical="center"/>
    </xf>
    <xf numFmtId="0" fontId="9" fillId="0" borderId="8" xfId="0" applyFont="1" applyBorder="1" applyAlignment="1">
      <alignment horizontal="center" vertical="center" wrapText="1"/>
    </xf>
    <xf numFmtId="0" fontId="9" fillId="0" borderId="7" xfId="0" applyFont="1" applyBorder="1" applyAlignment="1">
      <alignment horizontal="center"/>
    </xf>
    <xf numFmtId="0" fontId="11" fillId="11" borderId="36" xfId="0" applyFont="1" applyFill="1" applyBorder="1" applyAlignment="1">
      <alignment horizontal="left" vertical="center"/>
    </xf>
    <xf numFmtId="0" fontId="11" fillId="11" borderId="9" xfId="0" applyFont="1" applyFill="1" applyBorder="1" applyAlignment="1">
      <alignment horizontal="left" vertical="center"/>
    </xf>
    <xf numFmtId="0" fontId="11" fillId="8" borderId="8" xfId="0" applyFont="1" applyFill="1" applyBorder="1" applyAlignment="1">
      <alignment horizontal="left" vertical="center"/>
    </xf>
    <xf numFmtId="0" fontId="11" fillId="10" borderId="9" xfId="0" applyFont="1" applyFill="1" applyBorder="1" applyAlignment="1">
      <alignment horizontal="left" vertical="center"/>
    </xf>
    <xf numFmtId="0" fontId="0" fillId="11" borderId="7" xfId="0" applyFont="1" applyFill="1" applyBorder="1" applyAlignment="1">
      <alignment vertical="center" wrapText="1"/>
    </xf>
    <xf numFmtId="0" fontId="0" fillId="12" borderId="7" xfId="0" applyFill="1" applyBorder="1" applyAlignment="1">
      <alignment vertical="center" wrapText="1"/>
    </xf>
    <xf numFmtId="0" fontId="1" fillId="14" borderId="7" xfId="0" applyFont="1" applyFill="1" applyBorder="1" applyAlignment="1">
      <alignment horizontal="center" wrapText="1"/>
    </xf>
    <xf numFmtId="0" fontId="0" fillId="11" borderId="7" xfId="0" applyFill="1" applyBorder="1" applyAlignment="1">
      <alignment horizontal="center" vertical="center" wrapText="1"/>
    </xf>
    <xf numFmtId="0" fontId="12" fillId="0" borderId="7" xfId="0" applyFont="1" applyBorder="1" applyAlignment="1">
      <alignment horizontal="center" wrapText="1"/>
    </xf>
    <xf numFmtId="0" fontId="12" fillId="0" borderId="7" xfId="0" applyFont="1" applyFill="1" applyBorder="1" applyAlignment="1">
      <alignment horizontal="center" wrapText="1"/>
    </xf>
    <xf numFmtId="0" fontId="0" fillId="0" borderId="0" xfId="0" applyAlignment="1">
      <alignment wrapText="1"/>
    </xf>
    <xf numFmtId="0" fontId="0" fillId="0" borderId="0" xfId="0" applyFill="1" applyAlignment="1">
      <alignment wrapText="1"/>
    </xf>
    <xf numFmtId="0" fontId="10" fillId="0" borderId="0" xfId="0" applyFont="1" applyBorder="1" applyAlignment="1">
      <alignment wrapText="1"/>
    </xf>
    <xf numFmtId="1" fontId="11" fillId="0" borderId="0" xfId="0" applyNumberFormat="1" applyFont="1" applyBorder="1" applyAlignment="1">
      <alignment horizontal="center" wrapText="1"/>
    </xf>
    <xf numFmtId="9" fontId="11" fillId="0" borderId="0" xfId="2" applyFont="1" applyBorder="1" applyAlignment="1">
      <alignment horizontal="center" wrapText="1"/>
    </xf>
    <xf numFmtId="0" fontId="0" fillId="0" borderId="0" xfId="0" applyBorder="1" applyAlignment="1">
      <alignment wrapText="1"/>
    </xf>
    <xf numFmtId="0" fontId="1" fillId="0" borderId="0" xfId="0" applyFont="1" applyBorder="1" applyAlignment="1">
      <alignment wrapText="1"/>
    </xf>
    <xf numFmtId="0" fontId="11" fillId="0" borderId="0" xfId="0" applyFont="1" applyBorder="1" applyAlignment="1">
      <alignment horizontal="left" wrapText="1"/>
    </xf>
    <xf numFmtId="0" fontId="12" fillId="0" borderId="7" xfId="0" applyFont="1" applyFill="1" applyBorder="1" applyAlignment="1" applyProtection="1">
      <alignment horizontal="center" wrapText="1"/>
    </xf>
    <xf numFmtId="0" fontId="12" fillId="0" borderId="7" xfId="0" applyFont="1" applyBorder="1" applyAlignment="1" applyProtection="1">
      <alignment horizontal="center" wrapText="1"/>
    </xf>
    <xf numFmtId="0" fontId="0" fillId="0" borderId="0" xfId="0" applyFill="1" applyBorder="1" applyAlignment="1">
      <alignment horizontal="center"/>
    </xf>
    <xf numFmtId="0" fontId="11" fillId="0" borderId="13" xfId="0" applyFont="1" applyBorder="1" applyAlignment="1" applyProtection="1"/>
    <xf numFmtId="1" fontId="11" fillId="0" borderId="8" xfId="0" applyNumberFormat="1" applyFont="1" applyBorder="1" applyAlignment="1" applyProtection="1">
      <alignment horizontal="center"/>
    </xf>
    <xf numFmtId="0" fontId="0" fillId="0" borderId="14" xfId="0" applyBorder="1" applyAlignment="1"/>
    <xf numFmtId="1" fontId="11" fillId="0" borderId="24" xfId="0" applyNumberFormat="1" applyFont="1" applyBorder="1" applyAlignment="1">
      <alignment horizontal="center"/>
    </xf>
    <xf numFmtId="1" fontId="10" fillId="0" borderId="4" xfId="0" applyNumberFormat="1" applyFont="1" applyBorder="1" applyAlignment="1">
      <alignment horizontal="center"/>
    </xf>
    <xf numFmtId="1" fontId="20" fillId="0" borderId="4" xfId="0" applyNumberFormat="1" applyFont="1" applyBorder="1" applyAlignment="1">
      <alignment horizontal="center"/>
    </xf>
    <xf numFmtId="0" fontId="11" fillId="0" borderId="7" xfId="0" applyFont="1" applyBorder="1"/>
    <xf numFmtId="0" fontId="11" fillId="17" borderId="7" xfId="0" applyFont="1" applyFill="1" applyBorder="1" applyAlignment="1" applyProtection="1">
      <alignment horizontal="center"/>
      <protection locked="0"/>
    </xf>
    <xf numFmtId="0" fontId="11" fillId="0" borderId="7" xfId="0" applyFont="1" applyBorder="1"/>
    <xf numFmtId="0" fontId="11" fillId="17" borderId="7" xfId="0" applyFont="1" applyFill="1" applyBorder="1" applyAlignment="1" applyProtection="1">
      <alignment horizontal="center"/>
      <protection locked="0"/>
    </xf>
    <xf numFmtId="2" fontId="14" fillId="10" borderId="8" xfId="0" quotePrefix="1" applyNumberFormat="1" applyFont="1" applyFill="1" applyBorder="1" applyAlignment="1">
      <alignment horizontal="center" vertical="center"/>
    </xf>
    <xf numFmtId="2" fontId="11" fillId="8" borderId="37" xfId="0" applyNumberFormat="1" applyFont="1" applyFill="1" applyBorder="1" applyAlignment="1">
      <alignment horizontal="center"/>
    </xf>
    <xf numFmtId="2" fontId="11" fillId="9" borderId="0" xfId="0" applyNumberFormat="1" applyFont="1" applyFill="1" applyBorder="1" applyAlignment="1">
      <alignment horizontal="center"/>
    </xf>
    <xf numFmtId="2" fontId="11" fillId="10" borderId="8" xfId="0" applyNumberFormat="1" applyFont="1" applyFill="1" applyBorder="1" applyAlignment="1">
      <alignment horizontal="center"/>
    </xf>
    <xf numFmtId="2" fontId="11" fillId="10" borderId="9" xfId="0" applyNumberFormat="1" applyFont="1" applyFill="1" applyBorder="1" applyAlignment="1">
      <alignment horizontal="center"/>
    </xf>
    <xf numFmtId="2" fontId="11" fillId="10" borderId="33" xfId="0" applyNumberFormat="1" applyFont="1" applyFill="1" applyBorder="1" applyAlignment="1">
      <alignment horizontal="center"/>
    </xf>
    <xf numFmtId="2" fontId="11" fillId="11" borderId="0" xfId="0" applyNumberFormat="1" applyFont="1" applyFill="1" applyBorder="1" applyAlignment="1">
      <alignment horizontal="center"/>
    </xf>
    <xf numFmtId="2" fontId="11" fillId="11" borderId="11" xfId="0" applyNumberFormat="1" applyFont="1" applyFill="1" applyBorder="1" applyAlignment="1">
      <alignment horizontal="center"/>
    </xf>
    <xf numFmtId="2" fontId="11" fillId="12" borderId="8" xfId="0" applyNumberFormat="1" applyFont="1" applyFill="1" applyBorder="1" applyAlignment="1">
      <alignment horizontal="center"/>
    </xf>
    <xf numFmtId="2" fontId="11" fillId="12" borderId="36" xfId="0" applyNumberFormat="1" applyFont="1" applyFill="1" applyBorder="1" applyAlignment="1">
      <alignment horizontal="center"/>
    </xf>
    <xf numFmtId="2" fontId="11" fillId="12" borderId="9" xfId="0" applyNumberFormat="1" applyFont="1" applyFill="1" applyBorder="1" applyAlignment="1">
      <alignment horizontal="center"/>
    </xf>
    <xf numFmtId="0" fontId="0" fillId="12" borderId="7" xfId="0" applyFill="1" applyBorder="1" applyAlignment="1">
      <alignment horizontal="left" vertical="center" wrapText="1"/>
    </xf>
    <xf numFmtId="0" fontId="0" fillId="10" borderId="7" xfId="0" applyFill="1" applyBorder="1" applyAlignment="1">
      <alignment horizontal="left" vertical="center" wrapText="1"/>
    </xf>
    <xf numFmtId="0" fontId="0" fillId="8" borderId="7" xfId="0" applyFill="1" applyBorder="1" applyAlignment="1">
      <alignment horizontal="left" vertical="center" wrapText="1"/>
    </xf>
    <xf numFmtId="0" fontId="0" fillId="11" borderId="7" xfId="0" applyFill="1" applyBorder="1" applyAlignment="1">
      <alignment horizontal="center" vertical="center" wrapText="1"/>
    </xf>
    <xf numFmtId="0" fontId="0" fillId="10" borderId="7" xfId="0" applyFill="1" applyBorder="1" applyAlignment="1">
      <alignment horizontal="center" vertical="center" wrapText="1"/>
    </xf>
    <xf numFmtId="0" fontId="0" fillId="8" borderId="7" xfId="0" applyFill="1" applyBorder="1" applyAlignment="1">
      <alignment horizontal="center" vertical="center" wrapText="1"/>
    </xf>
    <xf numFmtId="0" fontId="0" fillId="9" borderId="7" xfId="0" applyFill="1" applyBorder="1" applyAlignment="1">
      <alignment vertical="center" wrapText="1"/>
    </xf>
    <xf numFmtId="0" fontId="0" fillId="10" borderId="7" xfId="0" applyFill="1" applyBorder="1" applyAlignment="1">
      <alignment vertical="center" wrapText="1"/>
    </xf>
    <xf numFmtId="0" fontId="0" fillId="10" borderId="9" xfId="0" applyFill="1" applyBorder="1" applyAlignment="1">
      <alignment vertical="center" wrapText="1"/>
    </xf>
    <xf numFmtId="0" fontId="4" fillId="6" borderId="0" xfId="1" applyFont="1" applyFill="1" applyBorder="1" applyAlignment="1">
      <alignment horizontal="center" vertical="center"/>
    </xf>
    <xf numFmtId="0" fontId="4" fillId="6" borderId="21" xfId="1" applyFont="1"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xf>
    <xf numFmtId="0" fontId="8" fillId="0" borderId="0" xfId="0" applyFont="1" applyFill="1"/>
    <xf numFmtId="0" fontId="12" fillId="0" borderId="0" xfId="0" applyFont="1" applyFill="1" applyBorder="1" applyAlignment="1">
      <alignment horizontal="center"/>
    </xf>
    <xf numFmtId="0" fontId="0" fillId="8" borderId="8" xfId="0" applyFill="1" applyBorder="1" applyAlignment="1">
      <alignment horizontal="center" vertical="center" wrapText="1"/>
    </xf>
    <xf numFmtId="0" fontId="0" fillId="8" borderId="8" xfId="0" applyFill="1" applyBorder="1" applyAlignment="1">
      <alignment horizontal="left" vertical="center" wrapText="1"/>
    </xf>
    <xf numFmtId="2" fontId="11" fillId="8" borderId="7" xfId="0" applyNumberFormat="1" applyFont="1" applyFill="1" applyBorder="1" applyAlignment="1">
      <alignment horizontal="center" vertical="center"/>
    </xf>
    <xf numFmtId="0" fontId="11" fillId="8" borderId="8" xfId="0" applyFont="1" applyFill="1" applyBorder="1" applyAlignment="1">
      <alignment horizontal="left" vertical="center"/>
    </xf>
    <xf numFmtId="2" fontId="11" fillId="8" borderId="8" xfId="0" applyNumberFormat="1" applyFont="1" applyFill="1" applyBorder="1" applyAlignment="1">
      <alignment horizontal="center" vertical="center"/>
    </xf>
    <xf numFmtId="2" fontId="11" fillId="8" borderId="7" xfId="0" applyNumberFormat="1" applyFont="1" applyFill="1" applyBorder="1" applyAlignment="1" applyProtection="1">
      <alignment horizontal="center" vertical="center"/>
    </xf>
    <xf numFmtId="2" fontId="11" fillId="8" borderId="8" xfId="0" applyNumberFormat="1" applyFont="1" applyFill="1" applyBorder="1" applyAlignment="1" applyProtection="1">
      <alignment horizontal="center" vertical="center"/>
    </xf>
    <xf numFmtId="0" fontId="11" fillId="8" borderId="7" xfId="0" applyFont="1" applyFill="1" applyBorder="1" applyAlignment="1">
      <alignment horizontal="left" vertical="center"/>
    </xf>
    <xf numFmtId="0" fontId="11" fillId="8" borderId="10" xfId="0" applyFont="1" applyFill="1" applyBorder="1" applyAlignment="1">
      <alignment horizontal="left" vertical="center"/>
    </xf>
    <xf numFmtId="2" fontId="11" fillId="8" borderId="12" xfId="0" applyNumberFormat="1" applyFont="1" applyFill="1" applyBorder="1" applyAlignment="1">
      <alignment horizontal="center"/>
    </xf>
    <xf numFmtId="0" fontId="11" fillId="8" borderId="10" xfId="0" applyFont="1" applyFill="1" applyBorder="1"/>
    <xf numFmtId="0" fontId="11" fillId="8" borderId="11" xfId="0" applyFont="1" applyFill="1" applyBorder="1"/>
    <xf numFmtId="0" fontId="0" fillId="10" borderId="7" xfId="0" applyFill="1" applyBorder="1" applyAlignment="1">
      <alignment horizontal="left" vertical="center" wrapText="1"/>
    </xf>
    <xf numFmtId="0" fontId="0" fillId="0" borderId="0" xfId="0"/>
    <xf numFmtId="0" fontId="10" fillId="0" borderId="13" xfId="0" applyFont="1" applyBorder="1" applyAlignment="1"/>
    <xf numFmtId="0" fontId="0" fillId="10" borderId="7" xfId="0" applyFill="1" applyBorder="1" applyAlignment="1">
      <alignment horizontal="left" vertical="center" wrapText="1"/>
    </xf>
    <xf numFmtId="2" fontId="11" fillId="8" borderId="8" xfId="0" applyNumberFormat="1" applyFont="1" applyFill="1" applyBorder="1" applyAlignment="1">
      <alignment horizontal="center" vertical="center"/>
    </xf>
    <xf numFmtId="2" fontId="0" fillId="0" borderId="7" xfId="0" applyNumberFormat="1" applyBorder="1" applyAlignment="1">
      <alignment horizontal="center"/>
    </xf>
    <xf numFmtId="0" fontId="1" fillId="0" borderId="7" xfId="0" applyFont="1" applyBorder="1" applyAlignment="1">
      <alignment horizontal="center" wrapText="1"/>
    </xf>
    <xf numFmtId="0" fontId="1" fillId="0" borderId="7" xfId="0" applyFont="1" applyFill="1" applyBorder="1" applyAlignment="1">
      <alignment horizontal="center" wrapText="1"/>
    </xf>
    <xf numFmtId="2" fontId="11" fillId="8" borderId="8" xfId="0" applyNumberFormat="1" applyFont="1" applyFill="1" applyBorder="1" applyAlignment="1">
      <alignment horizontal="center" vertical="center"/>
    </xf>
    <xf numFmtId="0" fontId="11" fillId="8" borderId="8" xfId="0" applyFont="1" applyFill="1" applyBorder="1" applyAlignment="1">
      <alignment horizontal="left" vertical="center"/>
    </xf>
    <xf numFmtId="0" fontId="11" fillId="10" borderId="9" xfId="0" applyFont="1" applyFill="1" applyBorder="1" applyAlignment="1">
      <alignment horizontal="left" vertical="center"/>
    </xf>
    <xf numFmtId="0" fontId="11" fillId="11" borderId="36" xfId="0" applyFont="1" applyFill="1" applyBorder="1" applyAlignment="1">
      <alignment horizontal="left" vertical="center"/>
    </xf>
    <xf numFmtId="0" fontId="11" fillId="11" borderId="9" xfId="0" applyFont="1" applyFill="1" applyBorder="1" applyAlignment="1">
      <alignment horizontal="left" vertical="center"/>
    </xf>
    <xf numFmtId="0" fontId="11" fillId="8" borderId="10" xfId="0" applyFont="1" applyFill="1" applyBorder="1" applyAlignment="1">
      <alignment horizontal="left" vertical="center"/>
    </xf>
    <xf numFmtId="15" fontId="0" fillId="0" borderId="0" xfId="0" applyNumberFormat="1" applyFill="1"/>
    <xf numFmtId="2" fontId="11" fillId="10" borderId="36" xfId="0" applyNumberFormat="1" applyFont="1" applyFill="1" applyBorder="1" applyAlignment="1">
      <alignment horizontal="center" vertical="center"/>
    </xf>
    <xf numFmtId="2" fontId="11" fillId="10" borderId="9" xfId="0" applyNumberFormat="1" applyFont="1" applyFill="1" applyBorder="1" applyAlignment="1">
      <alignment horizontal="center" vertical="center"/>
    </xf>
    <xf numFmtId="0" fontId="4" fillId="17" borderId="14" xfId="1" applyFont="1" applyFill="1" applyBorder="1" applyAlignment="1" applyProtection="1">
      <alignment horizontal="center" vertical="center" wrapText="1"/>
      <protection locked="0"/>
    </xf>
    <xf numFmtId="0" fontId="5" fillId="5" borderId="1" xfId="1" applyFont="1" applyFill="1" applyBorder="1" applyAlignment="1" applyProtection="1">
      <alignment horizontal="left" vertical="center"/>
      <protection locked="0"/>
    </xf>
    <xf numFmtId="0" fontId="5" fillId="5" borderId="2" xfId="1" applyFont="1" applyFill="1" applyBorder="1" applyAlignment="1" applyProtection="1">
      <alignment vertical="center"/>
      <protection locked="0"/>
    </xf>
    <xf numFmtId="0" fontId="5" fillId="5" borderId="3" xfId="1" applyFont="1" applyFill="1" applyBorder="1" applyAlignment="1" applyProtection="1">
      <alignment vertical="center"/>
      <protection locked="0"/>
    </xf>
    <xf numFmtId="0" fontId="3" fillId="0" borderId="24" xfId="1" applyFont="1" applyBorder="1" applyAlignment="1" applyProtection="1">
      <alignment horizontal="center" vertical="center" wrapText="1"/>
      <protection locked="0"/>
    </xf>
    <xf numFmtId="0" fontId="3" fillId="0" borderId="30" xfId="1" applyFont="1" applyBorder="1" applyAlignment="1" applyProtection="1">
      <alignment horizontal="center" vertical="center" wrapText="1"/>
      <protection locked="0"/>
    </xf>
    <xf numFmtId="0" fontId="3" fillId="0" borderId="31" xfId="1" applyFont="1" applyFill="1" applyBorder="1" applyAlignment="1" applyProtection="1">
      <alignment horizontal="center" vertical="center" wrapText="1"/>
      <protection locked="0"/>
    </xf>
    <xf numFmtId="0" fontId="3" fillId="0" borderId="32" xfId="1" applyFont="1" applyBorder="1" applyAlignment="1" applyProtection="1">
      <alignment horizontal="center" vertical="center" wrapText="1"/>
      <protection locked="0"/>
    </xf>
    <xf numFmtId="0" fontId="3" fillId="0" borderId="39" xfId="1" applyFont="1" applyFill="1" applyBorder="1" applyAlignment="1" applyProtection="1">
      <alignment vertical="center" wrapText="1"/>
      <protection locked="0"/>
    </xf>
    <xf numFmtId="0" fontId="3" fillId="0" borderId="39" xfId="1" applyFont="1" applyBorder="1" applyAlignment="1" applyProtection="1">
      <alignment horizontal="center" vertical="center" wrapText="1"/>
      <protection locked="0"/>
    </xf>
    <xf numFmtId="0" fontId="0" fillId="0" borderId="0" xfId="0" applyProtection="1">
      <protection locked="0"/>
    </xf>
    <xf numFmtId="0" fontId="9" fillId="0" borderId="0" xfId="0" applyFont="1" applyBorder="1" applyAlignment="1" applyProtection="1">
      <alignment vertical="top"/>
      <protection locked="0"/>
    </xf>
    <xf numFmtId="0" fontId="0" fillId="0" borderId="0" xfId="0" applyBorder="1" applyProtection="1">
      <protection locked="0"/>
    </xf>
    <xf numFmtId="0" fontId="1" fillId="0" borderId="8" xfId="0" applyFont="1" applyFill="1" applyBorder="1" applyAlignment="1">
      <alignment horizontal="center" wrapText="1"/>
    </xf>
    <xf numFmtId="2" fontId="0" fillId="14" borderId="0" xfId="0" applyNumberFormat="1" applyFill="1" applyBorder="1" applyAlignment="1">
      <alignment horizontal="center"/>
    </xf>
    <xf numFmtId="0" fontId="1" fillId="0" borderId="50" xfId="0" applyFont="1" applyBorder="1" applyAlignment="1">
      <alignment horizontal="center"/>
    </xf>
    <xf numFmtId="0" fontId="1" fillId="0" borderId="51" xfId="0" applyFont="1" applyFill="1" applyBorder="1" applyAlignment="1">
      <alignment horizontal="center" wrapText="1"/>
    </xf>
    <xf numFmtId="0" fontId="0" fillId="0" borderId="50" xfId="0" applyBorder="1" applyAlignment="1">
      <alignment horizontal="center"/>
    </xf>
    <xf numFmtId="2" fontId="0" fillId="0" borderId="51" xfId="0" applyNumberFormat="1" applyBorder="1" applyAlignment="1">
      <alignment horizontal="center"/>
    </xf>
    <xf numFmtId="0" fontId="0" fillId="0" borderId="52" xfId="0" applyBorder="1" applyAlignment="1">
      <alignment horizontal="center"/>
    </xf>
    <xf numFmtId="2" fontId="0" fillId="0" borderId="53" xfId="0" applyNumberFormat="1" applyBorder="1" applyAlignment="1">
      <alignment horizontal="center"/>
    </xf>
    <xf numFmtId="2" fontId="0" fillId="14" borderId="5" xfId="0" applyNumberFormat="1" applyFill="1" applyBorder="1" applyAlignment="1">
      <alignment horizontal="center"/>
    </xf>
    <xf numFmtId="2" fontId="0" fillId="0" borderId="54" xfId="0" applyNumberFormat="1" applyBorder="1" applyAlignment="1">
      <alignment horizontal="center"/>
    </xf>
    <xf numFmtId="0" fontId="23" fillId="14" borderId="0" xfId="0" applyFont="1" applyFill="1" applyBorder="1" applyAlignment="1" applyProtection="1">
      <alignment horizontal="left" wrapText="1"/>
      <protection locked="0"/>
    </xf>
    <xf numFmtId="0" fontId="26" fillId="11" borderId="0" xfId="0" applyFont="1" applyFill="1"/>
    <xf numFmtId="0" fontId="0" fillId="11" borderId="0" xfId="0" applyFill="1"/>
    <xf numFmtId="14" fontId="26" fillId="11" borderId="0" xfId="0" applyNumberFormat="1" applyFont="1" applyFill="1" applyAlignment="1">
      <alignment horizontal="center"/>
    </xf>
    <xf numFmtId="0" fontId="23" fillId="0" borderId="0" xfId="0" applyFont="1" applyBorder="1" applyAlignment="1" applyProtection="1">
      <alignment horizontal="left" wrapText="1"/>
      <protection locked="0"/>
    </xf>
    <xf numFmtId="0" fontId="10" fillId="0" borderId="1" xfId="0" applyFont="1" applyBorder="1" applyAlignment="1" applyProtection="1">
      <alignment horizontal="left" vertical="top"/>
      <protection locked="0"/>
    </xf>
    <xf numFmtId="0" fontId="10" fillId="0" borderId="2" xfId="0" applyFont="1" applyBorder="1" applyAlignment="1" applyProtection="1">
      <alignment horizontal="left" vertical="top"/>
      <protection locked="0"/>
    </xf>
    <xf numFmtId="0" fontId="10" fillId="0" borderId="3" xfId="0" applyFont="1" applyBorder="1" applyAlignment="1" applyProtection="1">
      <alignment horizontal="left" vertical="top"/>
      <protection locked="0"/>
    </xf>
    <xf numFmtId="0" fontId="24" fillId="0" borderId="0" xfId="0" applyFont="1" applyAlignment="1">
      <alignment horizontal="left"/>
    </xf>
    <xf numFmtId="0" fontId="0" fillId="0" borderId="48" xfId="0" applyBorder="1" applyAlignment="1" applyProtection="1">
      <alignment horizontal="center"/>
      <protection locked="0"/>
    </xf>
    <xf numFmtId="0" fontId="0" fillId="0" borderId="0" xfId="0" applyBorder="1" applyAlignment="1" applyProtection="1">
      <alignment horizontal="center"/>
      <protection locked="0"/>
    </xf>
    <xf numFmtId="0" fontId="0" fillId="0" borderId="38"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9" fillId="0" borderId="43" xfId="0" applyFont="1" applyBorder="1" applyAlignment="1">
      <alignment horizontal="center"/>
    </xf>
    <xf numFmtId="0" fontId="9" fillId="0" borderId="44" xfId="0" applyFont="1" applyBorder="1" applyAlignment="1">
      <alignment horizontal="center"/>
    </xf>
    <xf numFmtId="0" fontId="9" fillId="0" borderId="45" xfId="0" applyFont="1" applyBorder="1" applyAlignment="1">
      <alignment horizontal="center"/>
    </xf>
    <xf numFmtId="0" fontId="0" fillId="0" borderId="1" xfId="0" applyBorder="1" applyAlignment="1" applyProtection="1">
      <alignment horizontal="center" vertical="top" wrapText="1"/>
      <protection locked="0"/>
    </xf>
    <xf numFmtId="0" fontId="0" fillId="0" borderId="3" xfId="0" applyBorder="1" applyAlignment="1" applyProtection="1">
      <alignment horizontal="center" vertical="top"/>
      <protection locked="0"/>
    </xf>
    <xf numFmtId="0" fontId="0" fillId="0" borderId="48" xfId="0" applyBorder="1" applyAlignment="1" applyProtection="1">
      <alignment horizontal="center" vertical="top"/>
      <protection locked="0"/>
    </xf>
    <xf numFmtId="0" fontId="0" fillId="0" borderId="38" xfId="0" applyBorder="1" applyAlignment="1" applyProtection="1">
      <alignment horizontal="center" vertical="top"/>
      <protection locked="0"/>
    </xf>
    <xf numFmtId="0" fontId="0" fillId="0" borderId="4" xfId="0" applyBorder="1" applyAlignment="1" applyProtection="1">
      <alignment horizontal="center" vertical="top"/>
      <protection locked="0"/>
    </xf>
    <xf numFmtId="0" fontId="0" fillId="0" borderId="6" xfId="0" applyBorder="1" applyAlignment="1" applyProtection="1">
      <alignment horizontal="center" vertical="top"/>
      <protection locked="0"/>
    </xf>
    <xf numFmtId="0" fontId="0" fillId="0" borderId="48" xfId="0" applyBorder="1" applyAlignment="1" applyProtection="1">
      <alignment horizontal="center" vertical="top" wrapText="1"/>
      <protection locked="0"/>
    </xf>
    <xf numFmtId="0" fontId="0" fillId="0" borderId="3" xfId="0" applyBorder="1" applyAlignment="1" applyProtection="1">
      <alignment horizontal="center" vertical="top" wrapText="1"/>
      <protection locked="0"/>
    </xf>
    <xf numFmtId="0" fontId="0" fillId="0" borderId="38" xfId="0" applyBorder="1" applyAlignment="1" applyProtection="1">
      <alignment horizontal="center" vertical="top" wrapText="1"/>
      <protection locked="0"/>
    </xf>
    <xf numFmtId="0" fontId="0" fillId="0" borderId="4" xfId="0" applyBorder="1" applyAlignment="1" applyProtection="1">
      <alignment horizontal="center" vertical="top" wrapText="1"/>
      <protection locked="0"/>
    </xf>
    <xf numFmtId="0" fontId="0" fillId="0" borderId="6" xfId="0" applyBorder="1" applyAlignment="1" applyProtection="1">
      <alignment horizontal="center" vertical="top" wrapText="1"/>
      <protection locked="0"/>
    </xf>
    <xf numFmtId="0" fontId="10" fillId="0" borderId="14" xfId="0" applyFont="1" applyBorder="1" applyAlignment="1" applyProtection="1">
      <protection locked="0"/>
    </xf>
    <xf numFmtId="0" fontId="10" fillId="0" borderId="13" xfId="0" applyFont="1" applyBorder="1" applyAlignment="1" applyProtection="1">
      <protection locked="0"/>
    </xf>
    <xf numFmtId="0" fontId="10" fillId="0" borderId="15" xfId="0" applyFont="1" applyBorder="1" applyAlignment="1" applyProtection="1">
      <protection locked="0"/>
    </xf>
    <xf numFmtId="0" fontId="0" fillId="0" borderId="48" xfId="0" applyBorder="1" applyAlignment="1" applyProtection="1">
      <alignment vertical="top" wrapText="1"/>
      <protection locked="0"/>
    </xf>
    <xf numFmtId="0" fontId="0" fillId="0" borderId="38" xfId="0" applyBorder="1" applyAlignment="1" applyProtection="1">
      <alignment vertical="top"/>
      <protection locked="0"/>
    </xf>
    <xf numFmtId="0" fontId="0" fillId="0" borderId="48" xfId="0" applyBorder="1" applyAlignment="1" applyProtection="1">
      <alignment vertical="top"/>
      <protection locked="0"/>
    </xf>
    <xf numFmtId="0" fontId="0" fillId="0" borderId="4" xfId="0" applyBorder="1" applyAlignment="1" applyProtection="1">
      <alignment vertical="top"/>
      <protection locked="0"/>
    </xf>
    <xf numFmtId="0" fontId="0" fillId="0" borderId="6" xfId="0" applyBorder="1" applyAlignment="1" applyProtection="1">
      <alignment vertical="top"/>
      <protection locked="0"/>
    </xf>
    <xf numFmtId="0" fontId="0" fillId="0" borderId="48"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38" xfId="0" applyBorder="1" applyAlignment="1" applyProtection="1">
      <alignment horizontal="left" vertical="top"/>
      <protection locked="0"/>
    </xf>
    <xf numFmtId="0" fontId="0" fillId="0" borderId="4"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48" xfId="0" applyFont="1" applyFill="1" applyBorder="1" applyAlignment="1" applyProtection="1">
      <alignment horizontal="left" vertical="top"/>
      <protection locked="0"/>
    </xf>
    <xf numFmtId="0" fontId="0" fillId="0" borderId="0" xfId="0" applyFont="1" applyFill="1" applyBorder="1" applyAlignment="1" applyProtection="1">
      <alignment horizontal="left" vertical="top"/>
      <protection locked="0"/>
    </xf>
    <xf numFmtId="0" fontId="0" fillId="0" borderId="38" xfId="0" applyFont="1" applyFill="1" applyBorder="1" applyAlignment="1" applyProtection="1">
      <alignment horizontal="left" vertical="top"/>
      <protection locked="0"/>
    </xf>
    <xf numFmtId="0" fontId="0" fillId="0" borderId="4" xfId="0" applyFont="1" applyFill="1" applyBorder="1" applyAlignment="1" applyProtection="1">
      <alignment horizontal="left" vertical="top"/>
      <protection locked="0"/>
    </xf>
    <xf numFmtId="0" fontId="0" fillId="0" borderId="5" xfId="0" applyFont="1" applyFill="1" applyBorder="1" applyAlignment="1" applyProtection="1">
      <alignment horizontal="left" vertical="top"/>
      <protection locked="0"/>
    </xf>
    <xf numFmtId="0" fontId="0" fillId="0" borderId="6" xfId="0" applyFont="1" applyFill="1" applyBorder="1" applyAlignment="1" applyProtection="1">
      <alignment horizontal="left" vertical="top"/>
      <protection locked="0"/>
    </xf>
    <xf numFmtId="0" fontId="25" fillId="0" borderId="13" xfId="1" applyFont="1" applyBorder="1" applyAlignment="1">
      <alignment horizontal="center"/>
    </xf>
    <xf numFmtId="0" fontId="25" fillId="0" borderId="14" xfId="1" applyFont="1" applyBorder="1" applyAlignment="1">
      <alignment horizontal="center"/>
    </xf>
    <xf numFmtId="0" fontId="25" fillId="0" borderId="15" xfId="1" applyFont="1" applyBorder="1" applyAlignment="1">
      <alignment horizontal="center"/>
    </xf>
    <xf numFmtId="0" fontId="5" fillId="0" borderId="4" xfId="1" applyFont="1" applyBorder="1" applyAlignment="1" applyProtection="1">
      <alignment horizontal="left"/>
      <protection locked="0"/>
    </xf>
    <xf numFmtId="0" fontId="5" fillId="0" borderId="5" xfId="1" applyFont="1" applyBorder="1" applyAlignment="1" applyProtection="1">
      <alignment horizontal="left"/>
      <protection locked="0"/>
    </xf>
    <xf numFmtId="0" fontId="5" fillId="0" borderId="6" xfId="1" applyFont="1" applyBorder="1" applyAlignment="1" applyProtection="1">
      <alignment horizontal="left"/>
      <protection locked="0"/>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48" xfId="1" applyFont="1" applyBorder="1" applyAlignment="1">
      <alignment horizontal="left" vertical="center" wrapText="1"/>
    </xf>
    <xf numFmtId="0" fontId="5" fillId="0" borderId="0" xfId="1" applyFont="1" applyBorder="1" applyAlignment="1">
      <alignment horizontal="left" vertical="center" wrapText="1"/>
    </xf>
    <xf numFmtId="0" fontId="5" fillId="0" borderId="38" xfId="1" applyFont="1" applyBorder="1" applyAlignment="1">
      <alignment horizontal="left" vertical="center" wrapText="1"/>
    </xf>
    <xf numFmtId="0" fontId="5" fillId="0" borderId="4" xfId="1" applyFont="1" applyBorder="1" applyAlignment="1">
      <alignment horizontal="left" vertical="center" wrapText="1"/>
    </xf>
    <xf numFmtId="0" fontId="5" fillId="0" borderId="5" xfId="1" applyFont="1" applyBorder="1" applyAlignment="1">
      <alignment horizontal="left" vertical="center" wrapText="1"/>
    </xf>
    <xf numFmtId="0" fontId="5" fillId="0" borderId="6" xfId="1" applyFont="1" applyBorder="1" applyAlignment="1">
      <alignment horizontal="left" vertical="center" wrapText="1"/>
    </xf>
    <xf numFmtId="0" fontId="6" fillId="7" borderId="18" xfId="1" applyFont="1" applyFill="1" applyBorder="1" applyAlignment="1">
      <alignment horizontal="center" vertical="center" wrapText="1"/>
    </xf>
    <xf numFmtId="0" fontId="6" fillId="7" borderId="17" xfId="1" applyFont="1" applyFill="1" applyBorder="1" applyAlignment="1">
      <alignment horizontal="center" vertical="center" wrapText="1"/>
    </xf>
    <xf numFmtId="0" fontId="6" fillId="7" borderId="41" xfId="1" applyFont="1" applyFill="1" applyBorder="1" applyAlignment="1">
      <alignment horizontal="center" vertical="center" wrapText="1"/>
    </xf>
    <xf numFmtId="0" fontId="6" fillId="7" borderId="42" xfId="1" applyFont="1" applyFill="1" applyBorder="1" applyAlignment="1">
      <alignment horizontal="center" vertical="center" wrapText="1"/>
    </xf>
    <xf numFmtId="0" fontId="6" fillId="7" borderId="8" xfId="1" applyFont="1" applyFill="1" applyBorder="1" applyAlignment="1">
      <alignment horizontal="center" vertical="center" wrapText="1"/>
    </xf>
    <xf numFmtId="0" fontId="6" fillId="7" borderId="40" xfId="1" applyFont="1" applyFill="1" applyBorder="1" applyAlignment="1">
      <alignment horizontal="center" vertical="center" wrapText="1"/>
    </xf>
    <xf numFmtId="0" fontId="6" fillId="0" borderId="13" xfId="1" applyFont="1" applyFill="1" applyBorder="1" applyAlignment="1">
      <alignment horizontal="center" vertical="center" wrapText="1"/>
    </xf>
    <xf numFmtId="0" fontId="6" fillId="0" borderId="14" xfId="1" applyFont="1" applyFill="1" applyBorder="1" applyAlignment="1">
      <alignment horizontal="center" vertical="center" wrapText="1"/>
    </xf>
    <xf numFmtId="0" fontId="6" fillId="0" borderId="15" xfId="1" applyFont="1" applyFill="1" applyBorder="1" applyAlignment="1">
      <alignment horizontal="center" vertical="center" wrapText="1"/>
    </xf>
    <xf numFmtId="0" fontId="4" fillId="6" borderId="20" xfId="1" applyFont="1" applyFill="1" applyBorder="1" applyAlignment="1">
      <alignment horizontal="center" vertical="center"/>
    </xf>
    <xf numFmtId="0" fontId="4" fillId="6" borderId="0" xfId="1" applyFont="1" applyFill="1" applyBorder="1" applyAlignment="1">
      <alignment horizontal="center" vertical="center"/>
    </xf>
    <xf numFmtId="0" fontId="3" fillId="0" borderId="2" xfId="1" applyFont="1" applyBorder="1" applyAlignment="1" applyProtection="1">
      <alignment horizontal="left" vertical="top"/>
      <protection locked="0"/>
    </xf>
    <xf numFmtId="0" fontId="3" fillId="0" borderId="3" xfId="1" applyFont="1" applyBorder="1" applyAlignment="1" applyProtection="1">
      <alignment horizontal="left" vertical="top"/>
      <protection locked="0"/>
    </xf>
    <xf numFmtId="0" fontId="3" fillId="0" borderId="48" xfId="1" applyFont="1" applyBorder="1" applyAlignment="1" applyProtection="1">
      <alignment horizontal="left" vertical="top"/>
      <protection locked="0"/>
    </xf>
    <xf numFmtId="0" fontId="3" fillId="0" borderId="0" xfId="1" applyFont="1" applyBorder="1" applyAlignment="1" applyProtection="1">
      <alignment horizontal="left" vertical="top"/>
      <protection locked="0"/>
    </xf>
    <xf numFmtId="0" fontId="3" fillId="0" borderId="38" xfId="1" applyFont="1" applyBorder="1" applyAlignment="1" applyProtection="1">
      <alignment horizontal="left" vertical="top"/>
      <protection locked="0"/>
    </xf>
    <xf numFmtId="0" fontId="3" fillId="0" borderId="4" xfId="1" applyFont="1" applyBorder="1" applyAlignment="1" applyProtection="1">
      <alignment horizontal="left" vertical="top"/>
      <protection locked="0"/>
    </xf>
    <xf numFmtId="0" fontId="3" fillId="0" borderId="5" xfId="1" applyFont="1" applyBorder="1" applyAlignment="1" applyProtection="1">
      <alignment horizontal="left" vertical="top"/>
      <protection locked="0"/>
    </xf>
    <xf numFmtId="0" fontId="3" fillId="0" borderId="6" xfId="1" applyFont="1" applyBorder="1" applyAlignment="1" applyProtection="1">
      <alignment horizontal="left" vertical="top"/>
      <protection locked="0"/>
    </xf>
    <xf numFmtId="0" fontId="6" fillId="7" borderId="10" xfId="1" applyFont="1" applyFill="1" applyBorder="1" applyAlignment="1">
      <alignment horizontal="center" vertical="center" wrapText="1"/>
    </xf>
    <xf numFmtId="0" fontId="6" fillId="7" borderId="11" xfId="1" applyFont="1" applyFill="1" applyBorder="1" applyAlignment="1">
      <alignment horizontal="center" vertical="center" wrapText="1"/>
    </xf>
    <xf numFmtId="0" fontId="6" fillId="7" borderId="12" xfId="1" applyFont="1" applyFill="1" applyBorder="1" applyAlignment="1">
      <alignment horizontal="center" vertical="center" wrapText="1"/>
    </xf>
    <xf numFmtId="0" fontId="0" fillId="12" borderId="7" xfId="0" applyFill="1" applyBorder="1" applyAlignment="1">
      <alignment horizontal="left" vertical="center" wrapText="1"/>
    </xf>
    <xf numFmtId="0" fontId="0" fillId="10" borderId="7" xfId="0" applyFill="1" applyBorder="1" applyAlignment="1">
      <alignment horizontal="left" vertical="center" wrapText="1"/>
    </xf>
    <xf numFmtId="0" fontId="0" fillId="11" borderId="7" xfId="0" applyFill="1" applyBorder="1" applyAlignment="1">
      <alignment horizontal="center" vertical="center" wrapText="1"/>
    </xf>
    <xf numFmtId="0" fontId="0" fillId="12" borderId="7" xfId="0" applyFill="1" applyBorder="1" applyAlignment="1">
      <alignment horizontal="center" vertical="center" wrapText="1"/>
    </xf>
    <xf numFmtId="0" fontId="0" fillId="8" borderId="8" xfId="0" applyFill="1" applyBorder="1" applyAlignment="1">
      <alignment horizontal="center" vertical="center" wrapText="1"/>
    </xf>
    <xf numFmtId="0" fontId="0" fillId="8" borderId="36" xfId="0" applyFill="1" applyBorder="1" applyAlignment="1">
      <alignment horizontal="center" vertical="center" wrapText="1"/>
    </xf>
    <xf numFmtId="0" fontId="0" fillId="9" borderId="7" xfId="0" applyFont="1" applyFill="1" applyBorder="1" applyAlignment="1">
      <alignment horizontal="center" vertical="center" wrapText="1"/>
    </xf>
    <xf numFmtId="0" fontId="0" fillId="9" borderId="7" xfId="0" applyFill="1" applyBorder="1" applyAlignment="1">
      <alignment horizontal="left" vertical="center" wrapText="1"/>
    </xf>
    <xf numFmtId="0" fontId="0" fillId="10" borderId="7" xfId="0" applyFill="1" applyBorder="1" applyAlignment="1">
      <alignment horizontal="center" vertical="center" wrapText="1"/>
    </xf>
    <xf numFmtId="0" fontId="0" fillId="10" borderId="8" xfId="0" applyFill="1" applyBorder="1" applyAlignment="1">
      <alignment horizontal="center" vertical="center" wrapText="1"/>
    </xf>
    <xf numFmtId="0" fontId="0" fillId="10" borderId="36" xfId="0" applyFill="1" applyBorder="1" applyAlignment="1">
      <alignment horizontal="center" vertical="center" wrapText="1"/>
    </xf>
    <xf numFmtId="0" fontId="0" fillId="10" borderId="9" xfId="0" applyFill="1" applyBorder="1" applyAlignment="1">
      <alignment horizontal="center" vertical="center" wrapText="1"/>
    </xf>
    <xf numFmtId="0" fontId="0" fillId="10" borderId="8" xfId="0" applyFill="1" applyBorder="1" applyAlignment="1">
      <alignment horizontal="left" vertical="center" wrapText="1"/>
    </xf>
    <xf numFmtId="0" fontId="0" fillId="10" borderId="36" xfId="0" applyFill="1" applyBorder="1" applyAlignment="1">
      <alignment horizontal="left" vertical="center" wrapText="1"/>
    </xf>
    <xf numFmtId="0" fontId="0" fillId="10" borderId="9" xfId="0" applyFill="1" applyBorder="1" applyAlignment="1">
      <alignment horizontal="left" vertical="center" wrapText="1"/>
    </xf>
    <xf numFmtId="0" fontId="11" fillId="0" borderId="7" xfId="0" applyFont="1" applyBorder="1" applyAlignment="1">
      <alignment horizontal="center" vertical="center" wrapText="1"/>
    </xf>
    <xf numFmtId="0" fontId="11" fillId="10" borderId="36" xfId="0" applyFont="1" applyFill="1" applyBorder="1" applyAlignment="1">
      <alignment horizontal="left" vertical="center"/>
    </xf>
    <xf numFmtId="0" fontId="11" fillId="10" borderId="9" xfId="0" applyFont="1" applyFill="1" applyBorder="1" applyAlignment="1">
      <alignment horizontal="left" vertical="center"/>
    </xf>
    <xf numFmtId="2" fontId="11" fillId="8" borderId="7" xfId="0" applyNumberFormat="1" applyFont="1" applyFill="1" applyBorder="1" applyAlignment="1">
      <alignment horizontal="center" vertical="center"/>
    </xf>
    <xf numFmtId="2" fontId="11" fillId="8" borderId="12" xfId="0" applyNumberFormat="1" applyFont="1" applyFill="1" applyBorder="1" applyAlignment="1">
      <alignment horizontal="center" vertical="center"/>
    </xf>
    <xf numFmtId="0" fontId="11" fillId="9" borderId="8" xfId="0" applyFont="1" applyFill="1" applyBorder="1" applyAlignment="1">
      <alignment horizontal="left" vertical="center"/>
    </xf>
    <xf numFmtId="0" fontId="11" fillId="9" borderId="9" xfId="0" applyFont="1" applyFill="1" applyBorder="1" applyAlignment="1">
      <alignment horizontal="left" vertical="center"/>
    </xf>
    <xf numFmtId="0" fontId="11" fillId="10" borderId="8" xfId="0" applyFont="1" applyFill="1" applyBorder="1" applyAlignment="1">
      <alignment horizontal="left" vertical="center"/>
    </xf>
    <xf numFmtId="0" fontId="9" fillId="0" borderId="7" xfId="0" applyFont="1" applyBorder="1" applyAlignment="1">
      <alignment horizontal="center" vertical="center"/>
    </xf>
    <xf numFmtId="2" fontId="11" fillId="10" borderId="17" xfId="0" applyNumberFormat="1" applyFont="1" applyFill="1" applyBorder="1" applyAlignment="1">
      <alignment horizontal="center" vertical="center"/>
    </xf>
    <xf numFmtId="2" fontId="11" fillId="10" borderId="29" xfId="0" applyNumberFormat="1" applyFont="1" applyFill="1" applyBorder="1" applyAlignment="1">
      <alignment horizontal="center" vertical="center"/>
    </xf>
    <xf numFmtId="2" fontId="11" fillId="10" borderId="35" xfId="0" applyNumberFormat="1" applyFont="1" applyFill="1" applyBorder="1" applyAlignment="1">
      <alignment horizontal="center" vertical="center"/>
    </xf>
    <xf numFmtId="2" fontId="11" fillId="12" borderId="12" xfId="0" applyNumberFormat="1" applyFont="1" applyFill="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1" fillId="0" borderId="8"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9" xfId="0" applyFont="1" applyBorder="1" applyAlignment="1">
      <alignment horizontal="center" vertical="center" wrapText="1"/>
    </xf>
    <xf numFmtId="0" fontId="11" fillId="11" borderId="8" xfId="0" applyFont="1" applyFill="1" applyBorder="1" applyAlignment="1">
      <alignment horizontal="left" vertical="center"/>
    </xf>
    <xf numFmtId="0" fontId="11" fillId="11" borderId="36" xfId="0" applyFont="1" applyFill="1" applyBorder="1" applyAlignment="1">
      <alignment horizontal="left" vertical="center"/>
    </xf>
    <xf numFmtId="0" fontId="11" fillId="11" borderId="9" xfId="0" applyFont="1" applyFill="1" applyBorder="1" applyAlignment="1">
      <alignment horizontal="left" vertical="center"/>
    </xf>
    <xf numFmtId="0" fontId="11" fillId="8" borderId="8" xfId="0" applyFont="1" applyFill="1" applyBorder="1" applyAlignment="1">
      <alignment horizontal="left" vertical="center"/>
    </xf>
    <xf numFmtId="0" fontId="11" fillId="8" borderId="36" xfId="0" applyFont="1" applyFill="1" applyBorder="1" applyAlignment="1">
      <alignment horizontal="left" vertical="center"/>
    </xf>
    <xf numFmtId="0" fontId="12" fillId="0" borderId="10" xfId="0" applyFont="1" applyBorder="1" applyAlignment="1">
      <alignment horizontal="center"/>
    </xf>
    <xf numFmtId="0" fontId="12" fillId="0" borderId="11" xfId="0" applyFont="1" applyBorder="1" applyAlignment="1">
      <alignment horizontal="center"/>
    </xf>
    <xf numFmtId="0" fontId="10" fillId="0" borderId="10" xfId="0" applyFont="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2" fontId="11" fillId="11" borderId="8" xfId="0" applyNumberFormat="1" applyFont="1" applyFill="1" applyBorder="1" applyAlignment="1">
      <alignment horizontal="center" vertical="center"/>
    </xf>
    <xf numFmtId="2" fontId="11" fillId="11" borderId="36" xfId="0" applyNumberFormat="1" applyFont="1" applyFill="1" applyBorder="1" applyAlignment="1">
      <alignment horizontal="center" vertical="center"/>
    </xf>
    <xf numFmtId="2" fontId="11" fillId="11" borderId="9" xfId="0" applyNumberFormat="1" applyFont="1" applyFill="1" applyBorder="1" applyAlignment="1">
      <alignment horizontal="center" vertical="center"/>
    </xf>
    <xf numFmtId="0" fontId="11" fillId="12" borderId="8" xfId="0" applyFont="1" applyFill="1" applyBorder="1" applyAlignment="1">
      <alignment horizontal="left" vertical="center"/>
    </xf>
    <xf numFmtId="0" fontId="11" fillId="12" borderId="9" xfId="0" applyFont="1" applyFill="1" applyBorder="1" applyAlignment="1">
      <alignment horizontal="left" vertical="center"/>
    </xf>
    <xf numFmtId="2" fontId="11" fillId="10" borderId="8" xfId="0" applyNumberFormat="1" applyFont="1" applyFill="1" applyBorder="1" applyAlignment="1">
      <alignment horizontal="center" vertical="center"/>
    </xf>
    <xf numFmtId="2" fontId="11" fillId="10" borderId="36" xfId="0" applyNumberFormat="1" applyFont="1" applyFill="1" applyBorder="1" applyAlignment="1">
      <alignment horizontal="center" vertical="center"/>
    </xf>
    <xf numFmtId="2" fontId="11" fillId="10" borderId="9" xfId="0" applyNumberFormat="1" applyFont="1" applyFill="1" applyBorder="1" applyAlignment="1">
      <alignment horizontal="center" vertical="center"/>
    </xf>
    <xf numFmtId="2" fontId="11" fillId="0" borderId="7" xfId="0" applyNumberFormat="1" applyFont="1" applyBorder="1" applyAlignment="1">
      <alignment horizontal="center" vertical="center" wrapText="1"/>
    </xf>
    <xf numFmtId="0" fontId="11" fillId="12" borderId="36" xfId="0" applyFont="1" applyFill="1" applyBorder="1" applyAlignment="1">
      <alignment horizontal="left" vertical="center"/>
    </xf>
    <xf numFmtId="0" fontId="11" fillId="10" borderId="18" xfId="0" applyFont="1" applyFill="1" applyBorder="1" applyAlignment="1">
      <alignment horizontal="left" vertical="center"/>
    </xf>
    <xf numFmtId="0" fontId="11" fillId="10" borderId="34" xfId="0" applyFont="1" applyFill="1" applyBorder="1" applyAlignment="1">
      <alignment horizontal="left" vertical="center"/>
    </xf>
    <xf numFmtId="2" fontId="11" fillId="0" borderId="7" xfId="0" applyNumberFormat="1" applyFont="1" applyBorder="1" applyAlignment="1">
      <alignment horizontal="center" vertical="center"/>
    </xf>
    <xf numFmtId="0" fontId="11" fillId="12" borderId="18" xfId="0" applyFont="1" applyFill="1" applyBorder="1" applyAlignment="1">
      <alignment horizontal="left" vertical="center"/>
    </xf>
    <xf numFmtId="0" fontId="11" fillId="12" borderId="28" xfId="0" applyFont="1" applyFill="1" applyBorder="1" applyAlignment="1">
      <alignment horizontal="left" vertical="center"/>
    </xf>
    <xf numFmtId="0" fontId="11" fillId="12" borderId="34" xfId="0" applyFont="1" applyFill="1" applyBorder="1" applyAlignment="1">
      <alignment horizontal="left" vertical="center"/>
    </xf>
    <xf numFmtId="0" fontId="11" fillId="12" borderId="10" xfId="0" applyFont="1" applyFill="1" applyBorder="1" applyAlignment="1">
      <alignment horizontal="left" vertical="center"/>
    </xf>
    <xf numFmtId="2" fontId="11" fillId="12" borderId="17" xfId="0" applyNumberFormat="1" applyFont="1" applyFill="1" applyBorder="1" applyAlignment="1">
      <alignment horizontal="center" vertical="center"/>
    </xf>
    <xf numFmtId="2" fontId="11" fillId="12" borderId="35" xfId="0" applyNumberFormat="1" applyFont="1" applyFill="1" applyBorder="1" applyAlignment="1">
      <alignment horizontal="center" vertical="center"/>
    </xf>
    <xf numFmtId="2" fontId="11" fillId="10" borderId="12" xfId="0" applyNumberFormat="1" applyFont="1" applyFill="1" applyBorder="1" applyAlignment="1">
      <alignment horizontal="center" vertical="center"/>
    </xf>
    <xf numFmtId="2" fontId="11" fillId="10" borderId="7" xfId="0" applyNumberFormat="1" applyFont="1" applyFill="1" applyBorder="1" applyAlignment="1">
      <alignment horizontal="center" vertical="center"/>
    </xf>
    <xf numFmtId="2" fontId="11" fillId="12" borderId="7" xfId="0" applyNumberFormat="1" applyFont="1" applyFill="1" applyBorder="1" applyAlignment="1">
      <alignment horizontal="center" vertical="center"/>
    </xf>
    <xf numFmtId="2" fontId="11" fillId="0" borderId="8" xfId="0" applyNumberFormat="1" applyFont="1" applyBorder="1" applyAlignment="1">
      <alignment horizontal="center" vertical="center" wrapText="1"/>
    </xf>
    <xf numFmtId="2" fontId="11" fillId="0" borderId="9" xfId="0" applyNumberFormat="1" applyFont="1" applyBorder="1" applyAlignment="1">
      <alignment horizontal="center" vertical="center" wrapText="1"/>
    </xf>
    <xf numFmtId="0" fontId="11" fillId="8" borderId="9" xfId="0" applyFont="1" applyFill="1" applyBorder="1" applyAlignment="1">
      <alignment horizontal="left" vertical="center"/>
    </xf>
    <xf numFmtId="0" fontId="11" fillId="9" borderId="36" xfId="0" applyFont="1" applyFill="1" applyBorder="1" applyAlignment="1">
      <alignment horizontal="left" vertical="center"/>
    </xf>
    <xf numFmtId="0" fontId="11" fillId="9" borderId="34" xfId="0" applyFont="1" applyFill="1" applyBorder="1" applyAlignment="1">
      <alignment horizontal="left" vertical="center"/>
    </xf>
    <xf numFmtId="0" fontId="11" fillId="9" borderId="35" xfId="0" applyFont="1" applyFill="1" applyBorder="1" applyAlignment="1">
      <alignment horizontal="left" vertical="center"/>
    </xf>
    <xf numFmtId="0" fontId="11" fillId="9" borderId="28" xfId="0" applyFont="1" applyFill="1" applyBorder="1" applyAlignment="1">
      <alignment horizontal="left" vertical="center"/>
    </xf>
    <xf numFmtId="0" fontId="11" fillId="9" borderId="29" xfId="0" applyFont="1" applyFill="1" applyBorder="1" applyAlignment="1">
      <alignment horizontal="left" vertic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2" fontId="11" fillId="9" borderId="8" xfId="0" applyNumberFormat="1" applyFont="1" applyFill="1" applyBorder="1" applyAlignment="1">
      <alignment horizontal="center" vertical="center"/>
    </xf>
    <xf numFmtId="2" fontId="11" fillId="9" borderId="9" xfId="0" applyNumberFormat="1" applyFont="1" applyFill="1" applyBorder="1" applyAlignment="1">
      <alignment horizontal="center" vertical="center"/>
    </xf>
    <xf numFmtId="2" fontId="11" fillId="9" borderId="36" xfId="0" applyNumberFormat="1" applyFont="1" applyFill="1" applyBorder="1" applyAlignment="1">
      <alignment horizontal="center" vertical="center"/>
    </xf>
    <xf numFmtId="2" fontId="11" fillId="12" borderId="8" xfId="0" applyNumberFormat="1" applyFont="1" applyFill="1" applyBorder="1" applyAlignment="1">
      <alignment horizontal="center" vertical="center"/>
    </xf>
    <xf numFmtId="2" fontId="11" fillId="12" borderId="9" xfId="0" applyNumberFormat="1" applyFont="1" applyFill="1" applyBorder="1" applyAlignment="1">
      <alignment horizontal="center" vertical="center"/>
    </xf>
    <xf numFmtId="2" fontId="11" fillId="12" borderId="36" xfId="0" applyNumberFormat="1" applyFont="1" applyFill="1" applyBorder="1" applyAlignment="1">
      <alignment horizontal="center" vertical="center"/>
    </xf>
    <xf numFmtId="2" fontId="15" fillId="0" borderId="18" xfId="0" applyNumberFormat="1" applyFont="1" applyBorder="1" applyAlignment="1">
      <alignment horizontal="center" vertical="center"/>
    </xf>
    <xf numFmtId="2" fontId="15" fillId="0" borderId="17" xfId="0" applyNumberFormat="1" applyFont="1" applyBorder="1" applyAlignment="1">
      <alignment horizontal="center" vertical="center"/>
    </xf>
    <xf numFmtId="2" fontId="15" fillId="0" borderId="28" xfId="0" applyNumberFormat="1" applyFont="1" applyBorder="1" applyAlignment="1">
      <alignment horizontal="center" vertical="center"/>
    </xf>
    <xf numFmtId="2" fontId="15" fillId="0" borderId="29" xfId="0" applyNumberFormat="1" applyFont="1" applyBorder="1" applyAlignment="1">
      <alignment horizontal="center" vertical="center"/>
    </xf>
    <xf numFmtId="2" fontId="15" fillId="0" borderId="34" xfId="0" applyNumberFormat="1" applyFont="1" applyBorder="1" applyAlignment="1">
      <alignment horizontal="center" vertical="center"/>
    </xf>
    <xf numFmtId="2" fontId="15" fillId="0" borderId="35" xfId="0" applyNumberFormat="1" applyFont="1" applyBorder="1" applyAlignment="1">
      <alignment horizontal="center" vertical="center"/>
    </xf>
    <xf numFmtId="2" fontId="15" fillId="0" borderId="7" xfId="0" applyNumberFormat="1" applyFont="1" applyBorder="1" applyAlignment="1">
      <alignment horizontal="center" vertical="center"/>
    </xf>
    <xf numFmtId="0" fontId="15" fillId="10" borderId="18"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0" borderId="34" xfId="0" applyFont="1" applyFill="1" applyBorder="1" applyAlignment="1">
      <alignment horizontal="center" vertical="center"/>
    </xf>
    <xf numFmtId="0" fontId="15" fillId="10" borderId="35" xfId="0" applyFont="1" applyFill="1" applyBorder="1" applyAlignment="1">
      <alignment horizontal="center" vertical="center"/>
    </xf>
    <xf numFmtId="2" fontId="15" fillId="0" borderId="8" xfId="0" applyNumberFormat="1" applyFont="1" applyBorder="1" applyAlignment="1">
      <alignment horizontal="center" vertical="center"/>
    </xf>
    <xf numFmtId="2" fontId="15" fillId="0" borderId="36" xfId="0" applyNumberFormat="1" applyFont="1" applyBorder="1" applyAlignment="1">
      <alignment horizontal="center" vertical="center"/>
    </xf>
    <xf numFmtId="2" fontId="15" fillId="0" borderId="9" xfId="0" applyNumberFormat="1" applyFont="1" applyBorder="1" applyAlignment="1">
      <alignment horizontal="center" vertical="center"/>
    </xf>
    <xf numFmtId="0" fontId="15" fillId="8" borderId="7" xfId="0" applyFont="1" applyFill="1" applyBorder="1" applyAlignment="1">
      <alignment horizontal="center" vertical="center"/>
    </xf>
    <xf numFmtId="0" fontId="15" fillId="9" borderId="7" xfId="0" applyFont="1" applyFill="1" applyBorder="1" applyAlignment="1">
      <alignment horizontal="center" vertical="center"/>
    </xf>
    <xf numFmtId="0" fontId="11" fillId="0" borderId="10" xfId="0" applyFont="1" applyBorder="1" applyAlignment="1" applyProtection="1"/>
    <xf numFmtId="0" fontId="11" fillId="0" borderId="12" xfId="0" applyFont="1" applyBorder="1" applyAlignment="1" applyProtection="1"/>
    <xf numFmtId="0" fontId="10" fillId="0" borderId="43" xfId="0" applyFont="1" applyBorder="1" applyAlignment="1">
      <alignment horizontal="center"/>
    </xf>
    <xf numFmtId="0" fontId="10" fillId="0" borderId="44" xfId="0" applyFont="1" applyBorder="1" applyAlignment="1">
      <alignment horizontal="center"/>
    </xf>
    <xf numFmtId="0" fontId="10" fillId="0" borderId="45" xfId="0" applyFont="1" applyBorder="1" applyAlignment="1">
      <alignment horizontal="center"/>
    </xf>
    <xf numFmtId="0" fontId="10" fillId="0" borderId="46" xfId="0" applyFont="1" applyBorder="1" applyAlignment="1">
      <alignment horizontal="center"/>
    </xf>
    <xf numFmtId="0" fontId="10" fillId="0" borderId="47" xfId="0" applyFont="1" applyBorder="1" applyAlignment="1">
      <alignment horizontal="center"/>
    </xf>
    <xf numFmtId="2" fontId="11" fillId="8" borderId="8" xfId="0" applyNumberFormat="1" applyFont="1" applyFill="1" applyBorder="1" applyAlignment="1">
      <alignment horizontal="center" vertical="center"/>
    </xf>
    <xf numFmtId="2" fontId="11" fillId="8" borderId="9" xfId="0" applyNumberFormat="1" applyFont="1" applyFill="1" applyBorder="1" applyAlignment="1">
      <alignment horizontal="center" vertical="center"/>
    </xf>
    <xf numFmtId="0" fontId="10" fillId="0" borderId="7" xfId="0" applyFont="1" applyBorder="1" applyAlignment="1">
      <alignment horizontal="center" vertical="center" wrapText="1"/>
    </xf>
    <xf numFmtId="0" fontId="11" fillId="13" borderId="18" xfId="0" applyFont="1" applyFill="1" applyBorder="1" applyAlignment="1">
      <alignment horizontal="center"/>
    </xf>
    <xf numFmtId="0" fontId="11" fillId="13" borderId="37" xfId="0" applyFont="1" applyFill="1" applyBorder="1" applyAlignment="1">
      <alignment horizontal="center"/>
    </xf>
    <xf numFmtId="0" fontId="11" fillId="13" borderId="17" xfId="0" applyFont="1" applyFill="1" applyBorder="1" applyAlignment="1">
      <alignment horizontal="center"/>
    </xf>
    <xf numFmtId="0" fontId="12" fillId="19" borderId="34" xfId="0" applyFont="1" applyFill="1" applyBorder="1" applyAlignment="1">
      <alignment horizontal="center"/>
    </xf>
    <xf numFmtId="0" fontId="12" fillId="19" borderId="33" xfId="0" applyFont="1" applyFill="1" applyBorder="1" applyAlignment="1">
      <alignment horizontal="center"/>
    </xf>
    <xf numFmtId="0" fontId="12" fillId="19" borderId="35" xfId="0" applyFont="1" applyFill="1" applyBorder="1" applyAlignment="1">
      <alignment horizontal="center"/>
    </xf>
    <xf numFmtId="0" fontId="11" fillId="17" borderId="28" xfId="0" applyFont="1" applyFill="1" applyBorder="1" applyAlignment="1">
      <alignment horizontal="center"/>
    </xf>
    <xf numFmtId="0" fontId="11" fillId="17" borderId="0" xfId="0" applyFont="1" applyFill="1" applyBorder="1" applyAlignment="1">
      <alignment horizontal="center"/>
    </xf>
    <xf numFmtId="0" fontId="11" fillId="17" borderId="29" xfId="0" applyFont="1" applyFill="1" applyBorder="1" applyAlignment="1">
      <alignment horizontal="center"/>
    </xf>
    <xf numFmtId="0" fontId="11" fillId="0" borderId="28" xfId="0" applyFont="1" applyFill="1" applyBorder="1" applyAlignment="1">
      <alignment horizontal="center"/>
    </xf>
    <xf numFmtId="0" fontId="11" fillId="0" borderId="0" xfId="0" applyFont="1" applyFill="1" applyBorder="1" applyAlignment="1">
      <alignment horizontal="center"/>
    </xf>
    <xf numFmtId="0" fontId="11" fillId="0" borderId="29" xfId="0" applyFont="1" applyFill="1" applyBorder="1" applyAlignment="1">
      <alignment horizont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7" fillId="0" borderId="0" xfId="0" applyFont="1" applyAlignment="1" applyProtection="1">
      <alignment horizontal="center"/>
    </xf>
    <xf numFmtId="0" fontId="10" fillId="0" borderId="7" xfId="0" applyFont="1" applyBorder="1" applyAlignment="1">
      <alignment horizontal="center" vertical="center"/>
    </xf>
    <xf numFmtId="0" fontId="15" fillId="11" borderId="18" xfId="0" applyFont="1" applyFill="1" applyBorder="1" applyAlignment="1">
      <alignment horizontal="center" vertical="center"/>
    </xf>
    <xf numFmtId="0" fontId="15" fillId="11" borderId="17" xfId="0" applyFont="1" applyFill="1" applyBorder="1" applyAlignment="1">
      <alignment horizontal="center" vertical="center"/>
    </xf>
    <xf numFmtId="0" fontId="15" fillId="11" borderId="28" xfId="0" applyFont="1" applyFill="1" applyBorder="1" applyAlignment="1">
      <alignment horizontal="center" vertical="center"/>
    </xf>
    <xf numFmtId="0" fontId="15" fillId="11" borderId="29" xfId="0" applyFont="1" applyFill="1" applyBorder="1" applyAlignment="1">
      <alignment horizontal="center" vertical="center"/>
    </xf>
    <xf numFmtId="0" fontId="15" fillId="11" borderId="34" xfId="0" applyFont="1" applyFill="1" applyBorder="1" applyAlignment="1">
      <alignment horizontal="center" vertical="center"/>
    </xf>
    <xf numFmtId="0" fontId="15" fillId="11" borderId="35" xfId="0" applyFont="1" applyFill="1" applyBorder="1" applyAlignment="1">
      <alignment horizontal="center" vertical="center"/>
    </xf>
    <xf numFmtId="0" fontId="15" fillId="12" borderId="18" xfId="0" applyFont="1" applyFill="1" applyBorder="1" applyAlignment="1">
      <alignment horizontal="center" vertical="center"/>
    </xf>
    <xf numFmtId="0" fontId="15" fillId="12" borderId="17" xfId="0" applyFont="1" applyFill="1" applyBorder="1" applyAlignment="1">
      <alignment horizontal="center" vertical="center"/>
    </xf>
    <xf numFmtId="0" fontId="15" fillId="12" borderId="28" xfId="0" applyFont="1" applyFill="1" applyBorder="1" applyAlignment="1">
      <alignment horizontal="center" vertical="center"/>
    </xf>
    <xf numFmtId="0" fontId="15" fillId="12" borderId="29" xfId="0" applyFont="1" applyFill="1" applyBorder="1" applyAlignment="1">
      <alignment horizontal="center" vertical="center"/>
    </xf>
    <xf numFmtId="0" fontId="15" fillId="12" borderId="34" xfId="0" applyFont="1" applyFill="1" applyBorder="1" applyAlignment="1">
      <alignment horizontal="center" vertical="center"/>
    </xf>
    <xf numFmtId="0" fontId="15" fillId="12" borderId="35" xfId="0" applyFont="1" applyFill="1" applyBorder="1" applyAlignment="1">
      <alignment horizontal="center" vertical="center"/>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2" xfId="0" applyFont="1" applyBorder="1" applyAlignment="1">
      <alignment horizontal="center"/>
    </xf>
    <xf numFmtId="2" fontId="11" fillId="0" borderId="36" xfId="0" applyNumberFormat="1" applyFont="1" applyBorder="1" applyAlignment="1">
      <alignment horizontal="center" vertical="center" wrapText="1"/>
    </xf>
    <xf numFmtId="0" fontId="9" fillId="16" borderId="8" xfId="0" applyFont="1" applyFill="1" applyBorder="1" applyAlignment="1">
      <alignment horizontal="center" vertical="center"/>
    </xf>
    <xf numFmtId="0" fontId="9" fillId="16" borderId="9" xfId="0" applyFont="1" applyFill="1" applyBorder="1" applyAlignment="1">
      <alignment horizontal="center" vertical="center"/>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16" borderId="8" xfId="0" applyFont="1" applyFill="1" applyBorder="1" applyAlignment="1">
      <alignment horizontal="center" vertical="center" wrapText="1"/>
    </xf>
    <xf numFmtId="0" fontId="9" fillId="16" borderId="9" xfId="0" applyFont="1" applyFill="1" applyBorder="1" applyAlignment="1">
      <alignment horizontal="center" vertical="center" wrapText="1"/>
    </xf>
    <xf numFmtId="0" fontId="9" fillId="0" borderId="18" xfId="0" applyFont="1" applyBorder="1" applyAlignment="1">
      <alignment horizontal="center" vertical="center"/>
    </xf>
    <xf numFmtId="0" fontId="9" fillId="0" borderId="17"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9" fillId="0" borderId="7" xfId="0" applyFont="1" applyBorder="1" applyAlignment="1">
      <alignment horizontal="center"/>
    </xf>
    <xf numFmtId="0" fontId="15" fillId="12" borderId="7" xfId="0" applyFont="1" applyFill="1" applyBorder="1" applyAlignment="1">
      <alignment horizontal="center" vertical="center"/>
    </xf>
    <xf numFmtId="0" fontId="15" fillId="10" borderId="7" xfId="0" applyFont="1" applyFill="1" applyBorder="1" applyAlignment="1">
      <alignment horizontal="center" vertical="center"/>
    </xf>
    <xf numFmtId="0" fontId="15" fillId="11" borderId="7" xfId="0" applyFont="1" applyFill="1" applyBorder="1" applyAlignment="1">
      <alignment horizontal="center" vertical="center"/>
    </xf>
    <xf numFmtId="2" fontId="15" fillId="0" borderId="8" xfId="0" applyNumberFormat="1" applyFont="1" applyBorder="1" applyAlignment="1">
      <alignment horizontal="center" vertical="center" wrapText="1"/>
    </xf>
    <xf numFmtId="2" fontId="15" fillId="0" borderId="36" xfId="0" applyNumberFormat="1" applyFont="1" applyBorder="1" applyAlignment="1">
      <alignment horizontal="center" vertical="center" wrapText="1"/>
    </xf>
    <xf numFmtId="2" fontId="15" fillId="0" borderId="9" xfId="0" applyNumberFormat="1" applyFont="1" applyBorder="1" applyAlignment="1">
      <alignment horizontal="center" vertical="center" wrapText="1"/>
    </xf>
    <xf numFmtId="0" fontId="10" fillId="0" borderId="46" xfId="0" applyFont="1" applyBorder="1" applyAlignment="1">
      <alignment horizontal="center" wrapText="1"/>
    </xf>
    <xf numFmtId="0" fontId="10" fillId="0" borderId="47" xfId="0" applyFont="1" applyBorder="1" applyAlignment="1">
      <alignment horizontal="center" wrapText="1"/>
    </xf>
    <xf numFmtId="2" fontId="15" fillId="0" borderId="7" xfId="0" applyNumberFormat="1" applyFont="1" applyBorder="1" applyAlignment="1">
      <alignment horizontal="center" vertical="center" wrapText="1"/>
    </xf>
    <xf numFmtId="0" fontId="10" fillId="0" borderId="0" xfId="0" applyFont="1" applyBorder="1" applyAlignment="1">
      <alignment horizontal="center" vertical="center" wrapText="1"/>
    </xf>
    <xf numFmtId="0" fontId="10" fillId="0" borderId="33" xfId="0" applyFont="1" applyBorder="1" applyAlignment="1">
      <alignment horizontal="center" vertical="center" wrapText="1"/>
    </xf>
    <xf numFmtId="0" fontId="9" fillId="0" borderId="7" xfId="0" applyFont="1" applyBorder="1" applyAlignment="1">
      <alignment horizontal="center" vertical="center" wrapText="1"/>
    </xf>
    <xf numFmtId="2" fontId="11" fillId="12" borderId="17" xfId="0" applyNumberFormat="1" applyFont="1" applyFill="1" applyBorder="1" applyAlignment="1" applyProtection="1">
      <alignment horizontal="center" vertical="center"/>
    </xf>
    <xf numFmtId="2" fontId="11" fillId="12" borderId="35" xfId="0" applyNumberFormat="1" applyFont="1" applyFill="1" applyBorder="1" applyAlignment="1" applyProtection="1">
      <alignment horizontal="center" vertical="center"/>
    </xf>
    <xf numFmtId="2" fontId="11" fillId="0" borderId="8" xfId="0" applyNumberFormat="1" applyFont="1" applyBorder="1" applyAlignment="1" applyProtection="1">
      <alignment horizontal="center" vertical="center" wrapText="1"/>
    </xf>
    <xf numFmtId="2" fontId="11" fillId="0" borderId="9" xfId="0" applyNumberFormat="1" applyFont="1" applyBorder="1" applyAlignment="1" applyProtection="1">
      <alignment horizontal="center" vertical="center" wrapText="1"/>
    </xf>
    <xf numFmtId="2" fontId="11" fillId="10" borderId="17" xfId="0" applyNumberFormat="1" applyFont="1" applyFill="1" applyBorder="1" applyAlignment="1" applyProtection="1">
      <alignment horizontal="center" vertical="center"/>
    </xf>
    <xf numFmtId="2" fontId="11" fillId="10" borderId="35" xfId="0" applyNumberFormat="1" applyFont="1" applyFill="1" applyBorder="1" applyAlignment="1" applyProtection="1">
      <alignment horizontal="center" vertical="center"/>
    </xf>
    <xf numFmtId="2" fontId="11" fillId="10" borderId="12" xfId="0" applyNumberFormat="1" applyFont="1" applyFill="1" applyBorder="1" applyAlignment="1" applyProtection="1">
      <alignment horizontal="center" vertical="center"/>
    </xf>
    <xf numFmtId="2" fontId="11" fillId="10" borderId="7" xfId="0" applyNumberFormat="1" applyFont="1" applyFill="1" applyBorder="1" applyAlignment="1" applyProtection="1">
      <alignment horizontal="center" vertical="center"/>
    </xf>
    <xf numFmtId="2" fontId="11" fillId="0" borderId="7" xfId="0" applyNumberFormat="1" applyFont="1" applyBorder="1" applyAlignment="1" applyProtection="1">
      <alignment horizontal="center" vertical="center" wrapText="1"/>
    </xf>
    <xf numFmtId="2" fontId="11" fillId="8" borderId="7" xfId="0" applyNumberFormat="1" applyFont="1" applyFill="1" applyBorder="1" applyAlignment="1" applyProtection="1">
      <alignment horizontal="center" vertical="center"/>
    </xf>
    <xf numFmtId="2" fontId="11" fillId="8" borderId="12" xfId="0" applyNumberFormat="1" applyFont="1" applyFill="1" applyBorder="1" applyAlignment="1" applyProtection="1">
      <alignment horizontal="center" vertical="center"/>
    </xf>
    <xf numFmtId="0" fontId="11" fillId="0" borderId="7" xfId="0" applyFont="1" applyBorder="1" applyAlignment="1" applyProtection="1">
      <alignment horizontal="center" vertical="center" wrapText="1"/>
    </xf>
    <xf numFmtId="2" fontId="11" fillId="0" borderId="7" xfId="0" applyNumberFormat="1" applyFont="1" applyBorder="1" applyAlignment="1" applyProtection="1">
      <alignment horizontal="center" vertical="center"/>
    </xf>
    <xf numFmtId="2" fontId="11" fillId="10" borderId="8" xfId="0" applyNumberFormat="1" applyFont="1" applyFill="1" applyBorder="1" applyAlignment="1" applyProtection="1">
      <alignment horizontal="center" vertical="center"/>
    </xf>
    <xf numFmtId="2" fontId="11" fillId="10" borderId="36" xfId="0" applyNumberFormat="1" applyFont="1" applyFill="1" applyBorder="1" applyAlignment="1" applyProtection="1">
      <alignment horizontal="center" vertical="center"/>
    </xf>
    <xf numFmtId="2" fontId="11" fillId="10" borderId="9" xfId="0" applyNumberFormat="1" applyFont="1" applyFill="1" applyBorder="1" applyAlignment="1" applyProtection="1">
      <alignment horizontal="center" vertical="center"/>
    </xf>
    <xf numFmtId="2" fontId="11" fillId="10" borderId="29" xfId="0" applyNumberFormat="1" applyFont="1" applyFill="1" applyBorder="1" applyAlignment="1" applyProtection="1">
      <alignment horizontal="center" vertical="center"/>
    </xf>
    <xf numFmtId="2" fontId="11" fillId="9" borderId="8" xfId="0" applyNumberFormat="1" applyFont="1" applyFill="1" applyBorder="1" applyAlignment="1" applyProtection="1">
      <alignment horizontal="center" vertical="center"/>
    </xf>
    <xf numFmtId="2" fontId="11" fillId="9" borderId="36" xfId="0" applyNumberFormat="1" applyFont="1" applyFill="1" applyBorder="1" applyAlignment="1" applyProtection="1">
      <alignment horizontal="center" vertical="center"/>
    </xf>
    <xf numFmtId="2" fontId="11" fillId="9" borderId="9" xfId="0" applyNumberFormat="1" applyFont="1" applyFill="1" applyBorder="1" applyAlignment="1" applyProtection="1">
      <alignment horizontal="center" vertical="center"/>
    </xf>
    <xf numFmtId="2" fontId="11" fillId="11" borderId="8" xfId="0" applyNumberFormat="1" applyFont="1" applyFill="1" applyBorder="1" applyAlignment="1" applyProtection="1">
      <alignment horizontal="center" vertical="center"/>
    </xf>
    <xf numFmtId="2" fontId="11" fillId="11" borderId="36" xfId="0" applyNumberFormat="1" applyFont="1" applyFill="1" applyBorder="1" applyAlignment="1" applyProtection="1">
      <alignment horizontal="center" vertical="center"/>
    </xf>
    <xf numFmtId="2" fontId="11" fillId="11" borderId="9" xfId="0" applyNumberFormat="1" applyFont="1" applyFill="1" applyBorder="1" applyAlignment="1" applyProtection="1">
      <alignment horizontal="center" vertical="center"/>
    </xf>
    <xf numFmtId="0" fontId="11" fillId="0" borderId="8" xfId="0" applyFont="1" applyBorder="1" applyAlignment="1" applyProtection="1">
      <alignment horizontal="center" vertical="center" wrapText="1"/>
    </xf>
    <xf numFmtId="0" fontId="11" fillId="0" borderId="36"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2" fontId="11" fillId="12" borderId="12" xfId="0" applyNumberFormat="1" applyFont="1" applyFill="1" applyBorder="1" applyAlignment="1" applyProtection="1">
      <alignment horizontal="center" vertical="center"/>
    </xf>
    <xf numFmtId="2" fontId="11" fillId="12" borderId="7" xfId="0" applyNumberFormat="1" applyFont="1" applyFill="1" applyBorder="1" applyAlignment="1" applyProtection="1">
      <alignment horizontal="center" vertical="center"/>
    </xf>
    <xf numFmtId="0" fontId="10" fillId="0" borderId="18"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0" fillId="0" borderId="18" xfId="0" applyBorder="1" applyAlignment="1">
      <alignment horizontal="center"/>
    </xf>
    <xf numFmtId="0" fontId="0" fillId="0" borderId="17" xfId="0" applyBorder="1" applyAlignment="1">
      <alignment horizontal="center"/>
    </xf>
    <xf numFmtId="0" fontId="0" fillId="0" borderId="37" xfId="0" applyBorder="1" applyAlignment="1">
      <alignment horizontal="center"/>
    </xf>
    <xf numFmtId="0" fontId="7" fillId="0" borderId="0" xfId="0" applyFont="1" applyAlignment="1">
      <alignment horizontal="center" vertical="center"/>
    </xf>
    <xf numFmtId="0" fontId="0" fillId="0" borderId="0" xfId="0" applyFill="1" applyBorder="1" applyAlignment="1">
      <alignment horizontal="center"/>
    </xf>
    <xf numFmtId="0" fontId="0" fillId="0" borderId="2" xfId="0" applyBorder="1" applyAlignment="1">
      <alignment horizontal="left" vertical="center" wrapText="1"/>
    </xf>
    <xf numFmtId="0" fontId="0" fillId="0" borderId="0" xfId="0" applyBorder="1" applyAlignment="1">
      <alignment horizontal="left"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0" fillId="0" borderId="0" xfId="0" applyAlignment="1">
      <alignment horizontal="center"/>
    </xf>
    <xf numFmtId="0" fontId="0" fillId="0" borderId="0" xfId="0" applyFill="1" applyAlignment="1">
      <alignment horizontal="center"/>
    </xf>
    <xf numFmtId="0" fontId="0" fillId="0" borderId="0" xfId="0" applyBorder="1" applyAlignment="1">
      <alignment horizontal="center"/>
    </xf>
    <xf numFmtId="0" fontId="0" fillId="0" borderId="49" xfId="0" applyBorder="1" applyAlignment="1">
      <alignment horizontal="left" vertical="center" wrapText="1"/>
    </xf>
    <xf numFmtId="0" fontId="0" fillId="0" borderId="28" xfId="0" applyBorder="1" applyAlignment="1">
      <alignment horizontal="left" vertical="center" wrapText="1"/>
    </xf>
    <xf numFmtId="0" fontId="0" fillId="0" borderId="1" xfId="0" applyBorder="1" applyAlignment="1" applyProtection="1">
      <alignment horizontal="left" vertical="top" wrapText="1"/>
      <protection locked="0"/>
    </xf>
    <xf numFmtId="0" fontId="0" fillId="0" borderId="48" xfId="0" applyFont="1" applyFill="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cellXfs>
  <cellStyles count="4">
    <cellStyle name="40% - Accent1" xfId="3" builtinId="31"/>
    <cellStyle name="Normal" xfId="0" builtinId="0"/>
    <cellStyle name="Normal 2" xfId="1"/>
    <cellStyle name="Percent" xfId="2" builtinId="5"/>
  </cellStyles>
  <dxfs count="11350">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patternType="darkDown"/>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patternType="darkDown"/>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1"/>
          <c:order val="0"/>
          <c:tx>
            <c:strRef>
              <c:f>'Data Summary R1'!$C$23:$C$24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R1'!$F$24,'Data Summary R1'!$A$35)</c:f>
              <c:numCache>
                <c:formatCode>General</c:formatCode>
                <c:ptCount val="2"/>
                <c:pt idx="0">
                  <c:v>2</c:v>
                </c:pt>
                <c:pt idx="1">
                  <c:v>5</c:v>
                </c:pt>
              </c:numCache>
            </c:numRef>
          </c:xVal>
          <c:yVal>
            <c:numRef>
              <c:f>('Data Summary R1'!$C$30,'Data Summary R1'!$C$30)</c:f>
              <c:numCache>
                <c:formatCode>General</c:formatCode>
                <c:ptCount val="2"/>
                <c:pt idx="0">
                  <c:v>0.21</c:v>
                </c:pt>
                <c:pt idx="1">
                  <c:v>0.21</c:v>
                </c:pt>
              </c:numCache>
            </c:numRef>
          </c:yVal>
          <c:smooth val="0"/>
          <c:extLst xmlns:c16r2="http://schemas.microsoft.com/office/drawing/2015/06/chart">
            <c:ext xmlns:c16="http://schemas.microsoft.com/office/drawing/2014/chart" uri="{C3380CC4-5D6E-409C-BE32-E72D297353CC}">
              <c16:uniqueId val="{00000000-377C-4EA9-9858-DD24FD97EF7F}"/>
            </c:ext>
          </c:extLst>
        </c:ser>
        <c:ser>
          <c:idx val="2"/>
          <c:order val="1"/>
          <c:tx>
            <c:strRef>
              <c:f>'Data Summary R1'!$D$23:$D$24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R1'!$F$24,'Data Summary R1'!$A$35)</c:f>
              <c:numCache>
                <c:formatCode>General</c:formatCode>
                <c:ptCount val="2"/>
                <c:pt idx="0">
                  <c:v>2</c:v>
                </c:pt>
                <c:pt idx="1">
                  <c:v>5</c:v>
                </c:pt>
              </c:numCache>
            </c:numRef>
          </c:xVal>
          <c:yVal>
            <c:numRef>
              <c:f>('Data Summary R1'!$D$30,'Data Summary R1'!$D$30)</c:f>
              <c:numCache>
                <c:formatCode>General</c:formatCode>
                <c:ptCount val="2"/>
                <c:pt idx="0">
                  <c:v>0.53</c:v>
                </c:pt>
                <c:pt idx="1">
                  <c:v>0.53</c:v>
                </c:pt>
              </c:numCache>
            </c:numRef>
          </c:yVal>
          <c:smooth val="0"/>
          <c:extLst xmlns:c16r2="http://schemas.microsoft.com/office/drawing/2015/06/chart">
            <c:ext xmlns:c16="http://schemas.microsoft.com/office/drawing/2014/chart" uri="{C3380CC4-5D6E-409C-BE32-E72D297353CC}">
              <c16:uniqueId val="{00000001-377C-4EA9-9858-DD24FD97EF7F}"/>
            </c:ext>
          </c:extLst>
        </c:ser>
        <c:ser>
          <c:idx val="3"/>
          <c:order val="2"/>
          <c:tx>
            <c:strRef>
              <c:f>'Data Summary R1'!$E$23:$E$24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R1'!$F$24,'Data Summary R1'!$A$35)</c:f>
              <c:numCache>
                <c:formatCode>General</c:formatCode>
                <c:ptCount val="2"/>
                <c:pt idx="0">
                  <c:v>2</c:v>
                </c:pt>
                <c:pt idx="1">
                  <c:v>5</c:v>
                </c:pt>
              </c:numCache>
            </c:numRef>
          </c:xVal>
          <c:yVal>
            <c:numRef>
              <c:f>('Data Summary R1'!$E$30,'Data Summary R1'!$E$30)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R1'!$F$30:$O$30</c:f>
              <c:numCache>
                <c:formatCode>0.00</c:formatCode>
                <c:ptCount val="10"/>
                <c:pt idx="0">
                  <c:v>0</c:v>
                </c:pt>
                <c:pt idx="1">
                  <c:v>0</c:v>
                </c:pt>
                <c:pt idx="2">
                  <c:v>0</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10572672"/>
        <c:axId val="110574976"/>
      </c:scatterChart>
      <c:valAx>
        <c:axId val="11057267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574976"/>
        <c:crosses val="autoZero"/>
        <c:crossBetween val="midCat"/>
      </c:valAx>
      <c:valAx>
        <c:axId val="11057497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57267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itle>
    <c:autoTitleDeleted val="0"/>
    <c:plotArea>
      <c:layout/>
      <c:scatterChart>
        <c:scatterStyle val="lineMarker"/>
        <c:varyColors val="0"/>
        <c:ser>
          <c:idx val="1"/>
          <c:order val="0"/>
          <c:tx>
            <c:strRef>
              <c:f>'Data Summary R3'!$C$23:$C$24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R3'!$F$24,'Data Summary R3'!$A$35)</c:f>
              <c:numCache>
                <c:formatCode>General</c:formatCode>
                <c:ptCount val="2"/>
                <c:pt idx="0">
                  <c:v>#N/A</c:v>
                </c:pt>
                <c:pt idx="1">
                  <c:v>#N/A</c:v>
                </c:pt>
              </c:numCache>
            </c:numRef>
          </c:xVal>
          <c:yVal>
            <c:numRef>
              <c:f>('Data Summary R3'!$C$31,'Data Summary R3'!$C$31)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BF5F-49D1-B7E8-F18A8E0EDA1E}"/>
            </c:ext>
          </c:extLst>
        </c:ser>
        <c:ser>
          <c:idx val="2"/>
          <c:order val="1"/>
          <c:tx>
            <c:strRef>
              <c:f>'Data Summary R3'!$D$23:$D$24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R3'!$F$24,'Data Summary R3'!$A$35)</c:f>
              <c:numCache>
                <c:formatCode>General</c:formatCode>
                <c:ptCount val="2"/>
                <c:pt idx="0">
                  <c:v>#N/A</c:v>
                </c:pt>
                <c:pt idx="1">
                  <c:v>#N/A</c:v>
                </c:pt>
              </c:numCache>
            </c:numRef>
          </c:xVal>
          <c:yVal>
            <c:numRef>
              <c:f>('Data Summary R3'!$D$31,'Data Summary R3'!$D$31)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BF5F-49D1-B7E8-F18A8E0EDA1E}"/>
            </c:ext>
          </c:extLst>
        </c:ser>
        <c:ser>
          <c:idx val="3"/>
          <c:order val="2"/>
          <c:tx>
            <c:strRef>
              <c:f>'Data Summary R3'!$E$23:$E$24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R3'!$F$24,'Data Summary R3'!$A$35)</c:f>
              <c:numCache>
                <c:formatCode>General</c:formatCode>
                <c:ptCount val="2"/>
                <c:pt idx="0">
                  <c:v>#N/A</c:v>
                </c:pt>
                <c:pt idx="1">
                  <c:v>#N/A</c:v>
                </c:pt>
              </c:numCache>
            </c:numRef>
          </c:xVal>
          <c:yVal>
            <c:numRef>
              <c:f>('Data Summary R3'!$E$31,'Data Summary R3'!$E$31)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25629184"/>
        <c:axId val="125631488"/>
      </c:scatterChart>
      <c:valAx>
        <c:axId val="12562918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5631488"/>
        <c:crosses val="autoZero"/>
        <c:crossBetween val="midCat"/>
      </c:valAx>
      <c:valAx>
        <c:axId val="125631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562918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4"/>
          <c:order val="0"/>
          <c:tx>
            <c:strRef>
              <c:f>'Data Summary R3'!$B$7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4-92C8-4EBD-977B-3E233368AC59}"/>
            </c:ext>
          </c:extLst>
        </c:ser>
        <c:ser>
          <c:idx val="5"/>
          <c:order val="1"/>
          <c:tx>
            <c:strRef>
              <c:f>'Data Summary R3'!$B$9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92C8-4EBD-977B-3E233368AC59}"/>
            </c:ext>
          </c:extLst>
        </c:ser>
        <c:ser>
          <c:idx val="6"/>
          <c:order val="2"/>
          <c:tx>
            <c:strRef>
              <c:f>'Data Summary R3'!$B$10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6-92C8-4EBD-977B-3E233368AC59}"/>
            </c:ext>
          </c:extLst>
        </c:ser>
        <c:ser>
          <c:idx val="7"/>
          <c:order val="3"/>
          <c:tx>
            <c:strRef>
              <c:f>'Data Summary R3'!$B$12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26546304"/>
        <c:axId val="126548608"/>
      </c:scatterChart>
      <c:valAx>
        <c:axId val="12654630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6548608"/>
        <c:crosses val="autoZero"/>
        <c:crossBetween val="midCat"/>
      </c:valAx>
      <c:valAx>
        <c:axId val="12654860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654630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5"/>
          <c:order val="0"/>
          <c:tx>
            <c:strRef>
              <c:f>'Data Summary R3'!$A$25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1-53E5-43F6-935D-28E090B64FB7}"/>
            </c:ext>
          </c:extLst>
        </c:ser>
        <c:ser>
          <c:idx val="6"/>
          <c:order val="1"/>
          <c:tx>
            <c:strRef>
              <c:f>'Data Summary R3'!$A$26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2-53E5-43F6-935D-28E090B64FB7}"/>
            </c:ext>
          </c:extLst>
        </c:ser>
        <c:ser>
          <c:idx val="4"/>
          <c:order val="2"/>
          <c:tx>
            <c:strRef>
              <c:f>'Data Summary R3'!$A$27:$B$27</c:f>
              <c:strCache>
                <c:ptCount val="1"/>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53E5-43F6-935D-28E090B64FB7}"/>
            </c:ext>
          </c:extLst>
        </c:ser>
        <c:ser>
          <c:idx val="7"/>
          <c:order val="3"/>
          <c:tx>
            <c:strRef>
              <c:f>'Data Summary R3'!$A$28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3-53E5-43F6-935D-28E090B64FB7}"/>
            </c:ext>
          </c:extLst>
        </c:ser>
        <c:ser>
          <c:idx val="1"/>
          <c:order val="4"/>
          <c:tx>
            <c:strRef>
              <c:f>'Data Summary R3'!$A$29:$B$29</c:f>
              <c:strCache>
                <c:ptCount val="1"/>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26620800"/>
        <c:axId val="126623104"/>
      </c:scatterChart>
      <c:valAx>
        <c:axId val="12662080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6623104"/>
        <c:crosses val="autoZero"/>
        <c:crossBetween val="midCat"/>
      </c:valAx>
      <c:valAx>
        <c:axId val="12662310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662080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1"/>
          <c:order val="0"/>
          <c:tx>
            <c:strRef>
              <c:f>'Data Summary R4'!$C$23:$C$24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R4'!$F$24,'Data Summary R4'!$A$35)</c:f>
              <c:numCache>
                <c:formatCode>General</c:formatCode>
                <c:ptCount val="2"/>
                <c:pt idx="0">
                  <c:v>#N/A</c:v>
                </c:pt>
                <c:pt idx="1">
                  <c:v>#N/A</c:v>
                </c:pt>
              </c:numCache>
            </c:numRef>
          </c:xVal>
          <c:yVal>
            <c:numRef>
              <c:f>('Data Summary R4'!$C$30,'Data Summary R4'!$C$30)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0-377C-4EA9-9858-DD24FD97EF7F}"/>
            </c:ext>
          </c:extLst>
        </c:ser>
        <c:ser>
          <c:idx val="2"/>
          <c:order val="1"/>
          <c:tx>
            <c:strRef>
              <c:f>'Data Summary R4'!$D$23:$D$24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R4'!$F$24,'Data Summary R4'!$A$35)</c:f>
              <c:numCache>
                <c:formatCode>General</c:formatCode>
                <c:ptCount val="2"/>
                <c:pt idx="0">
                  <c:v>#N/A</c:v>
                </c:pt>
                <c:pt idx="1">
                  <c:v>#N/A</c:v>
                </c:pt>
              </c:numCache>
            </c:numRef>
          </c:xVal>
          <c:yVal>
            <c:numRef>
              <c:f>('Data Summary R4'!$D$30,'Data Summary R4'!$D$30)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377C-4EA9-9858-DD24FD97EF7F}"/>
            </c:ext>
          </c:extLst>
        </c:ser>
        <c:ser>
          <c:idx val="3"/>
          <c:order val="2"/>
          <c:tx>
            <c:strRef>
              <c:f>'Data Summary R4'!$E$23:$E$24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R4'!$F$24,'Data Summary R4'!$A$35)</c:f>
              <c:numCache>
                <c:formatCode>General</c:formatCode>
                <c:ptCount val="2"/>
                <c:pt idx="0">
                  <c:v>#N/A</c:v>
                </c:pt>
                <c:pt idx="1">
                  <c:v>#N/A</c:v>
                </c:pt>
              </c:numCache>
            </c:numRef>
          </c:xVal>
          <c:yVal>
            <c:numRef>
              <c:f>('Data Summary R4'!$E$30,'Data Summary R4'!$E$30)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30984960"/>
        <c:axId val="130991616"/>
      </c:scatterChart>
      <c:valAx>
        <c:axId val="13098496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0991616"/>
        <c:crosses val="autoZero"/>
        <c:crossBetween val="midCat"/>
      </c:valAx>
      <c:valAx>
        <c:axId val="13099161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098496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itle>
    <c:autoTitleDeleted val="0"/>
    <c:plotArea>
      <c:layout/>
      <c:scatterChart>
        <c:scatterStyle val="lineMarker"/>
        <c:varyColors val="0"/>
        <c:ser>
          <c:idx val="1"/>
          <c:order val="0"/>
          <c:tx>
            <c:strRef>
              <c:f>'Data Summary R4'!$C$23:$C$24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R4'!$F$24,'Data Summary R4'!$A$35)</c:f>
              <c:numCache>
                <c:formatCode>General</c:formatCode>
                <c:ptCount val="2"/>
                <c:pt idx="0">
                  <c:v>#N/A</c:v>
                </c:pt>
                <c:pt idx="1">
                  <c:v>#N/A</c:v>
                </c:pt>
              </c:numCache>
            </c:numRef>
          </c:xVal>
          <c:yVal>
            <c:numRef>
              <c:f>('Data Summary R4'!$C$31,'Data Summary R4'!$C$31)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BF5F-49D1-B7E8-F18A8E0EDA1E}"/>
            </c:ext>
          </c:extLst>
        </c:ser>
        <c:ser>
          <c:idx val="2"/>
          <c:order val="1"/>
          <c:tx>
            <c:strRef>
              <c:f>'Data Summary R4'!$D$23:$D$24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R4'!$F$24,'Data Summary R4'!$A$35)</c:f>
              <c:numCache>
                <c:formatCode>General</c:formatCode>
                <c:ptCount val="2"/>
                <c:pt idx="0">
                  <c:v>#N/A</c:v>
                </c:pt>
                <c:pt idx="1">
                  <c:v>#N/A</c:v>
                </c:pt>
              </c:numCache>
            </c:numRef>
          </c:xVal>
          <c:yVal>
            <c:numRef>
              <c:f>('Data Summary R4'!$D$31,'Data Summary R4'!$D$31)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BF5F-49D1-B7E8-F18A8E0EDA1E}"/>
            </c:ext>
          </c:extLst>
        </c:ser>
        <c:ser>
          <c:idx val="3"/>
          <c:order val="2"/>
          <c:tx>
            <c:strRef>
              <c:f>'Data Summary R4'!$E$23:$E$24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R4'!$F$24,'Data Summary R4'!$A$35)</c:f>
              <c:numCache>
                <c:formatCode>General</c:formatCode>
                <c:ptCount val="2"/>
                <c:pt idx="0">
                  <c:v>#N/A</c:v>
                </c:pt>
                <c:pt idx="1">
                  <c:v>#N/A</c:v>
                </c:pt>
              </c:numCache>
            </c:numRef>
          </c:xVal>
          <c:yVal>
            <c:numRef>
              <c:f>('Data Summary R4'!$E$31,'Data Summary R4'!$E$31)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31319296"/>
        <c:axId val="131325952"/>
      </c:scatterChart>
      <c:valAx>
        <c:axId val="13131929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1325952"/>
        <c:crosses val="autoZero"/>
        <c:crossBetween val="midCat"/>
      </c:valAx>
      <c:valAx>
        <c:axId val="13132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131929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4"/>
          <c:order val="0"/>
          <c:tx>
            <c:strRef>
              <c:f>'Data Summary R4'!$B$7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4-92C8-4EBD-977B-3E233368AC59}"/>
            </c:ext>
          </c:extLst>
        </c:ser>
        <c:ser>
          <c:idx val="5"/>
          <c:order val="1"/>
          <c:tx>
            <c:strRef>
              <c:f>'Data Summary R4'!$B$9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92C8-4EBD-977B-3E233368AC59}"/>
            </c:ext>
          </c:extLst>
        </c:ser>
        <c:ser>
          <c:idx val="6"/>
          <c:order val="2"/>
          <c:tx>
            <c:strRef>
              <c:f>'Data Summary R4'!$B$10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6-92C8-4EBD-977B-3E233368AC59}"/>
            </c:ext>
          </c:extLst>
        </c:ser>
        <c:ser>
          <c:idx val="7"/>
          <c:order val="3"/>
          <c:tx>
            <c:strRef>
              <c:f>'Data Summary R4'!$B$12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31380736"/>
        <c:axId val="131391488"/>
      </c:scatterChart>
      <c:valAx>
        <c:axId val="13138073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1391488"/>
        <c:crosses val="autoZero"/>
        <c:crossBetween val="midCat"/>
      </c:valAx>
      <c:valAx>
        <c:axId val="13139148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138073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5"/>
          <c:order val="0"/>
          <c:tx>
            <c:strRef>
              <c:f>'Data Summary R4'!$A$25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1-53E5-43F6-935D-28E090B64FB7}"/>
            </c:ext>
          </c:extLst>
        </c:ser>
        <c:ser>
          <c:idx val="6"/>
          <c:order val="1"/>
          <c:tx>
            <c:strRef>
              <c:f>'Data Summary R4'!$A$26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2-53E5-43F6-935D-28E090B64FB7}"/>
            </c:ext>
          </c:extLst>
        </c:ser>
        <c:ser>
          <c:idx val="4"/>
          <c:order val="2"/>
          <c:tx>
            <c:strRef>
              <c:f>'Data Summary R4'!$A$27:$B$27</c:f>
              <c:strCache>
                <c:ptCount val="1"/>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53E5-43F6-935D-28E090B64FB7}"/>
            </c:ext>
          </c:extLst>
        </c:ser>
        <c:ser>
          <c:idx val="7"/>
          <c:order val="3"/>
          <c:tx>
            <c:strRef>
              <c:f>'Data Summary R4'!$A$28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3-53E5-43F6-935D-28E090B64FB7}"/>
            </c:ext>
          </c:extLst>
        </c:ser>
        <c:ser>
          <c:idx val="1"/>
          <c:order val="4"/>
          <c:tx>
            <c:strRef>
              <c:f>'Data Summary R4'!$A$29:$B$29</c:f>
              <c:strCache>
                <c:ptCount val="1"/>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31438848"/>
        <c:axId val="131445504"/>
      </c:scatterChart>
      <c:valAx>
        <c:axId val="131438848"/>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1445504"/>
        <c:crosses val="autoZero"/>
        <c:crossBetween val="midCat"/>
      </c:valAx>
      <c:valAx>
        <c:axId val="13144550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14388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1"/>
          <c:order val="0"/>
          <c:tx>
            <c:strRef>
              <c:f>'Data Summary R5'!$C$23:$C$24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R5'!$F$24,'Data Summary R5'!$A$35)</c:f>
              <c:numCache>
                <c:formatCode>General</c:formatCode>
                <c:ptCount val="2"/>
                <c:pt idx="0">
                  <c:v>#N/A</c:v>
                </c:pt>
                <c:pt idx="1">
                  <c:v>#N/A</c:v>
                </c:pt>
              </c:numCache>
            </c:numRef>
          </c:xVal>
          <c:yVal>
            <c:numRef>
              <c:f>('Data Summary R5'!$C$30,'Data Summary R5'!$C$30)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0-377C-4EA9-9858-DD24FD97EF7F}"/>
            </c:ext>
          </c:extLst>
        </c:ser>
        <c:ser>
          <c:idx val="2"/>
          <c:order val="1"/>
          <c:tx>
            <c:strRef>
              <c:f>'Data Summary R5'!$D$23:$D$24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R5'!$F$24,'Data Summary R5'!$A$35)</c:f>
              <c:numCache>
                <c:formatCode>General</c:formatCode>
                <c:ptCount val="2"/>
                <c:pt idx="0">
                  <c:v>#N/A</c:v>
                </c:pt>
                <c:pt idx="1">
                  <c:v>#N/A</c:v>
                </c:pt>
              </c:numCache>
            </c:numRef>
          </c:xVal>
          <c:yVal>
            <c:numRef>
              <c:f>('Data Summary R5'!$D$30,'Data Summary R5'!$D$30)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377C-4EA9-9858-DD24FD97EF7F}"/>
            </c:ext>
          </c:extLst>
        </c:ser>
        <c:ser>
          <c:idx val="3"/>
          <c:order val="2"/>
          <c:tx>
            <c:strRef>
              <c:f>'Data Summary R5'!$E$23:$E$24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R5'!$F$24,'Data Summary R5'!$A$35)</c:f>
              <c:numCache>
                <c:formatCode>General</c:formatCode>
                <c:ptCount val="2"/>
                <c:pt idx="0">
                  <c:v>#N/A</c:v>
                </c:pt>
                <c:pt idx="1">
                  <c:v>#N/A</c:v>
                </c:pt>
              </c:numCache>
            </c:numRef>
          </c:xVal>
          <c:yVal>
            <c:numRef>
              <c:f>('Data Summary R5'!$E$30,'Data Summary R5'!$E$30)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34575232"/>
        <c:axId val="134577536"/>
      </c:scatterChart>
      <c:valAx>
        <c:axId val="13457523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4577536"/>
        <c:crosses val="autoZero"/>
        <c:crossBetween val="midCat"/>
      </c:valAx>
      <c:valAx>
        <c:axId val="1345775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457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itle>
    <c:autoTitleDeleted val="0"/>
    <c:plotArea>
      <c:layout/>
      <c:scatterChart>
        <c:scatterStyle val="lineMarker"/>
        <c:varyColors val="0"/>
        <c:ser>
          <c:idx val="1"/>
          <c:order val="0"/>
          <c:tx>
            <c:strRef>
              <c:f>'Data Summary R5'!$C$23:$C$24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R5'!$F$24,'Data Summary R5'!$A$35)</c:f>
              <c:numCache>
                <c:formatCode>General</c:formatCode>
                <c:ptCount val="2"/>
                <c:pt idx="0">
                  <c:v>#N/A</c:v>
                </c:pt>
                <c:pt idx="1">
                  <c:v>#N/A</c:v>
                </c:pt>
              </c:numCache>
            </c:numRef>
          </c:xVal>
          <c:yVal>
            <c:numRef>
              <c:f>('Data Summary R5'!$C$31,'Data Summary R5'!$C$31)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BF5F-49D1-B7E8-F18A8E0EDA1E}"/>
            </c:ext>
          </c:extLst>
        </c:ser>
        <c:ser>
          <c:idx val="2"/>
          <c:order val="1"/>
          <c:tx>
            <c:strRef>
              <c:f>'Data Summary R5'!$D$23:$D$24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R5'!$F$24,'Data Summary R5'!$A$35)</c:f>
              <c:numCache>
                <c:formatCode>General</c:formatCode>
                <c:ptCount val="2"/>
                <c:pt idx="0">
                  <c:v>#N/A</c:v>
                </c:pt>
                <c:pt idx="1">
                  <c:v>#N/A</c:v>
                </c:pt>
              </c:numCache>
            </c:numRef>
          </c:xVal>
          <c:yVal>
            <c:numRef>
              <c:f>('Data Summary R5'!$D$31,'Data Summary R5'!$D$31)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BF5F-49D1-B7E8-F18A8E0EDA1E}"/>
            </c:ext>
          </c:extLst>
        </c:ser>
        <c:ser>
          <c:idx val="3"/>
          <c:order val="2"/>
          <c:tx>
            <c:strRef>
              <c:f>'Data Summary R5'!$E$23:$E$24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R5'!$F$24,'Data Summary R5'!$A$35)</c:f>
              <c:numCache>
                <c:formatCode>General</c:formatCode>
                <c:ptCount val="2"/>
                <c:pt idx="0">
                  <c:v>#N/A</c:v>
                </c:pt>
                <c:pt idx="1">
                  <c:v>#N/A</c:v>
                </c:pt>
              </c:numCache>
            </c:numRef>
          </c:xVal>
          <c:yVal>
            <c:numRef>
              <c:f>('Data Summary R5'!$E$31,'Data Summary R5'!$E$31)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35929216"/>
        <c:axId val="135948160"/>
      </c:scatterChart>
      <c:valAx>
        <c:axId val="13592921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5948160"/>
        <c:crosses val="autoZero"/>
        <c:crossBetween val="midCat"/>
      </c:valAx>
      <c:valAx>
        <c:axId val="135948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592921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4"/>
          <c:order val="0"/>
          <c:tx>
            <c:strRef>
              <c:f>'Data Summary R5'!$B$7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4-92C8-4EBD-977B-3E233368AC59}"/>
            </c:ext>
          </c:extLst>
        </c:ser>
        <c:ser>
          <c:idx val="5"/>
          <c:order val="1"/>
          <c:tx>
            <c:strRef>
              <c:f>'Data Summary R5'!$B$9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92C8-4EBD-977B-3E233368AC59}"/>
            </c:ext>
          </c:extLst>
        </c:ser>
        <c:ser>
          <c:idx val="6"/>
          <c:order val="2"/>
          <c:tx>
            <c:strRef>
              <c:f>'Data Summary R5'!$B$10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6-92C8-4EBD-977B-3E233368AC59}"/>
            </c:ext>
          </c:extLst>
        </c:ser>
        <c:ser>
          <c:idx val="7"/>
          <c:order val="3"/>
          <c:tx>
            <c:strRef>
              <c:f>'Data Summary R5'!$B$12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36023040"/>
        <c:axId val="136033792"/>
      </c:scatterChart>
      <c:valAx>
        <c:axId val="13602304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6033792"/>
        <c:crosses val="autoZero"/>
        <c:crossBetween val="midCat"/>
      </c:valAx>
      <c:valAx>
        <c:axId val="13603379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602304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itle>
    <c:autoTitleDeleted val="0"/>
    <c:plotArea>
      <c:layout/>
      <c:scatterChart>
        <c:scatterStyle val="lineMarker"/>
        <c:varyColors val="0"/>
        <c:ser>
          <c:idx val="1"/>
          <c:order val="0"/>
          <c:tx>
            <c:strRef>
              <c:f>'Data Summary R1'!$C$23:$C$24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R1'!$F$24,'Data Summary R1'!$A$35)</c:f>
              <c:numCache>
                <c:formatCode>General</c:formatCode>
                <c:ptCount val="2"/>
                <c:pt idx="0">
                  <c:v>2</c:v>
                </c:pt>
                <c:pt idx="1">
                  <c:v>5</c:v>
                </c:pt>
              </c:numCache>
            </c:numRef>
          </c:xVal>
          <c:yVal>
            <c:numRef>
              <c:f>('Data Summary R1'!$C$31,'Data Summary R1'!$C$31)</c:f>
              <c:numCache>
                <c:formatCode>General</c:formatCode>
                <c:ptCount val="2"/>
                <c:pt idx="0">
                  <c:v>630</c:v>
                </c:pt>
                <c:pt idx="1">
                  <c:v>630</c:v>
                </c:pt>
              </c:numCache>
            </c:numRef>
          </c:yVal>
          <c:smooth val="0"/>
          <c:extLst xmlns:c16r2="http://schemas.microsoft.com/office/drawing/2015/06/chart">
            <c:ext xmlns:c16="http://schemas.microsoft.com/office/drawing/2014/chart" uri="{C3380CC4-5D6E-409C-BE32-E72D297353CC}">
              <c16:uniqueId val="{00000001-BF5F-49D1-B7E8-F18A8E0EDA1E}"/>
            </c:ext>
          </c:extLst>
        </c:ser>
        <c:ser>
          <c:idx val="2"/>
          <c:order val="1"/>
          <c:tx>
            <c:strRef>
              <c:f>'Data Summary R1'!$D$23:$D$24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R1'!$F$24,'Data Summary R1'!$A$35)</c:f>
              <c:numCache>
                <c:formatCode>General</c:formatCode>
                <c:ptCount val="2"/>
                <c:pt idx="0">
                  <c:v>2</c:v>
                </c:pt>
                <c:pt idx="1">
                  <c:v>5</c:v>
                </c:pt>
              </c:numCache>
            </c:numRef>
          </c:xVal>
          <c:yVal>
            <c:numRef>
              <c:f>('Data Summary R1'!$D$31,'Data Summary R1'!$D$31)</c:f>
              <c:numCache>
                <c:formatCode>General</c:formatCode>
                <c:ptCount val="2"/>
                <c:pt idx="0">
                  <c:v>1855</c:v>
                </c:pt>
                <c:pt idx="1">
                  <c:v>1855</c:v>
                </c:pt>
              </c:numCache>
            </c:numRef>
          </c:yVal>
          <c:smooth val="0"/>
          <c:extLst xmlns:c16r2="http://schemas.microsoft.com/office/drawing/2015/06/chart">
            <c:ext xmlns:c16="http://schemas.microsoft.com/office/drawing/2014/chart" uri="{C3380CC4-5D6E-409C-BE32-E72D297353CC}">
              <c16:uniqueId val="{00000002-BF5F-49D1-B7E8-F18A8E0EDA1E}"/>
            </c:ext>
          </c:extLst>
        </c:ser>
        <c:ser>
          <c:idx val="3"/>
          <c:order val="2"/>
          <c:tx>
            <c:strRef>
              <c:f>'Data Summary R1'!$E$23:$E$24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R1'!$F$24,'Data Summary R1'!$A$35)</c:f>
              <c:numCache>
                <c:formatCode>General</c:formatCode>
                <c:ptCount val="2"/>
                <c:pt idx="0">
                  <c:v>2</c:v>
                </c:pt>
                <c:pt idx="1">
                  <c:v>5</c:v>
                </c:pt>
              </c:numCache>
            </c:numRef>
          </c:xVal>
          <c:yVal>
            <c:numRef>
              <c:f>('Data Summary R1'!$E$31,'Data Summary R1'!$E$31)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10624128"/>
        <c:axId val="110700416"/>
      </c:scatterChart>
      <c:valAx>
        <c:axId val="110624128"/>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700416"/>
        <c:crosses val="autoZero"/>
        <c:crossBetween val="midCat"/>
      </c:valAx>
      <c:valAx>
        <c:axId val="110700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62412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5"/>
          <c:order val="0"/>
          <c:tx>
            <c:strRef>
              <c:f>'Data Summary R5'!$A$25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1-53E5-43F6-935D-28E090B64FB7}"/>
            </c:ext>
          </c:extLst>
        </c:ser>
        <c:ser>
          <c:idx val="6"/>
          <c:order val="1"/>
          <c:tx>
            <c:strRef>
              <c:f>'Data Summary R5'!$A$26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2-53E5-43F6-935D-28E090B64FB7}"/>
            </c:ext>
          </c:extLst>
        </c:ser>
        <c:ser>
          <c:idx val="4"/>
          <c:order val="2"/>
          <c:tx>
            <c:strRef>
              <c:f>'Data Summary R5'!$A$27:$B$27</c:f>
              <c:strCache>
                <c:ptCount val="1"/>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53E5-43F6-935D-28E090B64FB7}"/>
            </c:ext>
          </c:extLst>
        </c:ser>
        <c:ser>
          <c:idx val="7"/>
          <c:order val="3"/>
          <c:tx>
            <c:strRef>
              <c:f>'Data Summary R5'!$A$28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3-53E5-43F6-935D-28E090B64FB7}"/>
            </c:ext>
          </c:extLst>
        </c:ser>
        <c:ser>
          <c:idx val="1"/>
          <c:order val="4"/>
          <c:tx>
            <c:strRef>
              <c:f>'Data Summary R5'!$A$29:$B$29</c:f>
              <c:strCache>
                <c:ptCount val="1"/>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34717440"/>
        <c:axId val="134719744"/>
      </c:scatterChart>
      <c:valAx>
        <c:axId val="13471744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4719744"/>
        <c:crosses val="autoZero"/>
        <c:crossBetween val="midCat"/>
      </c:valAx>
      <c:valAx>
        <c:axId val="13471974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471744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Bank Height Ratio</a:t>
            </a:r>
          </a:p>
        </c:rich>
      </c:tx>
      <c:overlay val="0"/>
      <c:spPr>
        <a:noFill/>
        <a:ln>
          <a:noFill/>
        </a:ln>
        <a:effectLst/>
      </c:spPr>
    </c:title>
    <c:autoTitleDeleted val="0"/>
    <c:plotArea>
      <c:layout/>
      <c:scatterChart>
        <c:scatterStyle val="lineMarker"/>
        <c:varyColors val="0"/>
        <c:ser>
          <c:idx val="0"/>
          <c:order val="0"/>
          <c:tx>
            <c:v>BHR</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293794201700399"/>
                  <c:y val="-0.5334547118159906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Standards'!$K$10:$P$10</c:f>
              <c:numCache>
                <c:formatCode>General</c:formatCode>
                <c:ptCount val="6"/>
                <c:pt idx="1">
                  <c:v>1.6</c:v>
                </c:pt>
                <c:pt idx="2">
                  <c:v>1.5</c:v>
                </c:pt>
                <c:pt idx="4">
                  <c:v>1.2</c:v>
                </c:pt>
                <c:pt idx="5">
                  <c:v>1</c:v>
                </c:pt>
              </c:numCache>
            </c:numRef>
          </c:xVal>
          <c:yVal>
            <c:numRef>
              <c:f>'Reference Standards'!$K$11:$P$11</c:f>
              <c:numCache>
                <c:formatCode>General</c:formatCode>
                <c:ptCount val="6"/>
                <c:pt idx="0">
                  <c:v>0</c:v>
                </c:pt>
                <c:pt idx="1">
                  <c:v>0.2</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C266-4796-88E9-230BE821F3E6}"/>
            </c:ext>
          </c:extLst>
        </c:ser>
        <c:ser>
          <c:idx val="1"/>
          <c:order val="1"/>
          <c:spPr>
            <a:ln w="25400" cap="rnd">
              <a:solidFill>
                <a:srgbClr val="FF0000"/>
              </a:solidFill>
              <a:round/>
            </a:ln>
            <a:effectLst/>
          </c:spPr>
          <c:marker>
            <c:symbol val="none"/>
          </c:marker>
          <c:xVal>
            <c:numLit>
              <c:formatCode>General</c:formatCode>
              <c:ptCount val="2"/>
              <c:pt idx="0">
                <c:v>1.61</c:v>
              </c:pt>
              <c:pt idx="1">
                <c:v>1.8</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1-42DB-4A1D-8764-4AC5BCCDC40D}"/>
            </c:ext>
          </c:extLst>
        </c:ser>
        <c:dLbls>
          <c:showLegendKey val="0"/>
          <c:showVal val="0"/>
          <c:showCatName val="0"/>
          <c:showSerName val="0"/>
          <c:showPercent val="0"/>
          <c:showBubbleSize val="0"/>
        </c:dLbls>
        <c:axId val="131692032"/>
        <c:axId val="131693952"/>
      </c:scatterChart>
      <c:valAx>
        <c:axId val="131692032"/>
        <c:scaling>
          <c:orientation val="minMax"/>
          <c:max val="1.8"/>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93952"/>
        <c:crosses val="autoZero"/>
        <c:crossBetween val="midCat"/>
      </c:valAx>
      <c:valAx>
        <c:axId val="13169395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92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ER</a:t>
            </a:r>
            <a:r>
              <a:rPr lang="en-US" baseline="0"/>
              <a:t> for C and E Streams</a:t>
            </a:r>
            <a:endParaRPr lang="en-US"/>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8106851554169981"/>
                  <c:y val="0.1624766143983512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Standards'!$K$44:$O$44</c:f>
              <c:numCache>
                <c:formatCode>General</c:formatCode>
                <c:ptCount val="5"/>
                <c:pt idx="2">
                  <c:v>2</c:v>
                </c:pt>
                <c:pt idx="4">
                  <c:v>2.4</c:v>
                </c:pt>
              </c:numCache>
            </c:numRef>
          </c:xVal>
          <c:yVal>
            <c:numRef>
              <c:f>'Reference Standards'!$K$45:$O$45</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0-1EEA-4BDA-8E2E-1D9F09529777}"/>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8817965508072475E-3"/>
                  <c:y val="0.122405795921577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Standards'!$O$44:$P$44</c:f>
              <c:numCache>
                <c:formatCode>General</c:formatCode>
                <c:ptCount val="2"/>
                <c:pt idx="0">
                  <c:v>2.4</c:v>
                </c:pt>
                <c:pt idx="1">
                  <c:v>5</c:v>
                </c:pt>
              </c:numCache>
            </c:numRef>
          </c:xVal>
          <c:yVal>
            <c:numRef>
              <c:f>'Reference Standards'!$O$45:$P$45</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0-FBB7-4035-A17D-E0D766088381}"/>
            </c:ext>
          </c:extLst>
        </c:ser>
        <c:ser>
          <c:idx val="2"/>
          <c:order val="2"/>
          <c:spPr>
            <a:ln w="25400" cap="rnd">
              <a:solidFill>
                <a:srgbClr val="FF0000"/>
              </a:solidFill>
              <a:round/>
            </a:ln>
            <a:effectLst/>
          </c:spPr>
          <c:marker>
            <c:symbol val="none"/>
          </c:marker>
          <c:xVal>
            <c:numLit>
              <c:formatCode>General</c:formatCode>
              <c:ptCount val="2"/>
              <c:pt idx="0">
                <c:v>1.9</c:v>
              </c:pt>
              <c:pt idx="1">
                <c:v>0</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2-51C7-4277-99C3-8671EE365B73}"/>
            </c:ext>
          </c:extLst>
        </c:ser>
        <c:dLbls>
          <c:showLegendKey val="0"/>
          <c:showVal val="0"/>
          <c:showCatName val="0"/>
          <c:showSerName val="0"/>
          <c:showPercent val="0"/>
          <c:showBubbleSize val="0"/>
        </c:dLbls>
        <c:axId val="131759488"/>
        <c:axId val="131778048"/>
      </c:scatterChart>
      <c:valAx>
        <c:axId val="1317594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78048"/>
        <c:crosses val="autoZero"/>
        <c:crossBetween val="midCat"/>
      </c:valAx>
      <c:valAx>
        <c:axId val="1317780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4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ER for A, B and Bc Streams</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4.1485129618198141E-2"/>
                  <c:y val="0.155322873541938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Standards'!$K$79:$O$79</c:f>
              <c:numCache>
                <c:formatCode>General</c:formatCode>
                <c:ptCount val="5"/>
                <c:pt idx="2">
                  <c:v>1.2</c:v>
                </c:pt>
                <c:pt idx="4">
                  <c:v>1.4</c:v>
                </c:pt>
              </c:numCache>
            </c:numRef>
          </c:xVal>
          <c:yVal>
            <c:numRef>
              <c:f>'Reference Standards'!$K$80:$O$80</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0-B511-473E-8345-F7FDAF1C4433}"/>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8.7890770611723942E-2"/>
                  <c:y val="2.2653159754645828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Standards'!$O$79:$P$79</c:f>
              <c:numCache>
                <c:formatCode>General</c:formatCode>
                <c:ptCount val="2"/>
                <c:pt idx="0">
                  <c:v>1.4</c:v>
                </c:pt>
                <c:pt idx="1">
                  <c:v>2.2000000000000002</c:v>
                </c:pt>
              </c:numCache>
            </c:numRef>
          </c:xVal>
          <c:yVal>
            <c:numRef>
              <c:f>'Reference Standards'!$O$80:$P$80</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0-EF40-4FA8-8C0D-00C8C3EA5E04}"/>
            </c:ext>
          </c:extLst>
        </c:ser>
        <c:ser>
          <c:idx val="2"/>
          <c:order val="2"/>
          <c:spPr>
            <a:ln w="25400" cap="rnd">
              <a:solidFill>
                <a:srgbClr val="FF0000"/>
              </a:solidFill>
              <a:round/>
            </a:ln>
            <a:effectLst/>
          </c:spPr>
          <c:marker>
            <c:symbol val="none"/>
          </c:marker>
          <c:xVal>
            <c:numLit>
              <c:formatCode>General</c:formatCode>
              <c:ptCount val="2"/>
              <c:pt idx="0">
                <c:v>1.19</c:v>
              </c:pt>
              <c:pt idx="1">
                <c:v>0</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2-A8A5-4D19-AF0F-196591C04FE0}"/>
            </c:ext>
          </c:extLst>
        </c:ser>
        <c:dLbls>
          <c:showLegendKey val="0"/>
          <c:showVal val="0"/>
          <c:showCatName val="0"/>
          <c:showSerName val="0"/>
          <c:showPercent val="0"/>
          <c:showBubbleSize val="0"/>
        </c:dLbls>
        <c:axId val="136476544"/>
        <c:axId val="136491008"/>
      </c:scatterChart>
      <c:valAx>
        <c:axId val="1364765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491008"/>
        <c:crosses val="autoZero"/>
        <c:crossBetween val="midCat"/>
      </c:valAx>
      <c:valAx>
        <c:axId val="13649100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4765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LWDI</a:t>
            </a:r>
            <a:r>
              <a:rPr lang="en-US" baseline="0"/>
              <a:t> </a:t>
            </a:r>
            <a:endParaRPr lang="en-US"/>
          </a:p>
        </c:rich>
      </c:tx>
      <c:overlay val="0"/>
      <c:spPr>
        <a:noFill/>
        <a:ln>
          <a:noFill/>
        </a:ln>
        <a:effectLst/>
      </c:spPr>
    </c:title>
    <c:autoTitleDeleted val="0"/>
    <c:plotArea>
      <c:layout/>
      <c:scatterChart>
        <c:scatterStyle val="lineMarker"/>
        <c:varyColors val="0"/>
        <c:ser>
          <c:idx val="0"/>
          <c:order val="0"/>
          <c:tx>
            <c:strRef>
              <c:f>'Reference Standards'!$S$15:$T$15</c:f>
              <c:strCache>
                <c:ptCount val="1"/>
                <c:pt idx="0">
                  <c:v>66 &amp; 74/65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5370819514126944"/>
                  <c:y val="0.2731430326662429"/>
                </c:manualLayout>
              </c:layout>
              <c:numFmt formatCode="0.00000E+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Standards'!$S$10:$W$10</c:f>
              <c:numCache>
                <c:formatCode>General</c:formatCode>
                <c:ptCount val="5"/>
                <c:pt idx="0">
                  <c:v>0</c:v>
                </c:pt>
                <c:pt idx="4">
                  <c:v>250</c:v>
                </c:pt>
              </c:numCache>
            </c:numRef>
          </c:xVal>
          <c:yVal>
            <c:numRef>
              <c:f>'Reference Standards'!$S$12:$W$12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0-7D9C-4895-B98E-45CEF21B931D}"/>
            </c:ext>
          </c:extLst>
        </c:ser>
        <c:ser>
          <c:idx val="1"/>
          <c:order val="1"/>
          <c:tx>
            <c:strRef>
              <c:f>'Reference Standards'!$S$15:$T$15</c:f>
              <c:strCache>
                <c:ptCount val="1"/>
                <c:pt idx="0">
                  <c:v>66 &amp; 74/65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5180613089413335E-2"/>
                  <c:y val="0.15943370997833448"/>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Standards'!$W$10:$X$10</c:f>
              <c:numCache>
                <c:formatCode>General</c:formatCode>
                <c:ptCount val="2"/>
                <c:pt idx="0">
                  <c:v>250</c:v>
                </c:pt>
                <c:pt idx="1">
                  <c:v>850</c:v>
                </c:pt>
              </c:numCache>
            </c:numRef>
          </c:xVal>
          <c:yVal>
            <c:numRef>
              <c:f>'Reference Standards'!$W$12:$X$12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1-2777-4E45-B140-67A5ECEFF695}"/>
            </c:ext>
          </c:extLst>
        </c:ser>
        <c:ser>
          <c:idx val="2"/>
          <c:order val="2"/>
          <c:tx>
            <c:strRef>
              <c:f>'Reference Standards'!$U$15:$V$15</c:f>
              <c:strCache>
                <c:ptCount val="1"/>
                <c:pt idx="0">
                  <c:v>67, 68/69, &amp; 71</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15153899284856601"/>
                  <c:y val="0.4003879489439478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Standards'!$S$11:$W$11</c:f>
              <c:numCache>
                <c:formatCode>General</c:formatCode>
                <c:ptCount val="5"/>
                <c:pt idx="0">
                  <c:v>0</c:v>
                </c:pt>
                <c:pt idx="4">
                  <c:v>180</c:v>
                </c:pt>
              </c:numCache>
            </c:numRef>
          </c:xVal>
          <c:yVal>
            <c:numRef>
              <c:f>'Reference Standards'!$S$12:$W$12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2-6A93-4F99-8697-A372BAE15F9D}"/>
            </c:ext>
          </c:extLst>
        </c:ser>
        <c:ser>
          <c:idx val="3"/>
          <c:order val="3"/>
          <c:tx>
            <c:strRef>
              <c:f>'Reference Standards'!$U$15:$V$15</c:f>
              <c:strCache>
                <c:ptCount val="1"/>
                <c:pt idx="0">
                  <c:v>67, 68/69, &amp; 71</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4.2675394320649193E-2"/>
                  <c:y val="8.2779613865366936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Standards'!$W$11:$X$11</c:f>
              <c:numCache>
                <c:formatCode>General</c:formatCode>
                <c:ptCount val="2"/>
                <c:pt idx="0">
                  <c:v>180</c:v>
                </c:pt>
                <c:pt idx="1">
                  <c:v>350</c:v>
                </c:pt>
              </c:numCache>
            </c:numRef>
          </c:xVal>
          <c:yVal>
            <c:numRef>
              <c:f>'Reference Standards'!$W$12:$X$12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6A93-4F99-8697-A372BAE15F9D}"/>
            </c:ext>
          </c:extLst>
        </c:ser>
        <c:dLbls>
          <c:showLegendKey val="0"/>
          <c:showVal val="0"/>
          <c:showCatName val="0"/>
          <c:showSerName val="0"/>
          <c:showPercent val="0"/>
          <c:showBubbleSize val="0"/>
        </c:dLbls>
        <c:axId val="136555520"/>
        <c:axId val="136569984"/>
      </c:scatterChart>
      <c:valAx>
        <c:axId val="13655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69984"/>
        <c:crosses val="autoZero"/>
        <c:crossBetween val="midCat"/>
      </c:valAx>
      <c:valAx>
        <c:axId val="13656998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55520"/>
        <c:crosses val="autoZero"/>
        <c:crossBetween val="midCat"/>
      </c:valAx>
      <c:spPr>
        <a:noFill/>
        <a:ln>
          <a:noFill/>
        </a:ln>
        <a:effectLst/>
      </c:spPr>
    </c:plotArea>
    <c:legend>
      <c:legendPos val="r"/>
      <c:layout>
        <c:manualLayout>
          <c:xMode val="edge"/>
          <c:yMode val="edge"/>
          <c:x val="0.72018758788754644"/>
          <c:y val="0.3175500979391892"/>
          <c:w val="0.26901619078991645"/>
          <c:h val="0.14611698273380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Pool Spacing Ratio for Slope &lt;=2%</a:t>
            </a:r>
          </a:p>
        </c:rich>
      </c:tx>
      <c:overlay val="0"/>
      <c:spPr>
        <a:noFill/>
        <a:ln>
          <a:noFill/>
        </a:ln>
        <a:effectLst/>
      </c:spPr>
    </c:title>
    <c:autoTitleDeleted val="0"/>
    <c:plotArea>
      <c:layout/>
      <c:scatterChart>
        <c:scatterStyle val="lineMarker"/>
        <c:varyColors val="0"/>
        <c:ser>
          <c:idx val="1"/>
          <c:order val="0"/>
          <c:tx>
            <c:v>Rising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8.1177199818048038E-2"/>
                  <c:y val="0.10875590213192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Standards'!$S$392:$X$392</c:f>
              <c:numCache>
                <c:formatCode>General</c:formatCode>
                <c:ptCount val="6"/>
                <c:pt idx="0" formatCode="0.0">
                  <c:v>1</c:v>
                </c:pt>
                <c:pt idx="3">
                  <c:v>3</c:v>
                </c:pt>
              </c:numCache>
            </c:numRef>
          </c:xVal>
          <c:yVal>
            <c:numRef>
              <c:f>'Reference Standards'!$S$394:$X$394</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2D8B-439A-A86A-F9817A30EAA5}"/>
            </c:ext>
          </c:extLst>
        </c:ser>
        <c:ser>
          <c:idx val="0"/>
          <c:order val="1"/>
          <c:tx>
            <c:v>Falling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7.7967397278397119E-2"/>
                  <c:y val="-0.4590120188868221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Standards'!$S$393:$X$393</c:f>
              <c:numCache>
                <c:formatCode>General</c:formatCode>
                <c:ptCount val="6"/>
                <c:pt idx="0" formatCode="0.0">
                  <c:v>7</c:v>
                </c:pt>
                <c:pt idx="3">
                  <c:v>5</c:v>
                </c:pt>
              </c:numCache>
            </c:numRef>
          </c:xVal>
          <c:yVal>
            <c:numRef>
              <c:f>'Reference Standards'!$S$394:$X$394</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3-BA8E-42E9-A9A6-0DFFC3E86B26}"/>
            </c:ext>
          </c:extLst>
        </c:ser>
        <c:ser>
          <c:idx val="2"/>
          <c:order val="2"/>
          <c:tx>
            <c:v>Crest</c:v>
          </c:tx>
          <c:spPr>
            <a:ln w="25400" cap="rnd">
              <a:solidFill>
                <a:srgbClr val="FF0000"/>
              </a:solidFill>
              <a:round/>
            </a:ln>
            <a:effectLst/>
          </c:spPr>
          <c:marker>
            <c:symbol val="none"/>
          </c:marker>
          <c:xVal>
            <c:numRef>
              <c:f>'Reference Standards'!$V$392:$V$393</c:f>
              <c:numCache>
                <c:formatCode>General</c:formatCode>
                <c:ptCount val="2"/>
                <c:pt idx="0">
                  <c:v>3</c:v>
                </c:pt>
                <c:pt idx="1">
                  <c:v>5</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2-EE4A-41A9-9517-6AB00CBA5C9A}"/>
            </c:ext>
          </c:extLst>
        </c:ser>
        <c:dLbls>
          <c:showLegendKey val="0"/>
          <c:showVal val="0"/>
          <c:showCatName val="0"/>
          <c:showSerName val="0"/>
          <c:showPercent val="0"/>
          <c:showBubbleSize val="0"/>
        </c:dLbls>
        <c:axId val="136218496"/>
        <c:axId val="136224768"/>
      </c:scatterChart>
      <c:valAx>
        <c:axId val="136218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224768"/>
        <c:crosses val="autoZero"/>
        <c:crossBetween val="midCat"/>
      </c:valAx>
      <c:valAx>
        <c:axId val="13622476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2184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Pool Spacing Ratio</a:t>
            </a:r>
            <a:r>
              <a:rPr lang="en-US" baseline="0"/>
              <a:t> for</a:t>
            </a:r>
            <a:r>
              <a:rPr lang="en-US"/>
              <a:t> Slopes &gt; 2%</a:t>
            </a:r>
          </a:p>
        </c:rich>
      </c:tx>
      <c:layout>
        <c:manualLayout>
          <c:xMode val="edge"/>
          <c:yMode val="edge"/>
          <c:x val="0.13861403207867781"/>
          <c:y val="2.7304957677315601E-2"/>
        </c:manualLayout>
      </c:layout>
      <c:overlay val="0"/>
      <c:spPr>
        <a:noFill/>
        <a:ln>
          <a:noFill/>
        </a:ln>
        <a:effectLst/>
      </c:spPr>
    </c:title>
    <c:autoTitleDeleted val="0"/>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9139027512088642E-2"/>
                  <c:y val="-0.3964624163981512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Standards'!$S$426:$X$426</c:f>
              <c:numCache>
                <c:formatCode>0.0</c:formatCode>
                <c:ptCount val="6"/>
                <c:pt idx="0">
                  <c:v>5.8333333333333339</c:v>
                </c:pt>
                <c:pt idx="4" formatCode="General">
                  <c:v>3.5</c:v>
                </c:pt>
                <c:pt idx="5" formatCode="General">
                  <c:v>2.5</c:v>
                </c:pt>
              </c:numCache>
            </c:numRef>
          </c:xVal>
          <c:yVal>
            <c:numRef>
              <c:f>'Reference Standards'!$S$427:$X$427</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3F89-4AE3-A340-207A3C2A9FF9}"/>
            </c:ext>
          </c:extLst>
        </c:ser>
        <c:dLbls>
          <c:showLegendKey val="0"/>
          <c:showVal val="0"/>
          <c:showCatName val="0"/>
          <c:showSerName val="0"/>
          <c:showPercent val="0"/>
          <c:showBubbleSize val="0"/>
        </c:dLbls>
        <c:axId val="136275072"/>
        <c:axId val="136276992"/>
      </c:scatterChart>
      <c:valAx>
        <c:axId val="1362750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276992"/>
        <c:crosses val="autoZero"/>
        <c:crossBetween val="midCat"/>
      </c:valAx>
      <c:valAx>
        <c:axId val="13627699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2750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Pool Depth Ratio</a:t>
            </a:r>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306524445956668"/>
                  <c:y val="8.3206967925716732E-2"/>
                </c:manualLayout>
              </c:layout>
              <c:numFmt formatCode="#,##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Standards'!$S$459:$X$459</c:f>
              <c:numCache>
                <c:formatCode>General</c:formatCode>
                <c:ptCount val="6"/>
                <c:pt idx="0" formatCode="0.0">
                  <c:v>1</c:v>
                </c:pt>
                <c:pt idx="4">
                  <c:v>2</c:v>
                </c:pt>
                <c:pt idx="5" formatCode="0.0">
                  <c:v>2.4285714285714288</c:v>
                </c:pt>
              </c:numCache>
            </c:numRef>
          </c:xVal>
          <c:yVal>
            <c:numRef>
              <c:f>'Reference Standards'!$S$460:$X$460</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8EC5-4A07-8D5B-D3562716BC89}"/>
            </c:ext>
          </c:extLst>
        </c:ser>
        <c:ser>
          <c:idx val="2"/>
          <c:order val="1"/>
          <c:tx>
            <c:v>crest</c:v>
          </c:tx>
          <c:spPr>
            <a:ln w="25400" cap="rnd">
              <a:noFill/>
              <a:round/>
            </a:ln>
            <a:effectLst/>
          </c:spPr>
          <c:marker>
            <c:symbol val="circle"/>
            <c:size val="5"/>
            <c:spPr>
              <a:solidFill>
                <a:schemeClr val="accent3"/>
              </a:solidFill>
              <a:ln w="9525">
                <a:solidFill>
                  <a:schemeClr val="accent3"/>
                </a:solidFill>
              </a:ln>
              <a:effectLst/>
            </c:spPr>
          </c:marker>
          <c:xVal>
            <c:numRef>
              <c:f>'Reference Standards'!$X$459:$X$459</c:f>
              <c:numCache>
                <c:formatCode>0.0</c:formatCode>
                <c:ptCount val="1"/>
                <c:pt idx="0">
                  <c:v>2.4285714285714288</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2-2F67-43F2-8271-AA82CE5AEC72}"/>
            </c:ext>
          </c:extLst>
        </c:ser>
        <c:dLbls>
          <c:showLegendKey val="0"/>
          <c:showVal val="0"/>
          <c:showCatName val="0"/>
          <c:showSerName val="0"/>
          <c:showPercent val="0"/>
          <c:showBubbleSize val="0"/>
        </c:dLbls>
        <c:axId val="136402432"/>
        <c:axId val="136404992"/>
      </c:scatterChart>
      <c:valAx>
        <c:axId val="1364024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404992"/>
        <c:crosses val="autoZero"/>
        <c:crossBetween val="midCat"/>
      </c:valAx>
      <c:valAx>
        <c:axId val="13640499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4024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E5 S</a:t>
            </a:r>
            <a:r>
              <a:rPr lang="en-US"/>
              <a:t>treams in Unconfined Alluvial Valleys</a:t>
            </a:r>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none"/>
          </c:marker>
          <c:trendline>
            <c:spPr>
              <a:ln w="19050" cap="rnd">
                <a:solidFill>
                  <a:schemeClr val="accent1"/>
                </a:solidFill>
                <a:prstDash val="sysDot"/>
              </a:ln>
              <a:effectLst/>
            </c:spPr>
            <c:trendlineType val="poly"/>
            <c:order val="2"/>
            <c:dispRSqr val="0"/>
            <c:dispEq val="1"/>
            <c:trendlineLbl>
              <c:layout>
                <c:manualLayout>
                  <c:x val="-4.0337968870561E-2"/>
                  <c:y val="0.1039860343322665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Standards'!$S$662:$X$662</c:f>
              <c:numCache>
                <c:formatCode>General</c:formatCode>
                <c:ptCount val="6"/>
                <c:pt idx="5">
                  <c:v>1.3</c:v>
                </c:pt>
              </c:numCache>
            </c:numRef>
          </c:xVal>
          <c:yVal>
            <c:numRef>
              <c:f>'Reference Standards'!$S$664:$X$664</c:f>
              <c:numCache>
                <c:formatCode>General</c:formatCode>
                <c:ptCount val="6"/>
                <c:pt idx="0">
                  <c:v>0</c:v>
                </c:pt>
                <c:pt idx="1">
                  <c:v>0.2</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0224-4D2B-89F3-7EEE960BF694}"/>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0606278817797286"/>
                  <c:y val="-0.2662562886223786"/>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Standards'!$S$663:$W$663</c:f>
              <c:numCache>
                <c:formatCode>General</c:formatCode>
                <c:ptCount val="5"/>
                <c:pt idx="2">
                  <c:v>1.8</c:v>
                </c:pt>
                <c:pt idx="3">
                  <c:v>1.61</c:v>
                </c:pt>
              </c:numCache>
            </c:numRef>
          </c:xVal>
          <c:yVal>
            <c:numRef>
              <c:f>'Reference Standards'!$S$664:$W$664</c:f>
              <c:numCache>
                <c:formatCode>General</c:formatCode>
                <c:ptCount val="5"/>
                <c:pt idx="0">
                  <c:v>0</c:v>
                </c:pt>
                <c:pt idx="1">
                  <c:v>0.2</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0224-4D2B-89F3-7EEE960BF694}"/>
            </c:ext>
          </c:extLst>
        </c:ser>
        <c:ser>
          <c:idx val="3"/>
          <c:order val="2"/>
          <c:tx>
            <c:v>Floor Left</c:v>
          </c:tx>
          <c:spPr>
            <a:ln w="25400" cap="rnd">
              <a:solidFill>
                <a:srgbClr val="FF0000"/>
              </a:solidFill>
              <a:round/>
            </a:ln>
            <a:effectLst/>
          </c:spPr>
          <c:marker>
            <c:symbol val="none"/>
          </c:marker>
          <c:xVal>
            <c:numLit>
              <c:formatCode>General</c:formatCode>
              <c:ptCount val="2"/>
              <c:pt idx="0">
                <c:v>1</c:v>
              </c:pt>
              <c:pt idx="1">
                <c:v>1.29</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3-A748-4E35-B9A2-7F4451F49275}"/>
            </c:ext>
          </c:extLst>
        </c:ser>
        <c:ser>
          <c:idx val="4"/>
          <c:order val="3"/>
          <c:tx>
            <c:v>Floor Right</c:v>
          </c:tx>
          <c:spPr>
            <a:ln w="31750" cap="rnd">
              <a:solidFill>
                <a:srgbClr val="FF0000"/>
              </a:solidFill>
              <a:round/>
            </a:ln>
            <a:effectLst/>
          </c:spPr>
          <c:marker>
            <c:symbol val="none"/>
          </c:marker>
          <c:xVal>
            <c:numLit>
              <c:formatCode>General</c:formatCode>
              <c:ptCount val="2"/>
              <c:pt idx="0">
                <c:v>1.8</c:v>
              </c:pt>
              <c:pt idx="1">
                <c:v>2</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4-A748-4E35-B9A2-7F4451F49275}"/>
            </c:ext>
          </c:extLst>
        </c:ser>
        <c:ser>
          <c:idx val="2"/>
          <c:order val="4"/>
          <c:tx>
            <c:v>Crest</c:v>
          </c:tx>
          <c:spPr>
            <a:ln w="25400" cap="rnd">
              <a:solidFill>
                <a:srgbClr val="FF0000"/>
              </a:solidFill>
              <a:round/>
            </a:ln>
            <a:effectLst/>
          </c:spPr>
          <c:marker>
            <c:symbol val="none"/>
          </c:marker>
          <c:xVal>
            <c:numRef>
              <c:f>('Reference Standards'!$X$662,'Reference Standards'!$X$663)</c:f>
              <c:numCache>
                <c:formatCode>General</c:formatCode>
                <c:ptCount val="2"/>
                <c:pt idx="0">
                  <c:v>1.3</c:v>
                </c:pt>
                <c:pt idx="1">
                  <c:v>1.6</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3-BA97-412E-9F11-BA31ACF154DC}"/>
            </c:ext>
          </c:extLst>
        </c:ser>
        <c:dLbls>
          <c:showLegendKey val="0"/>
          <c:showVal val="0"/>
          <c:showCatName val="0"/>
          <c:showSerName val="0"/>
          <c:showPercent val="0"/>
          <c:showBubbleSize val="0"/>
        </c:dLbls>
        <c:axId val="136342144"/>
        <c:axId val="136348416"/>
      </c:scatterChart>
      <c:valAx>
        <c:axId val="136342144"/>
        <c:scaling>
          <c:orientation val="minMax"/>
          <c:max val="2"/>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48416"/>
        <c:crosses val="autoZero"/>
        <c:crossBetween val="midCat"/>
      </c:valAx>
      <c:valAx>
        <c:axId val="13634841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421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Ecoregion 67</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8.7239627522916599E-2"/>
                  <c:y val="0.1264092062716447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Standards'!$S$492:$X$492</c:f>
              <c:numCache>
                <c:formatCode>General</c:formatCode>
                <c:ptCount val="6"/>
                <c:pt idx="0" formatCode="0">
                  <c:v>20</c:v>
                </c:pt>
                <c:pt idx="5">
                  <c:v>45</c:v>
                </c:pt>
              </c:numCache>
            </c:numRef>
          </c:xVal>
          <c:yVal>
            <c:numRef>
              <c:f>'Reference Standards'!$S$494:$X$494</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33CC-400E-91D8-8DB0C3E7DC9D}"/>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2879447591265086"/>
                  <c:y val="-0.256821579767773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Standards'!$S$493:$X$493</c:f>
              <c:numCache>
                <c:formatCode>General</c:formatCode>
                <c:ptCount val="6"/>
                <c:pt idx="0" formatCode="0">
                  <c:v>90</c:v>
                </c:pt>
                <c:pt idx="5">
                  <c:v>65</c:v>
                </c:pt>
              </c:numCache>
            </c:numRef>
          </c:xVal>
          <c:yVal>
            <c:numRef>
              <c:f>'Reference Standards'!$S$494:$X$494</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33CC-400E-91D8-8DB0C3E7DC9D}"/>
            </c:ext>
          </c:extLst>
        </c:ser>
        <c:ser>
          <c:idx val="2"/>
          <c:order val="2"/>
          <c:tx>
            <c:v>Crest</c:v>
          </c:tx>
          <c:spPr>
            <a:ln w="25400" cap="rnd">
              <a:solidFill>
                <a:srgbClr val="FF0000"/>
              </a:solidFill>
              <a:round/>
            </a:ln>
            <a:effectLst/>
          </c:spPr>
          <c:marker>
            <c:symbol val="none"/>
          </c:marker>
          <c:xVal>
            <c:numRef>
              <c:f>('Reference Standards'!$X$492,'Reference Standards'!$X$493)</c:f>
              <c:numCache>
                <c:formatCode>General</c:formatCode>
                <c:ptCount val="2"/>
                <c:pt idx="0">
                  <c:v>45</c:v>
                </c:pt>
                <c:pt idx="1">
                  <c:v>65</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0-FA7A-475D-A63F-B00735B9BBEC}"/>
            </c:ext>
          </c:extLst>
        </c:ser>
        <c:dLbls>
          <c:showLegendKey val="0"/>
          <c:showVal val="0"/>
          <c:showCatName val="0"/>
          <c:showSerName val="0"/>
          <c:showPercent val="0"/>
          <c:showBubbleSize val="0"/>
        </c:dLbls>
        <c:axId val="136868608"/>
        <c:axId val="136870528"/>
      </c:scatterChart>
      <c:valAx>
        <c:axId val="1368686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70528"/>
        <c:crosses val="autoZero"/>
        <c:crossBetween val="midCat"/>
      </c:valAx>
      <c:valAx>
        <c:axId val="13687052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686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4"/>
          <c:order val="0"/>
          <c:tx>
            <c:strRef>
              <c:f>'Data Summary R1'!$B$7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R1'!$F$4:$O$4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4-92C8-4EBD-977B-3E233368AC59}"/>
            </c:ext>
          </c:extLst>
        </c:ser>
        <c:ser>
          <c:idx val="5"/>
          <c:order val="1"/>
          <c:tx>
            <c:strRef>
              <c:f>'Data Summary R1'!$B$9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R1'!$F$4:$O$4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92C8-4EBD-977B-3E233368AC59}"/>
            </c:ext>
          </c:extLst>
        </c:ser>
        <c:ser>
          <c:idx val="6"/>
          <c:order val="2"/>
          <c:tx>
            <c:strRef>
              <c:f>'Data Summary R1'!$B$10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R1'!$F$4:$O$4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6-92C8-4EBD-977B-3E233368AC59}"/>
            </c:ext>
          </c:extLst>
        </c:ser>
        <c:ser>
          <c:idx val="7"/>
          <c:order val="3"/>
          <c:tx>
            <c:strRef>
              <c:f>'Data Summary R1'!$B$12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R1'!$F$4:$O$4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R1'!$F$30:$O$30</c:f>
              <c:numCache>
                <c:formatCode>0.00</c:formatCode>
                <c:ptCount val="10"/>
                <c:pt idx="0">
                  <c:v>0</c:v>
                </c:pt>
                <c:pt idx="1">
                  <c:v>0</c:v>
                </c:pt>
                <c:pt idx="2">
                  <c:v>0</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10750720"/>
        <c:axId val="113513984"/>
      </c:scatterChart>
      <c:valAx>
        <c:axId val="11075072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3513984"/>
        <c:crosses val="autoZero"/>
        <c:crossBetween val="midCat"/>
      </c:valAx>
      <c:valAx>
        <c:axId val="11351398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75072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B, C and E Streams &lt; 3% slope and Percent Riffle &gt;=60</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52456070937341359"/>
                  <c:y val="-0.177667509625849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'Performance Stds'!#REF!</c:f>
            </c:numRef>
          </c:xVal>
          <c:yVal>
            <c:numRef>
              <c:f>'Performance Stds'!#REF!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1CCE-4783-8506-AA46E4409ADE}"/>
            </c:ext>
          </c:extLst>
        </c:ser>
        <c:dLbls>
          <c:showLegendKey val="0"/>
          <c:showVal val="0"/>
          <c:showCatName val="0"/>
          <c:showSerName val="0"/>
          <c:showPercent val="0"/>
          <c:showBubbleSize val="0"/>
        </c:dLbls>
        <c:axId val="136896512"/>
        <c:axId val="136898048"/>
      </c:scatterChart>
      <c:valAx>
        <c:axId val="136896512"/>
        <c:scaling>
          <c:orientation val="minMax"/>
          <c:min val="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98048"/>
        <c:crosses val="autoZero"/>
        <c:crossBetween val="midCat"/>
      </c:valAx>
      <c:valAx>
        <c:axId val="136898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965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Ecoregion 71, 68 &amp; 69</a:t>
            </a:r>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4.1064433142759559E-2"/>
                  <c:y val="8.7360340447218743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Standards'!$S$527:$X$527</c:f>
              <c:numCache>
                <c:formatCode>General</c:formatCode>
                <c:ptCount val="6"/>
                <c:pt idx="0" formatCode="0">
                  <c:v>10</c:v>
                </c:pt>
                <c:pt idx="5" formatCode="0">
                  <c:v>30</c:v>
                </c:pt>
              </c:numCache>
            </c:numRef>
          </c:xVal>
          <c:yVal>
            <c:numRef>
              <c:f>'Reference Standards'!$S$529:$X$529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FAAA-4519-8328-5CF476756B3D}"/>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3.4993059871889422E-2"/>
                  <c:y val="-7.2050779229307277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Standards'!$S$528:$X$528</c:f>
              <c:numCache>
                <c:formatCode>General</c:formatCode>
                <c:ptCount val="6"/>
                <c:pt idx="0" formatCode="0">
                  <c:v>70</c:v>
                </c:pt>
                <c:pt idx="5" formatCode="0">
                  <c:v>50</c:v>
                </c:pt>
              </c:numCache>
            </c:numRef>
          </c:xVal>
          <c:yVal>
            <c:numRef>
              <c:f>'Reference Standards'!$S$529:$X$529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FAAA-4519-8328-5CF476756B3D}"/>
            </c:ext>
          </c:extLst>
        </c:ser>
        <c:ser>
          <c:idx val="4"/>
          <c:order val="2"/>
          <c:tx>
            <c:v>Crest</c:v>
          </c:tx>
          <c:spPr>
            <a:ln w="25400" cap="rnd">
              <a:solidFill>
                <a:srgbClr val="FF0000"/>
              </a:solidFill>
              <a:round/>
            </a:ln>
            <a:effectLst/>
          </c:spPr>
          <c:marker>
            <c:symbol val="none"/>
          </c:marker>
          <c:xVal>
            <c:numRef>
              <c:f>('Reference Standards'!$X$527,'Reference Standards'!$X$528)</c:f>
              <c:numCache>
                <c:formatCode>0</c:formatCode>
                <c:ptCount val="2"/>
                <c:pt idx="0">
                  <c:v>30</c:v>
                </c:pt>
                <c:pt idx="1">
                  <c:v>50</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0-A7A2-4FE8-9BB0-A3EA7C27BDD0}"/>
            </c:ext>
          </c:extLst>
        </c:ser>
        <c:dLbls>
          <c:showLegendKey val="0"/>
          <c:showVal val="0"/>
          <c:showCatName val="0"/>
          <c:showSerName val="0"/>
          <c:showPercent val="0"/>
          <c:showBubbleSize val="0"/>
        </c:dLbls>
        <c:axId val="136951296"/>
        <c:axId val="136953216"/>
      </c:scatterChart>
      <c:valAx>
        <c:axId val="136951296"/>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953216"/>
        <c:crosses val="autoZero"/>
        <c:crossBetween val="midCat"/>
      </c:valAx>
      <c:valAx>
        <c:axId val="13695321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951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A</a:t>
            </a:r>
            <a:r>
              <a:rPr lang="en-US" baseline="0"/>
              <a:t> and B</a:t>
            </a:r>
            <a:r>
              <a:rPr lang="en-US"/>
              <a:t> Streams and Percent Riffle &gt;70</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57622122197586678"/>
                  <c:y val="-7.639743340347382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'Performance Stds'!#REF!</c:f>
            </c:numRef>
          </c:xVal>
          <c:yVal>
            <c:numRef>
              <c:f>'Performance Stds'!#REF!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A234-4278-B36B-2D355F1EA40B}"/>
            </c:ext>
          </c:extLst>
        </c:ser>
        <c:dLbls>
          <c:showLegendKey val="0"/>
          <c:showVal val="0"/>
          <c:showCatName val="0"/>
          <c:showSerName val="0"/>
          <c:showPercent val="0"/>
          <c:showBubbleSize val="0"/>
        </c:dLbls>
        <c:axId val="136663808"/>
        <c:axId val="136665344"/>
      </c:scatterChart>
      <c:valAx>
        <c:axId val="136663808"/>
        <c:scaling>
          <c:orientation val="minMax"/>
          <c:min val="6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665344"/>
        <c:crosses val="autoZero"/>
        <c:crossBetween val="midCat"/>
      </c:valAx>
      <c:valAx>
        <c:axId val="136665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6638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Unconfined Alluvial Valleys</a:t>
            </a:r>
            <a:endParaRPr lang="en-US"/>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4117215398032724"/>
                  <c:y val="8.883419567705083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Standards'!$S$695:$W$695</c:f>
              <c:numCache>
                <c:formatCode>General</c:formatCode>
                <c:ptCount val="5"/>
              </c:numCache>
            </c:numRef>
          </c:xVal>
          <c:yVal>
            <c:numRef>
              <c:f>'Reference Standards'!$S$697:$W$697</c:f>
              <c:numCache>
                <c:formatCode>General</c:formatCode>
                <c:ptCount val="5"/>
                <c:pt idx="0">
                  <c:v>0</c:v>
                </c:pt>
                <c:pt idx="1">
                  <c:v>0.2</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0-4D02-4A2D-AE52-B72266B9C1B6}"/>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2463669678249886"/>
                  <c:y val="-0.2423974758562603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Standards'!$S$696:$W$696</c:f>
              <c:numCache>
                <c:formatCode>General</c:formatCode>
                <c:ptCount val="5"/>
                <c:pt idx="2">
                  <c:v>1.5</c:v>
                </c:pt>
                <c:pt idx="3">
                  <c:v>1.41</c:v>
                </c:pt>
              </c:numCache>
            </c:numRef>
          </c:xVal>
          <c:yVal>
            <c:numRef>
              <c:f>'Reference Standards'!$S$697:$W$697</c:f>
              <c:numCache>
                <c:formatCode>General</c:formatCode>
                <c:ptCount val="5"/>
                <c:pt idx="0">
                  <c:v>0</c:v>
                </c:pt>
                <c:pt idx="1">
                  <c:v>0.2</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4D02-4A2D-AE52-B72266B9C1B6}"/>
            </c:ext>
          </c:extLst>
        </c:ser>
        <c:ser>
          <c:idx val="2"/>
          <c:order val="2"/>
          <c:tx>
            <c:v>Floor Left</c:v>
          </c:tx>
          <c:spPr>
            <a:ln w="25400" cap="rnd">
              <a:solidFill>
                <a:srgbClr val="FF0000"/>
              </a:solidFill>
              <a:round/>
            </a:ln>
            <a:effectLst/>
          </c:spPr>
          <c:marker>
            <c:symbol val="none"/>
          </c:marker>
          <c:xVal>
            <c:numLit>
              <c:formatCode>General</c:formatCode>
              <c:ptCount val="2"/>
              <c:pt idx="0">
                <c:v>1</c:v>
              </c:pt>
              <c:pt idx="1">
                <c:v>1.2</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2-51A5-4CE1-A018-2A70F752C814}"/>
            </c:ext>
          </c:extLst>
        </c:ser>
        <c:ser>
          <c:idx val="3"/>
          <c:order val="3"/>
          <c:tx>
            <c:v>Floor Right</c:v>
          </c:tx>
          <c:spPr>
            <a:ln w="25400" cap="rnd">
              <a:solidFill>
                <a:srgbClr val="FF0000"/>
              </a:solidFill>
              <a:round/>
            </a:ln>
            <a:effectLst/>
          </c:spPr>
          <c:marker>
            <c:symbol val="none"/>
          </c:marker>
          <c:xVal>
            <c:numLit>
              <c:formatCode>General</c:formatCode>
              <c:ptCount val="2"/>
              <c:pt idx="0">
                <c:v>1.5</c:v>
              </c:pt>
              <c:pt idx="1">
                <c:v>1.6</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3-51A5-4CE1-A018-2A70F752C814}"/>
            </c:ext>
          </c:extLst>
        </c:ser>
        <c:ser>
          <c:idx val="4"/>
          <c:order val="4"/>
          <c:tx>
            <c:v>Crest</c:v>
          </c:tx>
          <c:spPr>
            <a:ln w="25400" cap="rnd">
              <a:solidFill>
                <a:srgbClr val="FF0000"/>
              </a:solidFill>
              <a:round/>
            </a:ln>
            <a:effectLst/>
          </c:spPr>
          <c:marker>
            <c:symbol val="none"/>
          </c:marker>
          <c:xVal>
            <c:numRef>
              <c:f>('Reference Standards'!$X$695,'Reference Standards'!$X$696)</c:f>
              <c:numCache>
                <c:formatCode>General</c:formatCode>
                <c:ptCount val="2"/>
                <c:pt idx="0">
                  <c:v>1.2</c:v>
                </c:pt>
                <c:pt idx="1">
                  <c:v>1.4</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2-4785-4B44-AC11-26A69B5FD853}"/>
            </c:ext>
          </c:extLst>
        </c:ser>
        <c:dLbls>
          <c:showLegendKey val="0"/>
          <c:showVal val="0"/>
          <c:showCatName val="0"/>
          <c:showSerName val="0"/>
          <c:showPercent val="0"/>
          <c:showBubbleSize val="0"/>
        </c:dLbls>
        <c:axId val="136737536"/>
        <c:axId val="136739456"/>
      </c:scatterChart>
      <c:valAx>
        <c:axId val="136737536"/>
        <c:scaling>
          <c:orientation val="minMax"/>
          <c:max val="1.6"/>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739456"/>
        <c:crosses val="autoZero"/>
        <c:crossBetween val="midCat"/>
      </c:valAx>
      <c:valAx>
        <c:axId val="136739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737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Tree </a:t>
            </a:r>
            <a:r>
              <a:rPr lang="en-US" baseline="0"/>
              <a:t>Density</a:t>
            </a:r>
            <a:endParaRPr lang="en-US"/>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5793994390753882"/>
                  <c:y val="9.1842105375400232E-2"/>
                </c:manualLayout>
              </c:layout>
              <c:numFmt formatCode="0.0E+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Standards'!$S$253:$X$253</c:f>
              <c:numCache>
                <c:formatCode>General</c:formatCode>
                <c:ptCount val="6"/>
                <c:pt idx="0">
                  <c:v>0</c:v>
                </c:pt>
                <c:pt idx="5">
                  <c:v>135</c:v>
                </c:pt>
              </c:numCache>
            </c:numRef>
          </c:xVal>
          <c:yVal>
            <c:numRef>
              <c:f>'Reference Standards'!$S$255:$X$255</c:f>
              <c:numCache>
                <c:formatCode>General</c:formatCode>
                <c:ptCount val="6"/>
                <c:pt idx="0">
                  <c:v>0</c:v>
                </c:pt>
                <c:pt idx="1">
                  <c:v>0.28999999999999998</c:v>
                </c:pt>
                <c:pt idx="2">
                  <c:v>0.3</c:v>
                </c:pt>
                <c:pt idx="3">
                  <c:v>0.5</c:v>
                </c:pt>
                <c:pt idx="4">
                  <c:v>0.7</c:v>
                </c:pt>
                <c:pt idx="5">
                  <c:v>1</c:v>
                </c:pt>
              </c:numCache>
            </c:numRef>
          </c:yVal>
          <c:smooth val="0"/>
          <c:extLst xmlns:c16r2="http://schemas.microsoft.com/office/drawing/2015/06/chart">
            <c:ext xmlns:c16="http://schemas.microsoft.com/office/drawing/2014/chart" uri="{C3380CC4-5D6E-409C-BE32-E72D297353CC}">
              <c16:uniqueId val="{00000000-4D1B-4534-82B9-CBA282048D48}"/>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7.3671306140384502E-2"/>
                  <c:y val="-0.1228026176440606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Standards'!$V$254:$X$254</c:f>
              <c:numCache>
                <c:formatCode>General</c:formatCode>
                <c:ptCount val="3"/>
                <c:pt idx="0">
                  <c:v>366</c:v>
                </c:pt>
                <c:pt idx="2">
                  <c:v>262</c:v>
                </c:pt>
              </c:numCache>
            </c:numRef>
          </c:xVal>
          <c:yVal>
            <c:numRef>
              <c:f>'Reference Standards'!$V$255:$X$255</c:f>
              <c:numCache>
                <c:formatCode>General</c:formatCode>
                <c:ptCount val="3"/>
                <c:pt idx="0">
                  <c:v>0.5</c:v>
                </c:pt>
                <c:pt idx="1">
                  <c:v>0.7</c:v>
                </c:pt>
                <c:pt idx="2">
                  <c:v>1</c:v>
                </c:pt>
              </c:numCache>
            </c:numRef>
          </c:yVal>
          <c:smooth val="0"/>
          <c:extLst xmlns:c16r2="http://schemas.microsoft.com/office/drawing/2015/06/chart">
            <c:ext xmlns:c16="http://schemas.microsoft.com/office/drawing/2014/chart" uri="{C3380CC4-5D6E-409C-BE32-E72D297353CC}">
              <c16:uniqueId val="{00000001-270A-4FBE-A23F-6D0478ED727C}"/>
            </c:ext>
          </c:extLst>
        </c:ser>
        <c:ser>
          <c:idx val="2"/>
          <c:order val="2"/>
          <c:tx>
            <c:v>crest</c:v>
          </c:tx>
          <c:spPr>
            <a:ln w="28575" cap="rnd">
              <a:solidFill>
                <a:srgbClr val="FF0000"/>
              </a:solidFill>
              <a:round/>
            </a:ln>
            <a:effectLst/>
          </c:spPr>
          <c:marker>
            <c:symbol val="none"/>
          </c:marker>
          <c:xVal>
            <c:numRef>
              <c:f>('Reference Standards'!$X$253,'Reference Standards'!$X$254)</c:f>
              <c:numCache>
                <c:formatCode>General</c:formatCode>
                <c:ptCount val="2"/>
                <c:pt idx="0">
                  <c:v>135</c:v>
                </c:pt>
                <c:pt idx="1">
                  <c:v>262</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2-270A-4FBE-A23F-6D0478ED727C}"/>
            </c:ext>
          </c:extLst>
        </c:ser>
        <c:ser>
          <c:idx val="3"/>
          <c:order val="3"/>
          <c:tx>
            <c:v>tail</c:v>
          </c:tx>
          <c:spPr>
            <a:ln w="25400" cap="rnd">
              <a:solidFill>
                <a:srgbClr val="FF0000"/>
              </a:solidFill>
              <a:round/>
            </a:ln>
            <a:effectLst/>
          </c:spPr>
          <c:marker>
            <c:symbol val="none"/>
          </c:marker>
          <c:xVal>
            <c:numLit>
              <c:formatCode>General</c:formatCode>
              <c:ptCount val="2"/>
              <c:pt idx="0">
                <c:v>366</c:v>
              </c:pt>
              <c:pt idx="1">
                <c:v>400</c:v>
              </c:pt>
            </c:numLit>
          </c:xVal>
          <c:yVal>
            <c:numRef>
              <c:f>('Reference Standards'!$V$255,'Reference Standards'!$V$255)</c:f>
              <c:numCache>
                <c:formatCode>General</c:formatCode>
                <c:ptCount val="2"/>
                <c:pt idx="0">
                  <c:v>0.5</c:v>
                </c:pt>
                <c:pt idx="1">
                  <c:v>0.5</c:v>
                </c:pt>
              </c:numCache>
            </c:numRef>
          </c:yVal>
          <c:smooth val="0"/>
          <c:extLst xmlns:c16r2="http://schemas.microsoft.com/office/drawing/2015/06/chart">
            <c:ext xmlns:c16="http://schemas.microsoft.com/office/drawing/2014/chart" uri="{C3380CC4-5D6E-409C-BE32-E72D297353CC}">
              <c16:uniqueId val="{00000004-270A-4FBE-A23F-6D0478ED727C}"/>
            </c:ext>
          </c:extLst>
        </c:ser>
        <c:dLbls>
          <c:showLegendKey val="0"/>
          <c:showVal val="0"/>
          <c:showCatName val="0"/>
          <c:showSerName val="0"/>
          <c:showPercent val="0"/>
          <c:showBubbleSize val="0"/>
        </c:dLbls>
        <c:axId val="136802688"/>
        <c:axId val="136804608"/>
      </c:scatterChart>
      <c:valAx>
        <c:axId val="136802688"/>
        <c:scaling>
          <c:orientation val="minMax"/>
          <c:max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04608"/>
        <c:crosses val="autoZero"/>
        <c:crossBetween val="midCat"/>
      </c:valAx>
      <c:valAx>
        <c:axId val="13680460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026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TN Macroinvertebrate Index (TMI)</a:t>
            </a:r>
          </a:p>
        </c:rich>
      </c:tx>
      <c:overlay val="0"/>
      <c:spPr>
        <a:noFill/>
        <a:ln>
          <a:noFill/>
        </a:ln>
        <a:effectLst/>
      </c:spPr>
    </c:title>
    <c:autoTitleDeleted val="0"/>
    <c:plotArea>
      <c:layout/>
      <c:scatterChart>
        <c:scatterStyle val="lineMarker"/>
        <c:varyColors val="0"/>
        <c:ser>
          <c:idx val="0"/>
          <c:order val="0"/>
          <c:tx>
            <c:strRef>
              <c:f>'Reference Standards'!$AL$15</c:f>
              <c:strCache>
                <c:ptCount val="1"/>
                <c:pt idx="0">
                  <c:v>Bioregion 73a or 73b - TMI &lt; 22</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8.376201504314143E-2"/>
                  <c:y val="0.1214358078300861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Standards'!$AL$10:$AN$10</c:f>
              <c:numCache>
                <c:formatCode>General</c:formatCode>
                <c:ptCount val="3"/>
                <c:pt idx="0">
                  <c:v>0</c:v>
                </c:pt>
                <c:pt idx="2" formatCode="0">
                  <c:v>22</c:v>
                </c:pt>
              </c:numCache>
            </c:numRef>
          </c:xVal>
          <c:yVal>
            <c:numRef>
              <c:f>'Reference Standards'!$AL$12:$AN$12</c:f>
              <c:numCache>
                <c:formatCode>General</c:formatCode>
                <c:ptCount val="3"/>
                <c:pt idx="0">
                  <c:v>0</c:v>
                </c:pt>
                <c:pt idx="1">
                  <c:v>0.28999999999999998</c:v>
                </c:pt>
                <c:pt idx="2">
                  <c:v>0.5</c:v>
                </c:pt>
              </c:numCache>
            </c:numRef>
          </c:yVal>
          <c:smooth val="0"/>
          <c:extLst xmlns:c16r2="http://schemas.microsoft.com/office/drawing/2015/06/chart">
            <c:ext xmlns:c16="http://schemas.microsoft.com/office/drawing/2014/chart" uri="{C3380CC4-5D6E-409C-BE32-E72D297353CC}">
              <c16:uniqueId val="{00000000-3C2B-4369-B12E-CEBB85132D7A}"/>
            </c:ext>
          </c:extLst>
        </c:ser>
        <c:ser>
          <c:idx val="1"/>
          <c:order val="1"/>
          <c:tx>
            <c:strRef>
              <c:f>'Reference Standards'!$AM$15</c:f>
              <c:strCache>
                <c:ptCount val="1"/>
                <c:pt idx="0">
                  <c:v>Bioregion 73a or 73b - TMI &gt;= 22</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3.5381966833199593E-2"/>
                  <c:y val="9.3747061589092615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Standards'!$AN$10:$AQ$10</c:f>
              <c:numCache>
                <c:formatCode>0</c:formatCode>
                <c:ptCount val="4"/>
                <c:pt idx="0">
                  <c:v>22</c:v>
                </c:pt>
                <c:pt idx="3" formatCode="General">
                  <c:v>30</c:v>
                </c:pt>
              </c:numCache>
            </c:numRef>
          </c:xVal>
          <c:yVal>
            <c:numRef>
              <c:f>'Reference Standards'!$AN$12:$AQ$12</c:f>
              <c:numCache>
                <c:formatCode>General</c:formatCode>
                <c:ptCount val="4"/>
                <c:pt idx="0">
                  <c:v>0.5</c:v>
                </c:pt>
                <c:pt idx="1">
                  <c:v>0.69</c:v>
                </c:pt>
                <c:pt idx="2">
                  <c:v>0.7</c:v>
                </c:pt>
                <c:pt idx="3">
                  <c:v>1</c:v>
                </c:pt>
              </c:numCache>
            </c:numRef>
          </c:yVal>
          <c:smooth val="0"/>
          <c:extLst xmlns:c16r2="http://schemas.microsoft.com/office/drawing/2015/06/chart">
            <c:ext xmlns:c16="http://schemas.microsoft.com/office/drawing/2014/chart" uri="{C3380CC4-5D6E-409C-BE32-E72D297353CC}">
              <c16:uniqueId val="{00000002-25A0-4F7D-81E5-965546FC5096}"/>
            </c:ext>
          </c:extLst>
        </c:ser>
        <c:ser>
          <c:idx val="2"/>
          <c:order val="2"/>
          <c:tx>
            <c:strRef>
              <c:f>'Reference Standards'!$AN$15</c:f>
              <c:strCache>
                <c:ptCount val="1"/>
                <c:pt idx="0">
                  <c:v>All other Bioregions - TMI &lt; 32</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1.0192666350311914E-2"/>
                  <c:y val="0.1865590143968252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Standards'!$AL$11:$AN$11</c:f>
              <c:numCache>
                <c:formatCode>General</c:formatCode>
                <c:ptCount val="3"/>
                <c:pt idx="0">
                  <c:v>0</c:v>
                </c:pt>
                <c:pt idx="2" formatCode="0">
                  <c:v>32</c:v>
                </c:pt>
              </c:numCache>
            </c:numRef>
          </c:xVal>
          <c:yVal>
            <c:numRef>
              <c:f>'Reference Standards'!$AL$12:$AN$12</c:f>
              <c:numCache>
                <c:formatCode>General</c:formatCode>
                <c:ptCount val="3"/>
                <c:pt idx="0">
                  <c:v>0</c:v>
                </c:pt>
                <c:pt idx="1">
                  <c:v>0.28999999999999998</c:v>
                </c:pt>
                <c:pt idx="2">
                  <c:v>0.5</c:v>
                </c:pt>
              </c:numCache>
            </c:numRef>
          </c:yVal>
          <c:smooth val="0"/>
          <c:extLst xmlns:c16r2="http://schemas.microsoft.com/office/drawing/2015/06/chart">
            <c:ext xmlns:c16="http://schemas.microsoft.com/office/drawing/2014/chart" uri="{C3380CC4-5D6E-409C-BE32-E72D297353CC}">
              <c16:uniqueId val="{00000003-CA0D-4AC1-BD3B-1AC98A7FE04E}"/>
            </c:ext>
          </c:extLst>
        </c:ser>
        <c:ser>
          <c:idx val="3"/>
          <c:order val="3"/>
          <c:tx>
            <c:strRef>
              <c:f>'Reference Standards'!$AO$15</c:f>
              <c:strCache>
                <c:ptCount val="1"/>
                <c:pt idx="0">
                  <c:v>All other Bioregions - TMI &gt;= 32</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0.10683878046819452"/>
                  <c:y val="0.1532988559786867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Standards'!$AN$11:$AQ$11</c:f>
              <c:numCache>
                <c:formatCode>0</c:formatCode>
                <c:ptCount val="4"/>
                <c:pt idx="0">
                  <c:v>32</c:v>
                </c:pt>
                <c:pt idx="3" formatCode="General">
                  <c:v>42</c:v>
                </c:pt>
              </c:numCache>
            </c:numRef>
          </c:xVal>
          <c:yVal>
            <c:numRef>
              <c:f>'Reference Standards'!$AN$12:$AQ$12</c:f>
              <c:numCache>
                <c:formatCode>General</c:formatCode>
                <c:ptCount val="4"/>
                <c:pt idx="0">
                  <c:v>0.5</c:v>
                </c:pt>
                <c:pt idx="1">
                  <c:v>0.69</c:v>
                </c:pt>
                <c:pt idx="2">
                  <c:v>0.7</c:v>
                </c:pt>
                <c:pt idx="3">
                  <c:v>1</c:v>
                </c:pt>
              </c:numCache>
            </c:numRef>
          </c:yVal>
          <c:smooth val="0"/>
          <c:extLst xmlns:c16r2="http://schemas.microsoft.com/office/drawing/2015/06/chart">
            <c:ext xmlns:c16="http://schemas.microsoft.com/office/drawing/2014/chart" uri="{C3380CC4-5D6E-409C-BE32-E72D297353CC}">
              <c16:uniqueId val="{00000004-CA0D-4AC1-BD3B-1AC98A7FE04E}"/>
            </c:ext>
          </c:extLst>
        </c:ser>
        <c:dLbls>
          <c:showLegendKey val="0"/>
          <c:showVal val="0"/>
          <c:showCatName val="0"/>
          <c:showSerName val="0"/>
          <c:showPercent val="0"/>
          <c:showBubbleSize val="0"/>
        </c:dLbls>
        <c:axId val="137315840"/>
        <c:axId val="137317760"/>
      </c:scatterChart>
      <c:valAx>
        <c:axId val="13731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17760"/>
        <c:crosses val="autoZero"/>
        <c:crossBetween val="midCat"/>
      </c:valAx>
      <c:valAx>
        <c:axId val="13731776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15840"/>
        <c:crosses val="autoZero"/>
        <c:crossBetween val="midCat"/>
      </c:valAx>
      <c:spPr>
        <a:noFill/>
        <a:ln>
          <a:noFill/>
        </a:ln>
        <a:effectLst/>
      </c:spPr>
    </c:plotArea>
    <c:legend>
      <c:legendPos val="r"/>
      <c:layout>
        <c:manualLayout>
          <c:xMode val="edge"/>
          <c:yMode val="edge"/>
          <c:x val="0.61991489952058076"/>
          <c:y val="0.18200760871040625"/>
          <c:w val="0.36807202798635996"/>
          <c:h val="0.532834806086474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Clingers - Plot 1</a:t>
            </a:r>
          </a:p>
        </c:rich>
      </c:tx>
      <c:overlay val="0"/>
      <c:spPr>
        <a:noFill/>
        <a:ln>
          <a:noFill/>
        </a:ln>
        <a:effectLst/>
      </c:spPr>
    </c:title>
    <c:autoTitleDeleted val="0"/>
    <c:plotArea>
      <c:layout/>
      <c:scatterChart>
        <c:scatterStyle val="lineMarker"/>
        <c:varyColors val="0"/>
        <c:ser>
          <c:idx val="0"/>
          <c:order val="0"/>
          <c:tx>
            <c:strRef>
              <c:f>'Reference Standards'!$AK$45</c:f>
              <c:strCache>
                <c:ptCount val="1"/>
                <c:pt idx="0">
                  <c:v>74b, DA &lt;=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0974570974753896"/>
                  <c:y val="-0.2156343884006668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Standards'!$AL$45:$AQ$45</c:f>
              <c:numCache>
                <c:formatCode>General</c:formatCode>
                <c:ptCount val="6"/>
                <c:pt idx="0">
                  <c:v>0</c:v>
                </c:pt>
                <c:pt idx="2" formatCode="0">
                  <c:v>9.1999999999999993</c:v>
                </c:pt>
                <c:pt idx="3" formatCode="0">
                  <c:v>13.6</c:v>
                </c:pt>
                <c:pt idx="5" formatCode="0">
                  <c:v>15.6</c:v>
                </c:pt>
              </c:numCache>
            </c:numRef>
          </c:xVal>
          <c:yVal>
            <c:numRef>
              <c:f>'Reference Standards'!$AL$50:$AQ$50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8E5C-438D-8CCF-3A53D164C7AA}"/>
            </c:ext>
          </c:extLst>
        </c:ser>
        <c:ser>
          <c:idx val="1"/>
          <c:order val="1"/>
          <c:tx>
            <c:strRef>
              <c:f>'Reference Standards'!$AK$46</c:f>
              <c:strCache>
                <c:ptCount val="1"/>
                <c:pt idx="0">
                  <c:v>65abei, DA &lt;=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31382131119158552"/>
                  <c:y val="-0.1320494081491771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Standards'!$AL$46:$AQ$46</c:f>
              <c:numCache>
                <c:formatCode>General</c:formatCode>
                <c:ptCount val="6"/>
                <c:pt idx="0">
                  <c:v>0</c:v>
                </c:pt>
                <c:pt idx="2" formatCode="0">
                  <c:v>11.5</c:v>
                </c:pt>
                <c:pt idx="3" formatCode="0">
                  <c:v>17.100000000000001</c:v>
                </c:pt>
                <c:pt idx="5" formatCode="0">
                  <c:v>19.899999999999999</c:v>
                </c:pt>
              </c:numCache>
            </c:numRef>
          </c:xVal>
          <c:yVal>
            <c:numRef>
              <c:f>'Reference Standards'!$AL$50:$AQ$50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CCFD-4536-B385-192B6754E2E9}"/>
            </c:ext>
          </c:extLst>
        </c:ser>
        <c:ser>
          <c:idx val="2"/>
          <c:order val="2"/>
          <c:tx>
            <c:strRef>
              <c:f>'Reference Standards'!$AK$47</c:f>
              <c:strCache>
                <c:ptCount val="1"/>
                <c:pt idx="0">
                  <c:v>74a, Jan-June, DA &gt; 2 sq.mi.
71i, DA &gt; 2 sq.mi., SQBANK</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31178351046956226"/>
                  <c:y val="-5.087946457176501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Standards'!$AL$47:$AQ$47</c:f>
              <c:numCache>
                <c:formatCode>General</c:formatCode>
                <c:ptCount val="6"/>
                <c:pt idx="0">
                  <c:v>0</c:v>
                </c:pt>
                <c:pt idx="2" formatCode="0">
                  <c:v>14.15</c:v>
                </c:pt>
                <c:pt idx="3" formatCode="0">
                  <c:v>21.1</c:v>
                </c:pt>
                <c:pt idx="5" formatCode="0">
                  <c:v>24.7</c:v>
                </c:pt>
              </c:numCache>
            </c:numRef>
          </c:xVal>
          <c:yVal>
            <c:numRef>
              <c:f>'Reference Standards'!$AL$50:$AQ$50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E735-4E0E-A571-0E7620508D99}"/>
            </c:ext>
          </c:extLst>
        </c:ser>
        <c:ser>
          <c:idx val="3"/>
          <c:order val="3"/>
          <c:tx>
            <c:strRef>
              <c:f>'Reference Standards'!$AK$48</c:f>
              <c:strCache>
                <c:ptCount val="1"/>
                <c:pt idx="0">
                  <c:v>65abei and 74b, DA&gt;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28732990180528284"/>
                  <c:y val="0.4606136001769931"/>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Standards'!$AL$48:$AQ$48</c:f>
              <c:numCache>
                <c:formatCode>General</c:formatCode>
                <c:ptCount val="6"/>
                <c:pt idx="0">
                  <c:v>0</c:v>
                </c:pt>
                <c:pt idx="2" formatCode="0">
                  <c:v>18.5</c:v>
                </c:pt>
                <c:pt idx="3" formatCode="0">
                  <c:v>27.7</c:v>
                </c:pt>
                <c:pt idx="5" formatCode="0">
                  <c:v>32.700000000000003</c:v>
                </c:pt>
              </c:numCache>
            </c:numRef>
          </c:xVal>
          <c:yVal>
            <c:numRef>
              <c:f>'Reference Standards'!$AL$50:$AQ$50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E735-4E0E-A571-0E7620508D99}"/>
            </c:ext>
          </c:extLst>
        </c:ser>
        <c:ser>
          <c:idx val="4"/>
          <c:order val="4"/>
          <c:tx>
            <c:strRef>
              <c:f>'Reference Standards'!$AK$49</c:f>
              <c:strCache>
                <c:ptCount val="1"/>
                <c:pt idx="0">
                  <c:v>68b, DA &gt; 2 sq.mi.</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8938370793115619"/>
                  <c:y val="0.5290437377603231"/>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Standards'!$AL$49:$AQ$49</c:f>
              <c:numCache>
                <c:formatCode>General</c:formatCode>
                <c:ptCount val="6"/>
                <c:pt idx="0">
                  <c:v>0</c:v>
                </c:pt>
                <c:pt idx="2" formatCode="0">
                  <c:v>23.3</c:v>
                </c:pt>
                <c:pt idx="3" formatCode="0">
                  <c:v>34.9</c:v>
                </c:pt>
                <c:pt idx="5" formatCode="0">
                  <c:v>41.2</c:v>
                </c:pt>
              </c:numCache>
            </c:numRef>
          </c:xVal>
          <c:yVal>
            <c:numRef>
              <c:f>'Reference Standards'!$AL$50:$AQ$50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4-E735-4E0E-A571-0E7620508D99}"/>
            </c:ext>
          </c:extLst>
        </c:ser>
        <c:dLbls>
          <c:showLegendKey val="0"/>
          <c:showVal val="0"/>
          <c:showCatName val="0"/>
          <c:showSerName val="0"/>
          <c:showPercent val="0"/>
          <c:showBubbleSize val="0"/>
        </c:dLbls>
        <c:axId val="137106560"/>
        <c:axId val="137108480"/>
      </c:scatterChart>
      <c:valAx>
        <c:axId val="137106560"/>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108480"/>
        <c:crosses val="autoZero"/>
        <c:crossBetween val="midCat"/>
      </c:valAx>
      <c:valAx>
        <c:axId val="13710848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106560"/>
        <c:crosses val="autoZero"/>
        <c:crossBetween val="midCat"/>
      </c:valAx>
      <c:spPr>
        <a:noFill/>
        <a:ln>
          <a:noFill/>
        </a:ln>
        <a:effectLst/>
      </c:spPr>
    </c:plotArea>
    <c:legend>
      <c:legendPos val="r"/>
      <c:layout>
        <c:manualLayout>
          <c:xMode val="edge"/>
          <c:yMode val="edge"/>
          <c:x val="0.68212564468108583"/>
          <c:y val="5.7661436761474255E-2"/>
          <c:w val="0.30699914182862575"/>
          <c:h val="0.90061487156336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OC - Plot 1</a:t>
            </a:r>
          </a:p>
        </c:rich>
      </c:tx>
      <c:overlay val="0"/>
      <c:spPr>
        <a:noFill/>
        <a:ln>
          <a:noFill/>
        </a:ln>
        <a:effectLst/>
      </c:spPr>
    </c:title>
    <c:autoTitleDeleted val="0"/>
    <c:plotArea>
      <c:layout/>
      <c:scatterChart>
        <c:scatterStyle val="lineMarker"/>
        <c:varyColors val="0"/>
        <c:ser>
          <c:idx val="0"/>
          <c:order val="0"/>
          <c:tx>
            <c:strRef>
              <c:f>'Reference Standards'!$AK$200</c:f>
              <c:strCache>
                <c:ptCount val="1"/>
                <c:pt idx="0">
                  <c:v>67fghi, 71e, 73ab
71fgh, DA &gt;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962806546725755"/>
                  <c:y val="-0.7544910691789007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Standards'!$AL$200:$AQ$200</c:f>
              <c:numCache>
                <c:formatCode>General</c:formatCode>
                <c:ptCount val="6"/>
                <c:pt idx="0" formatCode="0">
                  <c:v>100</c:v>
                </c:pt>
                <c:pt idx="2" formatCode="0">
                  <c:v>51.94</c:v>
                </c:pt>
                <c:pt idx="3" formatCode="0">
                  <c:v>28.04</c:v>
                </c:pt>
                <c:pt idx="5" formatCode="0">
                  <c:v>14</c:v>
                </c:pt>
              </c:numCache>
            </c:numRef>
          </c:xVal>
          <c:yVal>
            <c:numRef>
              <c:f>'Reference Standards'!$AL$204:$AQ$204</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06EC-42A6-BA8B-0158167C91F3}"/>
            </c:ext>
          </c:extLst>
        </c:ser>
        <c:ser>
          <c:idx val="1"/>
          <c:order val="1"/>
          <c:tx>
            <c:strRef>
              <c:f>'Reference Standards'!$AK$201</c:f>
              <c:strCache>
                <c:ptCount val="1"/>
                <c:pt idx="0">
                  <c:v>66deik, 66fgj, 68a, 68cd
69de, July - Dec
71i, DA &lt;= 2 sq.mi.
71i, DA &gt; 2sq.mi., SQBANK
74a, July - Dec, DA &gt;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0534084288211303"/>
                  <c:y val="-0.68990529423050695"/>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Standards'!$AL$201:$AQ$201</c:f>
              <c:numCache>
                <c:formatCode>General</c:formatCode>
                <c:ptCount val="6"/>
                <c:pt idx="0" formatCode="0">
                  <c:v>100</c:v>
                </c:pt>
                <c:pt idx="2" formatCode="0">
                  <c:v>54.029999999999994</c:v>
                </c:pt>
                <c:pt idx="3" formatCode="0">
                  <c:v>31.120000000000005</c:v>
                </c:pt>
                <c:pt idx="5" formatCode="0">
                  <c:v>17.899999999999999</c:v>
                </c:pt>
              </c:numCache>
            </c:numRef>
          </c:xVal>
          <c:yVal>
            <c:numRef>
              <c:f>'Reference Standards'!$AL$204:$AQ$204</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1-1BF6-47A4-B95F-92B8A84F4D01}"/>
            </c:ext>
          </c:extLst>
        </c:ser>
        <c:ser>
          <c:idx val="2"/>
          <c:order val="2"/>
          <c:tx>
            <c:strRef>
              <c:f>'Reference Standards'!$AK$202</c:f>
              <c:strCache>
                <c:ptCount val="1"/>
                <c:pt idx="0">
                  <c:v>69de, Jan - June
71i, DA &gt; 2 sq.mi., SQKICK</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1996045127915395"/>
                  <c:y val="-0.6165123681527867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Standards'!$AL$202:$AQ$202</c:f>
              <c:numCache>
                <c:formatCode>General</c:formatCode>
                <c:ptCount val="6"/>
                <c:pt idx="0" formatCode="0">
                  <c:v>100</c:v>
                </c:pt>
                <c:pt idx="2" formatCode="0">
                  <c:v>55.8</c:v>
                </c:pt>
                <c:pt idx="3" formatCode="0">
                  <c:v>33.799999999999997</c:v>
                </c:pt>
                <c:pt idx="5" formatCode="0">
                  <c:v>21</c:v>
                </c:pt>
              </c:numCache>
            </c:numRef>
          </c:xVal>
          <c:yVal>
            <c:numRef>
              <c:f>'Reference Standards'!$AL$204:$AQ$204</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1BF6-47A4-B95F-92B8A84F4D01}"/>
            </c:ext>
          </c:extLst>
        </c:ser>
        <c:ser>
          <c:idx val="3"/>
          <c:order val="3"/>
          <c:tx>
            <c:strRef>
              <c:f>'Reference Standards'!$AK$203</c:f>
              <c:strCache>
                <c:ptCount val="1"/>
                <c:pt idx="0">
                  <c:v>65j
68b, DA &gt;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1175366796730168"/>
                  <c:y val="-0.5460551591181753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Standards'!$AL$203:$AQ$203</c:f>
              <c:numCache>
                <c:formatCode>General</c:formatCode>
                <c:ptCount val="6"/>
                <c:pt idx="0" formatCode="0">
                  <c:v>100</c:v>
                </c:pt>
                <c:pt idx="2" formatCode="0">
                  <c:v>57.25</c:v>
                </c:pt>
                <c:pt idx="3" formatCode="0">
                  <c:v>36.049999999999997</c:v>
                </c:pt>
                <c:pt idx="5" formatCode="0">
                  <c:v>23.5</c:v>
                </c:pt>
              </c:numCache>
            </c:numRef>
          </c:xVal>
          <c:yVal>
            <c:numRef>
              <c:f>'Reference Standards'!$AL$204:$AQ$204</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1BF6-47A4-B95F-92B8A84F4D01}"/>
            </c:ext>
          </c:extLst>
        </c:ser>
        <c:dLbls>
          <c:showLegendKey val="0"/>
          <c:showVal val="0"/>
          <c:showCatName val="0"/>
          <c:showSerName val="0"/>
          <c:showPercent val="0"/>
          <c:showBubbleSize val="0"/>
        </c:dLbls>
        <c:axId val="137632768"/>
        <c:axId val="137643136"/>
      </c:scatterChart>
      <c:valAx>
        <c:axId val="13763276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43136"/>
        <c:crosses val="autoZero"/>
        <c:crossBetween val="midCat"/>
      </c:valAx>
      <c:valAx>
        <c:axId val="13764313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32768"/>
        <c:crosses val="autoZero"/>
        <c:crossBetween val="midCat"/>
      </c:valAx>
      <c:spPr>
        <a:noFill/>
        <a:ln>
          <a:noFill/>
        </a:ln>
        <a:effectLst/>
      </c:spPr>
    </c:plotArea>
    <c:legend>
      <c:legendPos val="r"/>
      <c:layout>
        <c:manualLayout>
          <c:xMode val="edge"/>
          <c:yMode val="edge"/>
          <c:x val="0.70435989335969906"/>
          <c:y val="1.7905562374740793E-3"/>
          <c:w val="0.28487720475290879"/>
          <c:h val="0.998209443762525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OC - Plot 2</a:t>
            </a:r>
          </a:p>
        </c:rich>
      </c:tx>
      <c:overlay val="0"/>
      <c:spPr>
        <a:noFill/>
        <a:ln>
          <a:noFill/>
        </a:ln>
        <a:effectLst/>
      </c:spPr>
    </c:title>
    <c:autoTitleDeleted val="0"/>
    <c:plotArea>
      <c:layout/>
      <c:scatterChart>
        <c:scatterStyle val="lineMarker"/>
        <c:varyColors val="0"/>
        <c:ser>
          <c:idx val="0"/>
          <c:order val="0"/>
          <c:tx>
            <c:strRef>
              <c:f>'Reference Standards'!$AK$238</c:f>
              <c:strCache>
                <c:ptCount val="1"/>
                <c:pt idx="0">
                  <c:v>65abei, DA &lt;= 2 sq.mi.
71fgh, DA &lt;=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770104930441401"/>
                  <c:y val="-0.75902046937914958"/>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Standards'!$AL$238:$AQ$238</c:f>
              <c:numCache>
                <c:formatCode>General</c:formatCode>
                <c:ptCount val="6"/>
                <c:pt idx="0">
                  <c:v>100</c:v>
                </c:pt>
                <c:pt idx="2" formatCode="0">
                  <c:v>62.099999999999994</c:v>
                </c:pt>
                <c:pt idx="3" formatCode="0">
                  <c:v>43.15</c:v>
                </c:pt>
                <c:pt idx="5" formatCode="0">
                  <c:v>32</c:v>
                </c:pt>
              </c:numCache>
            </c:numRef>
          </c:xVal>
          <c:yVal>
            <c:numRef>
              <c:f>'Reference Standards'!$AL$242:$AQ$242</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0DF5-4371-9059-C9B850753AF2}"/>
            </c:ext>
          </c:extLst>
        </c:ser>
        <c:ser>
          <c:idx val="1"/>
          <c:order val="1"/>
          <c:tx>
            <c:strRef>
              <c:f>'Reference Standards'!$AK$239</c:f>
              <c:strCache>
                <c:ptCount val="1"/>
                <c:pt idx="0">
                  <c:v>65abei and 74b, DA&gt;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7130383559152856"/>
                  <c:y val="-0.7058816282336007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Standards'!$AL$239:$AQ$239</c:f>
              <c:numCache>
                <c:formatCode>General</c:formatCode>
                <c:ptCount val="6"/>
                <c:pt idx="0">
                  <c:v>100</c:v>
                </c:pt>
                <c:pt idx="2" formatCode="0">
                  <c:v>64.2</c:v>
                </c:pt>
                <c:pt idx="3" formatCode="0">
                  <c:v>46.3</c:v>
                </c:pt>
                <c:pt idx="5" formatCode="0">
                  <c:v>35.200000000000003</c:v>
                </c:pt>
              </c:numCache>
            </c:numRef>
          </c:xVal>
          <c:yVal>
            <c:numRef>
              <c:f>'Reference Standards'!$AL$242:$AQ$242</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1-BB4D-464C-80AF-8B67A8AFCC00}"/>
            </c:ext>
          </c:extLst>
        </c:ser>
        <c:ser>
          <c:idx val="2"/>
          <c:order val="2"/>
          <c:tx>
            <c:strRef>
              <c:f>'Reference Standards'!$AK$240</c:f>
              <c:strCache>
                <c:ptCount val="1"/>
                <c:pt idx="0">
                  <c:v>74a, Jan-June, DA &gt; 2 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6770104930441401"/>
                  <c:y val="-0.6527427870880518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Standards'!$AL$240:$AQ$240</c:f>
              <c:numCache>
                <c:formatCode>General</c:formatCode>
                <c:ptCount val="6"/>
                <c:pt idx="0">
                  <c:v>100</c:v>
                </c:pt>
                <c:pt idx="2" formatCode="0">
                  <c:v>73.099999999999994</c:v>
                </c:pt>
                <c:pt idx="3" formatCode="0">
                  <c:v>59.7</c:v>
                </c:pt>
                <c:pt idx="5" formatCode="0">
                  <c:v>51.8</c:v>
                </c:pt>
              </c:numCache>
            </c:numRef>
          </c:xVal>
          <c:yVal>
            <c:numRef>
              <c:f>'Reference Standards'!$AL$242:$AQ$242</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BB4D-464C-80AF-8B67A8AFCC00}"/>
            </c:ext>
          </c:extLst>
        </c:ser>
        <c:ser>
          <c:idx val="3"/>
          <c:order val="3"/>
          <c:tx>
            <c:strRef>
              <c:f>'Reference Standards'!$AK$241</c:f>
              <c:strCache>
                <c:ptCount val="1"/>
                <c:pt idx="0">
                  <c:v>74b, DA &lt;=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7130383559152856"/>
                  <c:y val="-0.5966517881010837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Standards'!$AL$241:$AQ$241</c:f>
              <c:numCache>
                <c:formatCode>General</c:formatCode>
                <c:ptCount val="6"/>
                <c:pt idx="0">
                  <c:v>100</c:v>
                </c:pt>
                <c:pt idx="2" formatCode="0">
                  <c:v>78.5</c:v>
                </c:pt>
                <c:pt idx="3" formatCode="0">
                  <c:v>67.900000000000006</c:v>
                </c:pt>
                <c:pt idx="5" formatCode="0">
                  <c:v>61.6</c:v>
                </c:pt>
              </c:numCache>
            </c:numRef>
          </c:xVal>
          <c:yVal>
            <c:numRef>
              <c:f>'Reference Standards'!$AL$242:$AQ$242</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BB4D-464C-80AF-8B67A8AFCC00}"/>
            </c:ext>
          </c:extLst>
        </c:ser>
        <c:dLbls>
          <c:showLegendKey val="0"/>
          <c:showVal val="0"/>
          <c:showCatName val="0"/>
          <c:showSerName val="0"/>
          <c:showPercent val="0"/>
          <c:showBubbleSize val="0"/>
        </c:dLbls>
        <c:axId val="137716480"/>
        <c:axId val="137718400"/>
      </c:scatterChart>
      <c:valAx>
        <c:axId val="13771648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718400"/>
        <c:crosses val="autoZero"/>
        <c:crossBetween val="midCat"/>
      </c:valAx>
      <c:valAx>
        <c:axId val="13771840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7164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Erosion Rate</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8.5291920872619706E-2"/>
                  <c:y val="-0.5285942747906243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Standards'!$S$83:$X$83</c:f>
              <c:numCache>
                <c:formatCode>0.00</c:formatCode>
                <c:ptCount val="6"/>
                <c:pt idx="0" formatCode="General">
                  <c:v>0.71</c:v>
                </c:pt>
                <c:pt idx="1">
                  <c:v>0.41170000000000001</c:v>
                </c:pt>
                <c:pt idx="2" formatCode="General">
                  <c:v>0.4</c:v>
                </c:pt>
                <c:pt idx="4" formatCode="General">
                  <c:v>0.19</c:v>
                </c:pt>
                <c:pt idx="5" formatCode="General">
                  <c:v>0.1</c:v>
                </c:pt>
              </c:numCache>
            </c:numRef>
          </c:xVal>
          <c:yVal>
            <c:numRef>
              <c:f>'Reference Standards'!$S$84:$X$84</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8D73-44F2-AF23-B2C97665876A}"/>
            </c:ext>
          </c:extLst>
        </c:ser>
        <c:dLbls>
          <c:showLegendKey val="0"/>
          <c:showVal val="0"/>
          <c:showCatName val="0"/>
          <c:showSerName val="0"/>
          <c:showPercent val="0"/>
          <c:showBubbleSize val="0"/>
        </c:dLbls>
        <c:axId val="137777536"/>
        <c:axId val="137779456"/>
      </c:scatterChart>
      <c:valAx>
        <c:axId val="13777753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779456"/>
        <c:crosses val="autoZero"/>
        <c:crossBetween val="midCat"/>
      </c:valAx>
      <c:valAx>
        <c:axId val="13777945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777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5"/>
          <c:order val="0"/>
          <c:tx>
            <c:strRef>
              <c:f>'Data Summary R1'!$A$25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1-53E5-43F6-935D-28E090B64FB7}"/>
            </c:ext>
          </c:extLst>
        </c:ser>
        <c:ser>
          <c:idx val="6"/>
          <c:order val="1"/>
          <c:tx>
            <c:strRef>
              <c:f>'Data Summary R1'!$A$26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2-53E5-43F6-935D-28E090B64FB7}"/>
            </c:ext>
          </c:extLst>
        </c:ser>
        <c:ser>
          <c:idx val="4"/>
          <c:order val="2"/>
          <c:tx>
            <c:strRef>
              <c:f>'Data Summary R1'!$A$27:$B$27</c:f>
              <c:strCache>
                <c:ptCount val="1"/>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53E5-43F6-935D-28E090B64FB7}"/>
            </c:ext>
          </c:extLst>
        </c:ser>
        <c:ser>
          <c:idx val="7"/>
          <c:order val="3"/>
          <c:tx>
            <c:strRef>
              <c:f>'Data Summary R1'!$A$28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3-53E5-43F6-935D-28E090B64FB7}"/>
            </c:ext>
          </c:extLst>
        </c:ser>
        <c:ser>
          <c:idx val="1"/>
          <c:order val="4"/>
          <c:tx>
            <c:strRef>
              <c:f>'Data Summary R1'!$A$29:$B$29</c:f>
              <c:strCache>
                <c:ptCount val="1"/>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R1'!$F$30:$O$30</c:f>
              <c:numCache>
                <c:formatCode>0.00</c:formatCode>
                <c:ptCount val="10"/>
                <c:pt idx="0">
                  <c:v>0</c:v>
                </c:pt>
                <c:pt idx="1">
                  <c:v>0</c:v>
                </c:pt>
                <c:pt idx="2">
                  <c:v>0</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16130176"/>
        <c:axId val="116132480"/>
      </c:scatterChart>
      <c:valAx>
        <c:axId val="11613017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6132480"/>
        <c:crosses val="autoZero"/>
        <c:crossBetween val="midCat"/>
      </c:valAx>
      <c:valAx>
        <c:axId val="11613248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613017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Buffer Width </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1"/>
            <c:dispEq val="1"/>
            <c:trendlineLbl>
              <c:layout>
                <c:manualLayout>
                  <c:x val="-0.54505420421658257"/>
                  <c:y val="8.564872445782502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ly"/>
            <c:order val="2"/>
            <c:dispRSqr val="0"/>
            <c:dispEq val="1"/>
            <c:trendlineLbl>
              <c:layout>
                <c:manualLayout>
                  <c:x val="0.23419609956775875"/>
                  <c:y val="0.19008238511746531"/>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Standards'!$S$219:$W$219</c:f>
              <c:numCache>
                <c:formatCode>General</c:formatCode>
                <c:ptCount val="5"/>
                <c:pt idx="0">
                  <c:v>0</c:v>
                </c:pt>
                <c:pt idx="2">
                  <c:v>30</c:v>
                </c:pt>
                <c:pt idx="4">
                  <c:v>50</c:v>
                </c:pt>
              </c:numCache>
            </c:numRef>
          </c:xVal>
          <c:yVal>
            <c:numRef>
              <c:f>'Reference Standards'!$S$220:$W$220</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0-CF1F-46F7-8094-779B5B9E9CA9}"/>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21393606353655131"/>
                  <c:y val="2.1337188840185289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Standards'!$W$219:$X$219</c:f>
              <c:numCache>
                <c:formatCode>General</c:formatCode>
                <c:ptCount val="2"/>
                <c:pt idx="0">
                  <c:v>50</c:v>
                </c:pt>
                <c:pt idx="1">
                  <c:v>200</c:v>
                </c:pt>
              </c:numCache>
            </c:numRef>
          </c:xVal>
          <c:yVal>
            <c:numRef>
              <c:f>'Reference Standards'!$W$220:$X$220</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0-5088-400A-8464-680B23BCC9EB}"/>
            </c:ext>
          </c:extLst>
        </c:ser>
        <c:dLbls>
          <c:showLegendKey val="0"/>
          <c:showVal val="0"/>
          <c:showCatName val="0"/>
          <c:showSerName val="0"/>
          <c:showPercent val="0"/>
          <c:showBubbleSize val="0"/>
        </c:dLbls>
        <c:axId val="137912320"/>
        <c:axId val="137914240"/>
      </c:scatterChart>
      <c:valAx>
        <c:axId val="1379123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14240"/>
        <c:crosses val="autoZero"/>
        <c:crossBetween val="midCat"/>
      </c:valAx>
      <c:valAx>
        <c:axId val="13791424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123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a:t>
            </a:r>
            <a:r>
              <a:rPr lang="en-US" sz="1400" b="0" i="0" u="none" strike="noStrike" baseline="0">
                <a:effectLst/>
              </a:rPr>
              <a:t>for Ecoregion 66</a:t>
            </a:r>
            <a:endParaRPr lang="en-US"/>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992911510304651"/>
                  <c:y val="0.32314554835672488"/>
                </c:manualLayout>
              </c:layout>
              <c:numFmt formatCode="#,##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Standards'!$S$561:$X$561</c:f>
              <c:numCache>
                <c:formatCode>General</c:formatCode>
                <c:ptCount val="6"/>
                <c:pt idx="0" formatCode="0">
                  <c:v>0</c:v>
                </c:pt>
                <c:pt idx="5">
                  <c:v>20</c:v>
                </c:pt>
              </c:numCache>
            </c:numRef>
          </c:xVal>
          <c:yVal>
            <c:numRef>
              <c:f>'Reference Standards'!$S$563:$X$563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54C0-4B16-B14E-5188ECFE15D4}"/>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1697264919343222E-2"/>
                  <c:y val="-0.3571606333477172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Standards'!$S$562:$X$562</c:f>
              <c:numCache>
                <c:formatCode>General</c:formatCode>
                <c:ptCount val="6"/>
                <c:pt idx="0" formatCode="0">
                  <c:v>90</c:v>
                </c:pt>
                <c:pt idx="5">
                  <c:v>45</c:v>
                </c:pt>
              </c:numCache>
            </c:numRef>
          </c:xVal>
          <c:yVal>
            <c:numRef>
              <c:f>'Reference Standards'!$S$563:$X$563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7BA4-4DC0-99F9-BB01FEA92BD1}"/>
            </c:ext>
          </c:extLst>
        </c:ser>
        <c:ser>
          <c:idx val="2"/>
          <c:order val="2"/>
          <c:tx>
            <c:v>Crest</c:v>
          </c:tx>
          <c:spPr>
            <a:ln w="25400" cap="rnd">
              <a:solidFill>
                <a:srgbClr val="FF0000"/>
              </a:solidFill>
              <a:round/>
            </a:ln>
            <a:effectLst/>
          </c:spPr>
          <c:marker>
            <c:symbol val="none"/>
          </c:marker>
          <c:xVal>
            <c:numRef>
              <c:f>('Reference Standards'!$X$561,'Reference Standards'!$X$562)</c:f>
              <c:numCache>
                <c:formatCode>General</c:formatCode>
                <c:ptCount val="2"/>
                <c:pt idx="0">
                  <c:v>20</c:v>
                </c:pt>
                <c:pt idx="1">
                  <c:v>45</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2-7BA4-4DC0-99F9-BB01FEA92BD1}"/>
            </c:ext>
          </c:extLst>
        </c:ser>
        <c:dLbls>
          <c:showLegendKey val="0"/>
          <c:showVal val="0"/>
          <c:showCatName val="0"/>
          <c:showSerName val="0"/>
          <c:showPercent val="0"/>
          <c:showBubbleSize val="0"/>
        </c:dLbls>
        <c:axId val="137963776"/>
        <c:axId val="137974144"/>
      </c:scatterChart>
      <c:valAx>
        <c:axId val="1379637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74144"/>
        <c:crosses val="autoZero"/>
        <c:crossBetween val="midCat"/>
      </c:valAx>
      <c:valAx>
        <c:axId val="1379741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63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t>
            </a:r>
            <a:r>
              <a:rPr lang="en-US" baseline="0"/>
              <a:t> Impervious Cover</a:t>
            </a:r>
            <a:endParaRPr lang="en-US"/>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3899831881942171"/>
                  <c:y val="-0.350869028063974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Standards'!#REF!</c:f>
            </c:numRef>
          </c:xVal>
          <c:yVal>
            <c:numRef>
              <c:f>'Reference Standards'!#REF!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6D1A-4B46-B753-5EE7BFC8112A}"/>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5.9288715306053522E-2"/>
                  <c:y val="-0.18373373776166552"/>
                </c:manualLayout>
              </c:layout>
              <c:numFmt formatCode="#,##0.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Standards'!#REF!</c:f>
            </c:numRef>
          </c:xVal>
          <c:yVal>
            <c:numRef>
              <c:f>'Reference Standards'!#REF!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C453-49FD-BCE0-42FA69BC7CEE}"/>
            </c:ext>
          </c:extLst>
        </c:ser>
        <c:dLbls>
          <c:showLegendKey val="0"/>
          <c:showVal val="0"/>
          <c:showCatName val="0"/>
          <c:showSerName val="0"/>
          <c:showPercent val="0"/>
          <c:showBubbleSize val="0"/>
        </c:dLbls>
        <c:axId val="138018816"/>
        <c:axId val="138020352"/>
      </c:scatterChart>
      <c:valAx>
        <c:axId val="138018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020352"/>
        <c:crosses val="autoZero"/>
        <c:crossBetween val="midCat"/>
      </c:valAx>
      <c:valAx>
        <c:axId val="13802035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0188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&gt; 2.5 sq.mi. - Plot 1</a:t>
            </a:r>
          </a:p>
        </c:rich>
      </c:tx>
      <c:overlay val="0"/>
      <c:spPr>
        <a:noFill/>
        <a:ln>
          <a:noFill/>
        </a:ln>
        <a:effectLst/>
      </c:spPr>
    </c:title>
    <c:autoTitleDeleted val="0"/>
    <c:plotArea>
      <c:layout/>
      <c:scatterChart>
        <c:scatterStyle val="lineMarker"/>
        <c:varyColors val="0"/>
        <c:ser>
          <c:idx val="0"/>
          <c:order val="0"/>
          <c:tx>
            <c:strRef>
              <c:f>'Reference Standards'!$AA$338</c:f>
              <c:strCache>
                <c:ptCount val="1"/>
                <c:pt idx="0">
                  <c:v>66deg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47304780830007953"/>
                  <c:y val="-0.6319563211903880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Standards'!$AB$338:$AG$338</c:f>
              <c:numCache>
                <c:formatCode>General</c:formatCode>
                <c:ptCount val="6"/>
                <c:pt idx="0">
                  <c:v>5.2999999999999999E-2</c:v>
                </c:pt>
                <c:pt idx="2">
                  <c:v>2.1000000000000001E-2</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306E-43E0-A7CF-22D8DE561819}"/>
            </c:ext>
          </c:extLst>
        </c:ser>
        <c:ser>
          <c:idx val="1"/>
          <c:order val="1"/>
          <c:tx>
            <c:strRef>
              <c:f>'Reference Standards'!$AA$339</c:f>
              <c:strCache>
                <c:ptCount val="1"/>
                <c:pt idx="0">
                  <c:v>68b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47304780830007953"/>
                  <c:y val="-0.5767330284494933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Standards'!$AB$339:$AG$339</c:f>
              <c:numCache>
                <c:formatCode>General</c:formatCode>
                <c:ptCount val="6"/>
                <c:pt idx="0">
                  <c:v>0.05</c:v>
                </c:pt>
                <c:pt idx="2">
                  <c:v>2.8000000000000001E-2</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B891-4326-8480-92812F323CC3}"/>
            </c:ext>
          </c:extLst>
        </c:ser>
        <c:ser>
          <c:idx val="2"/>
          <c:order val="2"/>
          <c:tx>
            <c:strRef>
              <c:f>'Reference Standards'!$AA$340</c:f>
              <c:strCache>
                <c:ptCount val="1"/>
                <c:pt idx="0">
                  <c:v>68ac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4850057173219599"/>
                  <c:y val="-0.5244162248002246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Standards'!$AB$340:$AG$340</c:f>
              <c:numCache>
                <c:formatCode>General</c:formatCode>
                <c:ptCount val="6"/>
                <c:pt idx="0">
                  <c:v>7.0000000000000007E-2</c:v>
                </c:pt>
                <c:pt idx="2">
                  <c:v>0.03</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2-B891-4326-8480-92812F323CC3}"/>
            </c:ext>
          </c:extLst>
        </c:ser>
        <c:ser>
          <c:idx val="3"/>
          <c:order val="3"/>
          <c:tx>
            <c:strRef>
              <c:f>'Reference Standards'!$AE$346</c:f>
              <c:strCache>
                <c:ptCount val="1"/>
                <c:pt idx="0">
                  <c:v>71fg &gt; 2.5, NF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22327428724950441"/>
                  <c:y val="-0.4691929320593299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Standards'!$AB$341:$AD$341</c:f>
              <c:numCache>
                <c:formatCode>General</c:formatCode>
                <c:ptCount val="3"/>
                <c:pt idx="0">
                  <c:v>0.13</c:v>
                </c:pt>
                <c:pt idx="2">
                  <c:v>4.2000000000000003E-2</c:v>
                </c:pt>
              </c:numCache>
            </c:numRef>
          </c:xVal>
          <c:yVal>
            <c:numRef>
              <c:f>'Reference Standards'!$AB$343:$AD$343</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3-B891-4326-8480-92812F323CC3}"/>
            </c:ext>
          </c:extLst>
        </c:ser>
        <c:ser>
          <c:idx val="5"/>
          <c:order val="4"/>
          <c:tx>
            <c:strRef>
              <c:f>'Reference Standards'!$AF$346</c:f>
              <c:strCache>
                <c:ptCount val="1"/>
                <c:pt idx="0">
                  <c:v>71fg &gt; 2.5, FAR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53670933565975376"/>
                  <c:y val="-0.1991340951081041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Standards'!$AD$341:$AF$341</c:f>
              <c:numCache>
                <c:formatCode>General</c:formatCode>
                <c:ptCount val="3"/>
                <c:pt idx="0">
                  <c:v>4.2000000000000003E-2</c:v>
                </c:pt>
                <c:pt idx="2">
                  <c:v>2E-3</c:v>
                </c:pt>
              </c:numCache>
            </c:numRef>
          </c:xVal>
          <c:yVal>
            <c:numRef>
              <c:f>'Reference Standards'!$AD$343:$AF$343</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05-6CE2-4A25-B36E-5B351EC7B90A}"/>
            </c:ext>
          </c:extLst>
        </c:ser>
        <c:ser>
          <c:idx val="4"/>
          <c:order val="5"/>
          <c:tx>
            <c:strRef>
              <c:f>'Reference Standards'!$AA$342</c:f>
              <c:strCache>
                <c:ptCount val="1"/>
                <c:pt idx="0">
                  <c:v>67fhi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1043137508324673"/>
                  <c:y val="-0.370372302944044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Standards'!$AB$342:$AG$342</c:f>
              <c:numCache>
                <c:formatCode>General</c:formatCode>
                <c:ptCount val="6"/>
                <c:pt idx="0">
                  <c:v>0.16</c:v>
                </c:pt>
                <c:pt idx="2">
                  <c:v>0.06</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4-B891-4326-8480-92812F323CC3}"/>
            </c:ext>
          </c:extLst>
        </c:ser>
        <c:dLbls>
          <c:showLegendKey val="0"/>
          <c:showVal val="0"/>
          <c:showCatName val="0"/>
          <c:showSerName val="0"/>
          <c:showPercent val="0"/>
          <c:showBubbleSize val="0"/>
        </c:dLbls>
        <c:axId val="138129792"/>
        <c:axId val="138131712"/>
      </c:scatterChart>
      <c:valAx>
        <c:axId val="13812979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31712"/>
        <c:crosses val="autoZero"/>
        <c:crossBetween val="midCat"/>
      </c:valAx>
      <c:valAx>
        <c:axId val="13813171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297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 DA &lt;=2.5 sq.mi. - Plot 1</a:t>
            </a:r>
          </a:p>
        </c:rich>
      </c:tx>
      <c:overlay val="0"/>
      <c:spPr>
        <a:noFill/>
        <a:ln>
          <a:noFill/>
        </a:ln>
        <a:effectLst/>
      </c:spPr>
    </c:title>
    <c:autoTitleDeleted val="0"/>
    <c:plotArea>
      <c:layout/>
      <c:scatterChart>
        <c:scatterStyle val="lineMarker"/>
        <c:varyColors val="0"/>
        <c:ser>
          <c:idx val="0"/>
          <c:order val="0"/>
          <c:tx>
            <c:strRef>
              <c:f>'Reference Standards'!$AA$81</c:f>
              <c:strCache>
                <c:ptCount val="1"/>
                <c:pt idx="0">
                  <c:v>69de / DA &lt;=2.5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7922041015112185"/>
                  <c:y val="-0.6516915424719509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Standards'!$AB$81:$AG$81</c:f>
              <c:numCache>
                <c:formatCode>General</c:formatCode>
                <c:ptCount val="6"/>
                <c:pt idx="0">
                  <c:v>0.22</c:v>
                </c:pt>
                <c:pt idx="2">
                  <c:v>0.15</c:v>
                </c:pt>
                <c:pt idx="4">
                  <c:v>0.01</c:v>
                </c:pt>
              </c:numCache>
            </c:numRef>
          </c:xVal>
          <c:yVal>
            <c:numRef>
              <c:f>'Reference Standards'!$AB$86:$AG$86</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5444-4189-9526-06CAD9585BFE}"/>
            </c:ext>
          </c:extLst>
        </c:ser>
        <c:ser>
          <c:idx val="1"/>
          <c:order val="1"/>
          <c:tx>
            <c:strRef>
              <c:f>'Reference Standards'!$AA$82</c:f>
              <c:strCache>
                <c:ptCount val="1"/>
                <c:pt idx="0">
                  <c:v>65abei / DA &lt;=2.5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20523979023952768"/>
                  <c:y val="-0.5643036801938456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Standards'!$AB$82:$AD$82</c:f>
              <c:numCache>
                <c:formatCode>General</c:formatCode>
                <c:ptCount val="3"/>
                <c:pt idx="0">
                  <c:v>0.67</c:v>
                </c:pt>
                <c:pt idx="2">
                  <c:v>0.18</c:v>
                </c:pt>
              </c:numCache>
            </c:numRef>
          </c:xVal>
          <c:yVal>
            <c:numRef>
              <c:f>'Reference Standards'!$AB$86:$AD$86</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1-9148-4029-8635-C48C16E8C22B}"/>
            </c:ext>
          </c:extLst>
        </c:ser>
        <c:ser>
          <c:idx val="5"/>
          <c:order val="2"/>
          <c:tx>
            <c:strRef>
              <c:f>'Reference Standards'!$AA$82</c:f>
              <c:strCache>
                <c:ptCount val="1"/>
                <c:pt idx="0">
                  <c:v>65abei / DA &lt;=2.5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20050734329829431"/>
                  <c:y val="-0.3487048484781462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Standards'!$AD$82:$AF$82</c:f>
              <c:numCache>
                <c:formatCode>General</c:formatCode>
                <c:ptCount val="3"/>
                <c:pt idx="0">
                  <c:v>0.18</c:v>
                </c:pt>
                <c:pt idx="2">
                  <c:v>0.01</c:v>
                </c:pt>
              </c:numCache>
            </c:numRef>
          </c:xVal>
          <c:yVal>
            <c:numRef>
              <c:f>'Reference Standards'!$AD$86:$AF$86</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09-9148-4029-8635-C48C16E8C22B}"/>
            </c:ext>
          </c:extLst>
        </c:ser>
        <c:ser>
          <c:idx val="2"/>
          <c:order val="3"/>
          <c:tx>
            <c:strRef>
              <c:f>'Reference Standards'!$AA$83</c:f>
              <c:strCache>
                <c:ptCount val="1"/>
                <c:pt idx="0">
                  <c:v>65j / DA &lt;=2.5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0913022303267182"/>
                  <c:y val="-0.4581898474275750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Standards'!$AB$83:$AD$83</c:f>
              <c:numCache>
                <c:formatCode>General</c:formatCode>
                <c:ptCount val="3"/>
                <c:pt idx="0">
                  <c:v>0.32</c:v>
                </c:pt>
                <c:pt idx="2">
                  <c:v>0.25</c:v>
                </c:pt>
              </c:numCache>
            </c:numRef>
          </c:xVal>
          <c:yVal>
            <c:numRef>
              <c:f>'Reference Standards'!$AB$86:$AD$86</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2-9148-4029-8635-C48C16E8C22B}"/>
            </c:ext>
          </c:extLst>
        </c:ser>
        <c:ser>
          <c:idx val="6"/>
          <c:order val="4"/>
          <c:tx>
            <c:strRef>
              <c:f>'Reference Standards'!$AA$83</c:f>
              <c:strCache>
                <c:ptCount val="1"/>
                <c:pt idx="0">
                  <c:v>65j / DA &lt;=2.5 </c:v>
                </c:pt>
              </c:strCache>
            </c:strRef>
          </c:tx>
          <c:spPr>
            <a:ln w="25400" cap="rnd">
              <a:noFill/>
              <a:round/>
            </a:ln>
            <a:effectLst/>
          </c:spPr>
          <c:marker>
            <c:symbol val="circle"/>
            <c:size val="5"/>
            <c:spPr>
              <a:solidFill>
                <a:schemeClr val="bg1">
                  <a:lumMod val="65000"/>
                </a:schemeClr>
              </a:solidFill>
              <a:ln w="9525">
                <a:solidFill>
                  <a:schemeClr val="bg1">
                    <a:lumMod val="65000"/>
                  </a:schemeClr>
                </a:solidFill>
              </a:ln>
              <a:effectLst/>
            </c:spPr>
          </c:marker>
          <c:trendline>
            <c:spPr>
              <a:ln w="19050" cap="rnd">
                <a:solidFill>
                  <a:schemeClr val="bg1">
                    <a:lumMod val="65000"/>
                  </a:schemeClr>
                </a:solidFill>
                <a:prstDash val="sysDot"/>
              </a:ln>
              <a:effectLst/>
            </c:spPr>
            <c:trendlineType val="linear"/>
            <c:dispRSqr val="0"/>
            <c:dispEq val="1"/>
            <c:trendlineLbl>
              <c:layout>
                <c:manualLayout>
                  <c:x val="0.20363284847074539"/>
                  <c:y val="-0.2488330058745974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Standards'!$AD$83:$AF$83</c:f>
              <c:numCache>
                <c:formatCode>General</c:formatCode>
                <c:ptCount val="3"/>
                <c:pt idx="0">
                  <c:v>0.25</c:v>
                </c:pt>
                <c:pt idx="2">
                  <c:v>0.01</c:v>
                </c:pt>
              </c:numCache>
            </c:numRef>
          </c:xVal>
          <c:yVal>
            <c:numRef>
              <c:f>'Reference Standards'!$AD$86:$AF$86</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0A-9148-4029-8635-C48C16E8C22B}"/>
            </c:ext>
          </c:extLst>
        </c:ser>
        <c:ser>
          <c:idx val="3"/>
          <c:order val="5"/>
          <c:tx>
            <c:strRef>
              <c:f>'Reference Standards'!$AA$84</c:f>
              <c:strCache>
                <c:ptCount val="1"/>
                <c:pt idx="0">
                  <c:v>68c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1262235255313942"/>
                  <c:y val="-0.3614389999053871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Standards'!$AB$84:$AG$84</c:f>
              <c:numCache>
                <c:formatCode>General</c:formatCode>
                <c:ptCount val="6"/>
                <c:pt idx="0">
                  <c:v>0.87</c:v>
                </c:pt>
                <c:pt idx="2">
                  <c:v>0.39</c:v>
                </c:pt>
                <c:pt idx="4">
                  <c:v>0.01</c:v>
                </c:pt>
              </c:numCache>
            </c:numRef>
          </c:xVal>
          <c:yVal>
            <c:numRef>
              <c:f>'Reference Standards'!$AB$86:$AG$86</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3-9148-4029-8635-C48C16E8C22B}"/>
            </c:ext>
          </c:extLst>
        </c:ser>
        <c:ser>
          <c:idx val="4"/>
          <c:order val="6"/>
          <c:tx>
            <c:strRef>
              <c:f>'Reference Standards'!$AA$85</c:f>
              <c:strCache>
                <c:ptCount val="1"/>
                <c:pt idx="0">
                  <c:v>68a / DA &lt;=2.5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478863498842844"/>
                  <c:y val="-0.295898103196808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Standards'!$AB$85:$AG$85</c:f>
              <c:numCache>
                <c:formatCode>General</c:formatCode>
                <c:ptCount val="6"/>
                <c:pt idx="0">
                  <c:v>0.81</c:v>
                </c:pt>
                <c:pt idx="2">
                  <c:v>0.45</c:v>
                </c:pt>
                <c:pt idx="4">
                  <c:v>0.01</c:v>
                </c:pt>
              </c:numCache>
            </c:numRef>
          </c:xVal>
          <c:yVal>
            <c:numRef>
              <c:f>'Reference Standards'!$AB$86:$AG$86</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4-9148-4029-8635-C48C16E8C22B}"/>
            </c:ext>
          </c:extLst>
        </c:ser>
        <c:dLbls>
          <c:showLegendKey val="0"/>
          <c:showVal val="0"/>
          <c:showCatName val="0"/>
          <c:showSerName val="0"/>
          <c:showPercent val="0"/>
          <c:showBubbleSize val="0"/>
        </c:dLbls>
        <c:axId val="137493888"/>
        <c:axId val="137520640"/>
      </c:scatterChart>
      <c:valAx>
        <c:axId val="13749388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520640"/>
        <c:crosses val="autoZero"/>
        <c:crossBetween val="midCat"/>
      </c:valAx>
      <c:valAx>
        <c:axId val="13752064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938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Nutrient Tolerant</a:t>
            </a:r>
          </a:p>
        </c:rich>
      </c:tx>
      <c:overlay val="0"/>
      <c:spPr>
        <a:noFill/>
        <a:ln>
          <a:noFill/>
        </a:ln>
        <a:effectLst/>
      </c:spPr>
    </c:title>
    <c:autoTitleDeleted val="0"/>
    <c:plotArea>
      <c:layout>
        <c:manualLayout>
          <c:layoutTarget val="inner"/>
          <c:xMode val="edge"/>
          <c:yMode val="edge"/>
          <c:x val="5.3734946170237982E-2"/>
          <c:y val="0.11933625710030246"/>
          <c:w val="0.60283395228996794"/>
          <c:h val="0.80602382808432627"/>
        </c:manualLayout>
      </c:layout>
      <c:scatterChart>
        <c:scatterStyle val="lineMarker"/>
        <c:varyColors val="0"/>
        <c:ser>
          <c:idx val="0"/>
          <c:order val="0"/>
          <c:tx>
            <c:strRef>
              <c:f>'Reference Standards'!$AB$52</c:f>
              <c:strCache>
                <c:ptCount val="1"/>
                <c:pt idx="0">
                  <c:v>65abei, 65j, 66deik, 66fgj, 68a, 69de, 74b
67fghi, DA &lt;= 2 sq.mi.
68cd, Jan - June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2238452688299507"/>
                  <c:y val="-0.72842871268610843"/>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Standards'!$AB$45:$AG$45</c:f>
              <c:numCache>
                <c:formatCode>0</c:formatCode>
                <c:ptCount val="6"/>
                <c:pt idx="0">
                  <c:v>100</c:v>
                </c:pt>
                <c:pt idx="2">
                  <c:v>51.225000000000001</c:v>
                </c:pt>
                <c:pt idx="3">
                  <c:v>26.900000000000002</c:v>
                </c:pt>
                <c:pt idx="5">
                  <c:v>12.400000000000002</c:v>
                </c:pt>
              </c:numCache>
            </c:numRef>
          </c:xVal>
          <c:yVal>
            <c:numRef>
              <c:f>'Reference Standards'!$AB$49:$AG$49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1349-462F-AF75-ED5FB8B6F41C}"/>
            </c:ext>
          </c:extLst>
        </c:ser>
        <c:ser>
          <c:idx val="1"/>
          <c:order val="1"/>
          <c:tx>
            <c:strRef>
              <c:f>'Reference Standards'!$AC$52</c:f>
              <c:strCache>
                <c:ptCount val="1"/>
                <c:pt idx="0">
                  <c:v>67fghi, DA &gt; 2 sq.mi.
68cd, July - Dec
71fgh, DA &gt; 2 sq.mi.
73ab</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1944200551641176"/>
                  <c:y val="-0.6575342327248976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Standards'!$AB$46:$AH$46</c:f>
              <c:numCache>
                <c:formatCode>0</c:formatCode>
                <c:ptCount val="7"/>
                <c:pt idx="0">
                  <c:v>100</c:v>
                </c:pt>
                <c:pt idx="2">
                  <c:v>53.575000000000003</c:v>
                </c:pt>
                <c:pt idx="3">
                  <c:v>30.450000000000003</c:v>
                </c:pt>
                <c:pt idx="5">
                  <c:v>16.400000000000006</c:v>
                </c:pt>
              </c:numCache>
            </c:numRef>
          </c:xVal>
          <c:yVal>
            <c:numRef>
              <c:f>'Reference Standards'!$AB$49:$AH$49</c:f>
              <c:numCache>
                <c:formatCode>General</c:formatCode>
                <c:ptCount val="7"/>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B07A-4045-959E-321507219357}"/>
            </c:ext>
          </c:extLst>
        </c:ser>
        <c:ser>
          <c:idx val="2"/>
          <c:order val="2"/>
          <c:tx>
            <c:strRef>
              <c:f>'Reference Standards'!$AD$52</c:f>
              <c:strCache>
                <c:ptCount val="1"/>
                <c:pt idx="0">
                  <c:v>68b, DA &gt; 2sq.mi.
71e
71i, DA &gt; 2sq.mi.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1944200551641176"/>
                  <c:y val="-0.580489748129244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Standards'!$AB$47:$AG$47</c:f>
              <c:numCache>
                <c:formatCode>0</c:formatCode>
                <c:ptCount val="6"/>
                <c:pt idx="0">
                  <c:v>100</c:v>
                </c:pt>
                <c:pt idx="2">
                  <c:v>56.875</c:v>
                </c:pt>
                <c:pt idx="3">
                  <c:v>35.450000000000003</c:v>
                </c:pt>
                <c:pt idx="5">
                  <c:v>22.949999999999992</c:v>
                </c:pt>
              </c:numCache>
            </c:numRef>
          </c:xVal>
          <c:yVal>
            <c:numRef>
              <c:f>'Reference Standards'!$AB$49:$AG$49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2-B07A-4045-959E-321507219357}"/>
            </c:ext>
          </c:extLst>
        </c:ser>
        <c:ser>
          <c:idx val="3"/>
          <c:order val="3"/>
          <c:tx>
            <c:strRef>
              <c:f>'Reference Standards'!$AE$52</c:f>
              <c:strCache>
                <c:ptCount val="1"/>
                <c:pt idx="0">
                  <c:v>71fgh, DA &lt;= 2 sq.mi.
71i, DA &lt;= 2sq.mi.
74a, DA &gt;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2558568538715259"/>
                  <c:y val="-0.5227063846825049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Standards'!$AB$48:$AG$48</c:f>
              <c:numCache>
                <c:formatCode>0</c:formatCode>
                <c:ptCount val="6"/>
                <c:pt idx="0">
                  <c:v>100</c:v>
                </c:pt>
                <c:pt idx="2">
                  <c:v>64.174999999999997</c:v>
                </c:pt>
                <c:pt idx="3">
                  <c:v>46.325000000000003</c:v>
                </c:pt>
                <c:pt idx="5">
                  <c:v>35.957142857142856</c:v>
                </c:pt>
              </c:numCache>
            </c:numRef>
          </c:xVal>
          <c:yVal>
            <c:numRef>
              <c:f>'Reference Standards'!$AB$49:$AG$49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3-84E6-42A5-8DDA-518177B4A2E6}"/>
            </c:ext>
          </c:extLst>
        </c:ser>
        <c:dLbls>
          <c:showLegendKey val="0"/>
          <c:showVal val="0"/>
          <c:showCatName val="0"/>
          <c:showSerName val="0"/>
          <c:showPercent val="0"/>
          <c:showBubbleSize val="0"/>
        </c:dLbls>
        <c:axId val="137573504"/>
        <c:axId val="137575424"/>
      </c:scatterChart>
      <c:valAx>
        <c:axId val="1375735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575424"/>
        <c:crosses val="autoZero"/>
        <c:crossBetween val="midCat"/>
      </c:valAx>
      <c:valAx>
        <c:axId val="13757542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573504"/>
        <c:crosses val="autoZero"/>
        <c:crossBetween val="midCat"/>
      </c:valAx>
      <c:spPr>
        <a:noFill/>
        <a:ln>
          <a:noFill/>
        </a:ln>
        <a:effectLst/>
      </c:spPr>
    </c:plotArea>
    <c:legend>
      <c:legendPos val="r"/>
      <c:layout>
        <c:manualLayout>
          <c:xMode val="edge"/>
          <c:yMode val="edge"/>
          <c:x val="0.65832516108983763"/>
          <c:y val="1.5451253961358453E-2"/>
          <c:w val="0.33679578033974555"/>
          <c:h val="0.957377658323317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 Coli</a:t>
            </a:r>
          </a:p>
        </c:rich>
      </c:tx>
      <c:overlay val="0"/>
      <c:spPr>
        <a:noFill/>
        <a:ln>
          <a:noFill/>
        </a:ln>
        <a:effectLst/>
      </c:spPr>
    </c:title>
    <c:autoTitleDeleted val="0"/>
    <c:plotArea>
      <c:layout/>
      <c:scatterChart>
        <c:scatterStyle val="lineMarker"/>
        <c:varyColors val="0"/>
        <c:ser>
          <c:idx val="0"/>
          <c:order val="0"/>
          <c:tx>
            <c:v>F</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5.0457266280949202E-2"/>
                  <c:y val="2.5833962971845693E-2"/>
                </c:manualLayout>
              </c:layout>
              <c:numFmt formatCode="#,##0.0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Standards'!$AF$10:$AG$10</c:f>
              <c:numCache>
                <c:formatCode>General</c:formatCode>
                <c:ptCount val="2"/>
                <c:pt idx="0" formatCode="0.00">
                  <c:v>487</c:v>
                </c:pt>
                <c:pt idx="1">
                  <c:v>0</c:v>
                </c:pt>
              </c:numCache>
            </c:numRef>
          </c:xVal>
          <c:yVal>
            <c:numRef>
              <c:f>'Reference Standards'!$AF$11:$AG$11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0-6B9A-49E1-B4FD-F489DFFCE937}"/>
            </c:ext>
          </c:extLst>
        </c:ser>
        <c:ser>
          <c:idx val="1"/>
          <c:order val="1"/>
          <c:tx>
            <c:v>FAR</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5301312161413583"/>
                  <c:y val="-0.31658246942120744"/>
                </c:manualLayout>
              </c:layout>
              <c:numFmt formatCode="0.0000000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Standards'!$AC$10:$AF$10</c:f>
              <c:numCache>
                <c:formatCode>General</c:formatCode>
                <c:ptCount val="4"/>
                <c:pt idx="1">
                  <c:v>941</c:v>
                </c:pt>
                <c:pt idx="3" formatCode="0.00">
                  <c:v>487</c:v>
                </c:pt>
              </c:numCache>
            </c:numRef>
          </c:xVal>
          <c:yVal>
            <c:numRef>
              <c:f>'Reference Standards'!$AC$11:$AF$11</c:f>
              <c:numCache>
                <c:formatCode>General</c:formatCode>
                <c:ptCount val="4"/>
                <c:pt idx="0">
                  <c:v>0.28999999999999998</c:v>
                </c:pt>
                <c:pt idx="1">
                  <c:v>0.3</c:v>
                </c:pt>
                <c:pt idx="2">
                  <c:v>0.69</c:v>
                </c:pt>
                <c:pt idx="3">
                  <c:v>0.7</c:v>
                </c:pt>
              </c:numCache>
            </c:numRef>
          </c:yVal>
          <c:smooth val="0"/>
          <c:extLst xmlns:c16r2="http://schemas.microsoft.com/office/drawing/2015/06/chart">
            <c:ext xmlns:c16="http://schemas.microsoft.com/office/drawing/2014/chart" uri="{C3380CC4-5D6E-409C-BE32-E72D297353CC}">
              <c16:uniqueId val="{00000001-BB87-4547-A726-F9271FAAF4A7}"/>
            </c:ext>
          </c:extLst>
        </c:ser>
        <c:ser>
          <c:idx val="2"/>
          <c:order val="2"/>
          <c:spPr>
            <a:ln w="25400" cap="rnd">
              <a:solidFill>
                <a:srgbClr val="FF0000"/>
              </a:solidFill>
              <a:round/>
            </a:ln>
            <a:effectLst/>
          </c:spPr>
          <c:marker>
            <c:symbol val="none"/>
          </c:marker>
          <c:xVal>
            <c:numLit>
              <c:formatCode>General</c:formatCode>
              <c:ptCount val="2"/>
              <c:pt idx="0">
                <c:v>941</c:v>
              </c:pt>
              <c:pt idx="1">
                <c:v>1100</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4-BB87-4547-A726-F9271FAAF4A7}"/>
            </c:ext>
          </c:extLst>
        </c:ser>
        <c:dLbls>
          <c:showLegendKey val="0"/>
          <c:showVal val="0"/>
          <c:showCatName val="0"/>
          <c:showSerName val="0"/>
          <c:showPercent val="0"/>
          <c:showBubbleSize val="0"/>
        </c:dLbls>
        <c:axId val="138444800"/>
        <c:axId val="138446720"/>
      </c:scatterChart>
      <c:valAx>
        <c:axId val="138444800"/>
        <c:scaling>
          <c:orientation val="minMax"/>
          <c:max val="1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46720"/>
        <c:crosses val="autoZero"/>
        <c:crossBetween val="midCat"/>
      </c:valAx>
      <c:valAx>
        <c:axId val="13844672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448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Streambank Erosion</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6.1520324153306487E-2"/>
                  <c:y val="-0.64970834851046988"/>
                </c:manualLayout>
              </c:layout>
              <c:numFmt formatCode="#,##0.0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Standards'!$S$118:$X$118</c:f>
              <c:numCache>
                <c:formatCode>General</c:formatCode>
                <c:ptCount val="6"/>
                <c:pt idx="0">
                  <c:v>41</c:v>
                </c:pt>
                <c:pt idx="2">
                  <c:v>25</c:v>
                </c:pt>
                <c:pt idx="4">
                  <c:v>9</c:v>
                </c:pt>
                <c:pt idx="5">
                  <c:v>5</c:v>
                </c:pt>
              </c:numCache>
            </c:numRef>
          </c:xVal>
          <c:yVal>
            <c:numRef>
              <c:f>'Reference Standards'!$S$119:$X$119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5148-4788-A083-43E68337C776}"/>
            </c:ext>
          </c:extLst>
        </c:ser>
        <c:dLbls>
          <c:showLegendKey val="0"/>
          <c:showVal val="0"/>
          <c:showCatName val="0"/>
          <c:showSerName val="0"/>
          <c:showPercent val="0"/>
          <c:showBubbleSize val="0"/>
        </c:dLbls>
        <c:axId val="138484352"/>
        <c:axId val="138486528"/>
      </c:scatterChart>
      <c:valAx>
        <c:axId val="13848435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86528"/>
        <c:crosses val="autoZero"/>
        <c:crossBetween val="midCat"/>
      </c:valAx>
      <c:valAx>
        <c:axId val="13848652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843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Confined Alluvial Valleys</a:t>
            </a:r>
          </a:p>
        </c:rich>
      </c:tx>
      <c:overlay val="0"/>
      <c:spPr>
        <a:noFill/>
        <a:ln>
          <a:noFill/>
        </a:ln>
        <a:effectLst/>
      </c:spPr>
    </c:title>
    <c:autoTitleDeleted val="0"/>
    <c:plotArea>
      <c:layout/>
      <c:scatterChart>
        <c:scatterStyle val="lineMarker"/>
        <c:varyColors val="0"/>
        <c:ser>
          <c:idx val="0"/>
          <c:order val="0"/>
          <c:spPr>
            <a:ln w="317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841660752621073"/>
                  <c:y val="2.8495801819488562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Standards'!$S$725:$X$725</c:f>
              <c:numCache>
                <c:formatCode>General</c:formatCode>
                <c:ptCount val="6"/>
                <c:pt idx="4">
                  <c:v>1.1499999999999999</c:v>
                </c:pt>
                <c:pt idx="5">
                  <c:v>1.4</c:v>
                </c:pt>
              </c:numCache>
            </c:numRef>
          </c:xVal>
          <c:yVal>
            <c:numRef>
              <c:f>'Reference Standards'!$S$726:$X$726</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2-957E-4401-A690-A3F4681B1DE1}"/>
            </c:ext>
          </c:extLst>
        </c:ser>
        <c:ser>
          <c:idx val="1"/>
          <c:order val="1"/>
          <c:tx>
            <c:v>Floor</c:v>
          </c:tx>
          <c:spPr>
            <a:ln w="25400" cap="rnd">
              <a:solidFill>
                <a:srgbClr val="FF0000"/>
              </a:solidFill>
              <a:round/>
            </a:ln>
            <a:effectLst/>
          </c:spPr>
          <c:marker>
            <c:symbol val="none"/>
          </c:marker>
          <c:xVal>
            <c:numLit>
              <c:formatCode>General</c:formatCode>
              <c:ptCount val="2"/>
              <c:pt idx="0">
                <c:v>1</c:v>
              </c:pt>
              <c:pt idx="1">
                <c:v>1.1399999999999999</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4-957E-4401-A690-A3F4681B1DE1}"/>
            </c:ext>
          </c:extLst>
        </c:ser>
        <c:dLbls>
          <c:showLegendKey val="0"/>
          <c:showVal val="0"/>
          <c:showCatName val="0"/>
          <c:showSerName val="0"/>
          <c:showPercent val="0"/>
          <c:showBubbleSize val="0"/>
        </c:dLbls>
        <c:axId val="138529792"/>
        <c:axId val="138216576"/>
      </c:scatterChart>
      <c:valAx>
        <c:axId val="138529792"/>
        <c:scaling>
          <c:orientation val="minMax"/>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216576"/>
        <c:crosses val="autoZero"/>
        <c:crossBetween val="midCat"/>
      </c:valAx>
      <c:valAx>
        <c:axId val="13821657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5297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DBH</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74920014082478"/>
                  <c:y val="8.8183501474616548E-3"/>
                </c:manualLayout>
              </c:layout>
              <c:numFmt formatCode="#,##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Standards'!$S$185:$X$185</c:f>
              <c:numCache>
                <c:formatCode>General</c:formatCode>
                <c:ptCount val="6"/>
                <c:pt idx="0">
                  <c:v>0</c:v>
                </c:pt>
                <c:pt idx="5">
                  <c:v>9.3000000000000007</c:v>
                </c:pt>
              </c:numCache>
            </c:numRef>
          </c:xVal>
          <c:yVal>
            <c:numRef>
              <c:f>'Reference Standards'!$S$186:$X$186</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4DFD-4BB9-9B0D-3CE048A84054}"/>
            </c:ext>
          </c:extLst>
        </c:ser>
        <c:dLbls>
          <c:showLegendKey val="0"/>
          <c:showVal val="0"/>
          <c:showCatName val="0"/>
          <c:showSerName val="0"/>
          <c:showPercent val="0"/>
          <c:showBubbleSize val="0"/>
        </c:dLbls>
        <c:axId val="138242304"/>
        <c:axId val="138256768"/>
      </c:scatterChart>
      <c:valAx>
        <c:axId val="138242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256768"/>
        <c:crosses val="autoZero"/>
        <c:crossBetween val="midCat"/>
      </c:valAx>
      <c:valAx>
        <c:axId val="13825676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2423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1"/>
          <c:order val="0"/>
          <c:tx>
            <c:strRef>
              <c:f>'Data Summary R2'!$C$23:$C$24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R2'!$F$24,'Data Summary R2'!$A$35)</c:f>
              <c:numCache>
                <c:formatCode>General</c:formatCode>
                <c:ptCount val="2"/>
                <c:pt idx="0">
                  <c:v>#N/A</c:v>
                </c:pt>
                <c:pt idx="1">
                  <c:v>#N/A</c:v>
                </c:pt>
              </c:numCache>
            </c:numRef>
          </c:xVal>
          <c:yVal>
            <c:numRef>
              <c:f>('Data Summary R2'!$C$30,'Data Summary R2'!$C$30)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0-377C-4EA9-9858-DD24FD97EF7F}"/>
            </c:ext>
          </c:extLst>
        </c:ser>
        <c:ser>
          <c:idx val="2"/>
          <c:order val="1"/>
          <c:tx>
            <c:strRef>
              <c:f>'Data Summary R2'!$D$23:$D$24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R2'!$F$24,'Data Summary R2'!$A$35)</c:f>
              <c:numCache>
                <c:formatCode>General</c:formatCode>
                <c:ptCount val="2"/>
                <c:pt idx="0">
                  <c:v>#N/A</c:v>
                </c:pt>
                <c:pt idx="1">
                  <c:v>#N/A</c:v>
                </c:pt>
              </c:numCache>
            </c:numRef>
          </c:xVal>
          <c:yVal>
            <c:numRef>
              <c:f>('Data Summary R2'!$D$30,'Data Summary R2'!$D$30)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377C-4EA9-9858-DD24FD97EF7F}"/>
            </c:ext>
          </c:extLst>
        </c:ser>
        <c:ser>
          <c:idx val="3"/>
          <c:order val="2"/>
          <c:tx>
            <c:strRef>
              <c:f>'Data Summary R2'!$E$23:$E$24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R2'!$F$24,'Data Summary R2'!$A$35)</c:f>
              <c:numCache>
                <c:formatCode>General</c:formatCode>
                <c:ptCount val="2"/>
                <c:pt idx="0">
                  <c:v>#N/A</c:v>
                </c:pt>
                <c:pt idx="1">
                  <c:v>#N/A</c:v>
                </c:pt>
              </c:numCache>
            </c:numRef>
          </c:xVal>
          <c:yVal>
            <c:numRef>
              <c:f>('Data Summary R2'!$E$30,'Data Summary R2'!$E$30)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16452352"/>
        <c:axId val="48107904"/>
      </c:scatterChart>
      <c:valAx>
        <c:axId val="11645235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8107904"/>
        <c:crosses val="autoZero"/>
        <c:crossBetween val="midCat"/>
      </c:valAx>
      <c:valAx>
        <c:axId val="4810790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645235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Bed</a:t>
            </a:r>
            <a:r>
              <a:rPr lang="en-US" baseline="0"/>
              <a:t> Material Characterization</a:t>
            </a:r>
            <a:endParaRPr lang="en-US"/>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5488229423829203"/>
                  <c:y val="3.1465861883158648E-2"/>
                </c:manualLayout>
              </c:layout>
              <c:numFmt formatCode="#,##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Standards'!$S$358:$W$358</c:f>
              <c:numCache>
                <c:formatCode>General</c:formatCode>
                <c:ptCount val="5"/>
                <c:pt idx="0">
                  <c:v>0.01</c:v>
                </c:pt>
                <c:pt idx="1">
                  <c:v>0.05</c:v>
                </c:pt>
                <c:pt idx="3">
                  <c:v>0.1</c:v>
                </c:pt>
              </c:numCache>
            </c:numRef>
          </c:xVal>
          <c:yVal>
            <c:numRef>
              <c:f>'Reference Standards'!$S$359:$W$359</c:f>
              <c:numCache>
                <c:formatCode>General</c:formatCode>
                <c:ptCount val="5"/>
                <c:pt idx="0">
                  <c:v>0</c:v>
                </c:pt>
                <c:pt idx="1">
                  <c:v>0.28999999999999998</c:v>
                </c:pt>
                <c:pt idx="2">
                  <c:v>0.3</c:v>
                </c:pt>
                <c:pt idx="3" formatCode="0.00">
                  <c:v>0.65200000000000002</c:v>
                </c:pt>
                <c:pt idx="4">
                  <c:v>0.7</c:v>
                </c:pt>
              </c:numCache>
            </c:numRef>
          </c:yVal>
          <c:smooth val="0"/>
          <c:extLst xmlns:c16r2="http://schemas.microsoft.com/office/drawing/2015/06/chart">
            <c:ext xmlns:c16="http://schemas.microsoft.com/office/drawing/2014/chart" uri="{C3380CC4-5D6E-409C-BE32-E72D297353CC}">
              <c16:uniqueId val="{00000000-6172-4F85-8BC1-012E13C1F724}"/>
            </c:ext>
          </c:extLst>
        </c:ser>
        <c:ser>
          <c:idx val="1"/>
          <c:order val="1"/>
          <c:spPr>
            <a:ln w="25400" cap="rnd">
              <a:solidFill>
                <a:srgbClr val="FF0000"/>
              </a:solidFill>
              <a:round/>
            </a:ln>
            <a:effectLst/>
          </c:spPr>
          <c:marker>
            <c:symbol val="none"/>
          </c:marker>
          <c:xVal>
            <c:numLit>
              <c:formatCode>General</c:formatCode>
              <c:ptCount val="2"/>
              <c:pt idx="0">
                <c:v>0.10100000000000001</c:v>
              </c:pt>
              <c:pt idx="1">
                <c:v>0.12</c:v>
              </c:pt>
            </c:numLit>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1-70A4-4D58-A0D3-EB6C872EF057}"/>
            </c:ext>
          </c:extLst>
        </c:ser>
        <c:dLbls>
          <c:showLegendKey val="0"/>
          <c:showVal val="0"/>
          <c:showCatName val="0"/>
          <c:showSerName val="0"/>
          <c:showPercent val="0"/>
          <c:showBubbleSize val="0"/>
        </c:dLbls>
        <c:axId val="138291840"/>
        <c:axId val="138298112"/>
      </c:scatterChart>
      <c:valAx>
        <c:axId val="138291840"/>
        <c:scaling>
          <c:orientation val="minMax"/>
          <c:max val="0.1200000000000000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298112"/>
        <c:crosses val="autoZero"/>
        <c:crossBetween val="midCat"/>
      </c:valAx>
      <c:valAx>
        <c:axId val="13829811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2918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Clingers - Plot 2</a:t>
            </a:r>
          </a:p>
        </c:rich>
      </c:tx>
      <c:overlay val="0"/>
      <c:spPr>
        <a:noFill/>
        <a:ln>
          <a:noFill/>
        </a:ln>
        <a:effectLst/>
      </c:spPr>
    </c:title>
    <c:autoTitleDeleted val="0"/>
    <c:plotArea>
      <c:layout/>
      <c:scatterChart>
        <c:scatterStyle val="lineMarker"/>
        <c:varyColors val="0"/>
        <c:ser>
          <c:idx val="0"/>
          <c:order val="0"/>
          <c:tx>
            <c:strRef>
              <c:f>'Reference Standards'!$AK$84</c:f>
              <c:strCache>
                <c:ptCount val="1"/>
                <c:pt idx="0">
                  <c:v>71i, DA &lt;= 2 sq.mi.
68cd, Jan - June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4208962801572559"/>
                  <c:y val="-0.2224776803936265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Standards'!$AL$84:$AQ$84</c:f>
              <c:numCache>
                <c:formatCode>0.0000</c:formatCode>
                <c:ptCount val="6"/>
                <c:pt idx="0" formatCode="General">
                  <c:v>0</c:v>
                </c:pt>
                <c:pt idx="2" formatCode="0">
                  <c:v>27.9</c:v>
                </c:pt>
                <c:pt idx="3" formatCode="0">
                  <c:v>41.75</c:v>
                </c:pt>
                <c:pt idx="5" formatCode="0">
                  <c:v>49.2</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3220-4B15-9F7A-7763D44DA4C2}"/>
            </c:ext>
          </c:extLst>
        </c:ser>
        <c:ser>
          <c:idx val="1"/>
          <c:order val="1"/>
          <c:tx>
            <c:strRef>
              <c:f>'Reference Standards'!$AK$85</c:f>
              <c:strCache>
                <c:ptCount val="1"/>
                <c:pt idx="0">
                  <c:v>68cd, July - Dec
68a, Jan - June</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21290273427472739"/>
                  <c:y val="-0.1574931785741673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Standards'!$AL$85:$AQ$85</c:f>
              <c:numCache>
                <c:formatCode>0.0000</c:formatCode>
                <c:ptCount val="6"/>
                <c:pt idx="0" formatCode="General">
                  <c:v>0</c:v>
                </c:pt>
                <c:pt idx="2" formatCode="0">
                  <c:v>30.4</c:v>
                </c:pt>
                <c:pt idx="3" formatCode="0">
                  <c:v>45.5</c:v>
                </c:pt>
                <c:pt idx="5" formatCode="0">
                  <c:v>53.4</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1-A1FA-4C10-BDC4-50DED7F274CB}"/>
            </c:ext>
          </c:extLst>
        </c:ser>
        <c:ser>
          <c:idx val="2"/>
          <c:order val="2"/>
          <c:tx>
            <c:strRef>
              <c:f>'Reference Standards'!$AK$86</c:f>
              <c:strCache>
                <c:ptCount val="1"/>
                <c:pt idx="0">
                  <c:v>71i, DA &gt; 2 sq.mi., SQKICK
67fghi, DA &lt;= 2 sq.mi.
65j</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7620806056551927"/>
                  <c:y val="-9.7360980207351525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Standards'!$AL$86:$AQ$86</c:f>
              <c:numCache>
                <c:formatCode>0.0000</c:formatCode>
                <c:ptCount val="6"/>
                <c:pt idx="0" formatCode="General">
                  <c:v>0</c:v>
                </c:pt>
                <c:pt idx="2" formatCode="0">
                  <c:v>32.866666666666667</c:v>
                </c:pt>
                <c:pt idx="3" formatCode="0">
                  <c:v>49.166666666666664</c:v>
                </c:pt>
                <c:pt idx="5" formatCode="0">
                  <c:v>57.8</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A1FA-4C10-BDC4-50DED7F274CB}"/>
            </c:ext>
          </c:extLst>
        </c:ser>
        <c:ser>
          <c:idx val="3"/>
          <c:order val="3"/>
          <c:tx>
            <c:strRef>
              <c:f>'Reference Standards'!$AK$87</c:f>
              <c:strCache>
                <c:ptCount val="1"/>
                <c:pt idx="0">
                  <c:v>67fghi, DA &gt; 2sq.mi.
69de
74a, July-Dec, DA &gt;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5123593092354595"/>
                  <c:y val="0.4303143585129780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Standards'!$AL$87:$AQ$87</c:f>
              <c:numCache>
                <c:formatCode>0.0000</c:formatCode>
                <c:ptCount val="6"/>
                <c:pt idx="0" formatCode="General">
                  <c:v>0</c:v>
                </c:pt>
                <c:pt idx="2" formatCode="0">
                  <c:v>35.649999999999991</c:v>
                </c:pt>
                <c:pt idx="3" formatCode="0">
                  <c:v>53.349999999999994</c:v>
                </c:pt>
                <c:pt idx="5" formatCode="0">
                  <c:v>62.5</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A1FA-4C10-BDC4-50DED7F274CB}"/>
            </c:ext>
          </c:extLst>
        </c:ser>
        <c:ser>
          <c:idx val="4"/>
          <c:order val="4"/>
          <c:tx>
            <c:strRef>
              <c:f>'Reference Standards'!$AK$88</c:f>
              <c:strCache>
                <c:ptCount val="1"/>
                <c:pt idx="0">
                  <c:v>66deik, 71e, 71fgh</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1625452418542674"/>
                  <c:y val="0.4795939493895085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Standards'!$AL$88:$AQ$88</c:f>
              <c:numCache>
                <c:formatCode>0.0000</c:formatCode>
                <c:ptCount val="6"/>
                <c:pt idx="0" formatCode="General">
                  <c:v>0</c:v>
                </c:pt>
                <c:pt idx="2" formatCode="0">
                  <c:v>37.700000000000003</c:v>
                </c:pt>
                <c:pt idx="3" formatCode="0">
                  <c:v>56.45</c:v>
                </c:pt>
                <c:pt idx="5" formatCode="0">
                  <c:v>66.5</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4-A1FA-4C10-BDC4-50DED7F274CB}"/>
            </c:ext>
          </c:extLst>
        </c:ser>
        <c:ser>
          <c:idx val="5"/>
          <c:order val="5"/>
          <c:tx>
            <c:strRef>
              <c:f>'Reference Standards'!$AK$89</c:f>
              <c:strCache>
                <c:ptCount val="1"/>
                <c:pt idx="0">
                  <c:v>66fgj
68a, July - Dec</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9.8444913001863088E-2"/>
                  <c:y val="0.52841135204788425"/>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Standards'!$AL$89:$AQ$89</c:f>
              <c:numCache>
                <c:formatCode>0.0000</c:formatCode>
                <c:ptCount val="6"/>
                <c:pt idx="0" formatCode="General">
                  <c:v>0</c:v>
                </c:pt>
                <c:pt idx="2" formatCode="0">
                  <c:v>38.950000000000003</c:v>
                </c:pt>
                <c:pt idx="3" formatCode="0">
                  <c:v>58.349999999999994</c:v>
                </c:pt>
                <c:pt idx="5" formatCode="0">
                  <c:v>69</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5-A1FA-4C10-BDC4-50DED7F274CB}"/>
            </c:ext>
          </c:extLst>
        </c:ser>
        <c:dLbls>
          <c:showLegendKey val="0"/>
          <c:showVal val="0"/>
          <c:showCatName val="0"/>
          <c:showSerName val="0"/>
          <c:showPercent val="0"/>
          <c:showBubbleSize val="0"/>
        </c:dLbls>
        <c:axId val="138403840"/>
        <c:axId val="138405760"/>
      </c:scatterChart>
      <c:valAx>
        <c:axId val="13840384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05760"/>
        <c:crosses val="autoZero"/>
        <c:crossBetween val="midCat"/>
      </c:valAx>
      <c:valAx>
        <c:axId val="13840576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03840"/>
        <c:crosses val="autoZero"/>
        <c:crossBetween val="midCat"/>
      </c:valAx>
      <c:spPr>
        <a:noFill/>
        <a:ln>
          <a:noFill/>
        </a:ln>
        <a:effectLst/>
      </c:spPr>
    </c:plotArea>
    <c:legend>
      <c:legendPos val="r"/>
      <c:layout>
        <c:manualLayout>
          <c:xMode val="edge"/>
          <c:yMode val="edge"/>
          <c:x val="0.67362111737183639"/>
          <c:y val="0"/>
          <c:w val="0.31834915837702593"/>
          <c:h val="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EPT-Cheum - Plot 1</a:t>
            </a:r>
          </a:p>
        </c:rich>
      </c:tx>
      <c:overlay val="0"/>
      <c:spPr>
        <a:noFill/>
        <a:ln>
          <a:noFill/>
        </a:ln>
        <a:effectLst/>
      </c:spPr>
    </c:title>
    <c:autoTitleDeleted val="0"/>
    <c:plotArea>
      <c:layout/>
      <c:scatterChart>
        <c:scatterStyle val="lineMarker"/>
        <c:varyColors val="0"/>
        <c:ser>
          <c:idx val="0"/>
          <c:order val="0"/>
          <c:tx>
            <c:strRef>
              <c:f>'Reference Standards'!$AK$122</c:f>
              <c:strCache>
                <c:ptCount val="1"/>
                <c:pt idx="0">
                  <c:v>74b, DA &lt;=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6.152290709556596E-2"/>
                  <c:y val="-0.2250445759807584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Standards'!$AL$122:$AQ$122</c:f>
              <c:numCache>
                <c:formatCode>0</c:formatCode>
                <c:ptCount val="6"/>
                <c:pt idx="0">
                  <c:v>0</c:v>
                </c:pt>
                <c:pt idx="2">
                  <c:v>4.5999999999999996</c:v>
                </c:pt>
                <c:pt idx="3">
                  <c:v>6.8</c:v>
                </c:pt>
                <c:pt idx="5">
                  <c:v>8.1</c:v>
                </c:pt>
              </c:numCache>
            </c:numRef>
          </c:xVal>
          <c:yVal>
            <c:numRef>
              <c:f>'Reference Standards'!$AL$127:$AQ$127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784E-4900-84E9-4CE0490071DA}"/>
            </c:ext>
          </c:extLst>
        </c:ser>
        <c:ser>
          <c:idx val="1"/>
          <c:order val="1"/>
          <c:tx>
            <c:strRef>
              <c:f>'Reference Standards'!$AK$123</c:f>
              <c:strCache>
                <c:ptCount val="1"/>
                <c:pt idx="0">
                  <c:v>73ab</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3.7138577854831017E-2"/>
                  <c:y val="-0.1699098516682828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Standards'!$AL$123:$AQ$123</c:f>
              <c:numCache>
                <c:formatCode>0</c:formatCode>
                <c:ptCount val="6"/>
                <c:pt idx="0">
                  <c:v>0</c:v>
                </c:pt>
                <c:pt idx="2">
                  <c:v>15.7</c:v>
                </c:pt>
                <c:pt idx="3">
                  <c:v>23.5</c:v>
                </c:pt>
                <c:pt idx="5">
                  <c:v>28</c:v>
                </c:pt>
              </c:numCache>
            </c:numRef>
          </c:xVal>
          <c:yVal>
            <c:numRef>
              <c:f>'Reference Standards'!$AL$127:$AQ$127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1-F234-4600-92AA-B899C462CA50}"/>
            </c:ext>
          </c:extLst>
        </c:ser>
        <c:ser>
          <c:idx val="2"/>
          <c:order val="2"/>
          <c:tx>
            <c:strRef>
              <c:f>'Reference Standards'!$AK$124</c:f>
              <c:strCache>
                <c:ptCount val="1"/>
                <c:pt idx="0">
                  <c:v>74a, Jan-June, DA &gt; 2 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8.8661376665521124E-2"/>
                  <c:y val="-0.1133176462955303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Standards'!$AL$124:$AQ$124</c:f>
              <c:numCache>
                <c:formatCode>0</c:formatCode>
                <c:ptCount val="6"/>
                <c:pt idx="0">
                  <c:v>0</c:v>
                </c:pt>
                <c:pt idx="2">
                  <c:v>18.2</c:v>
                </c:pt>
                <c:pt idx="3">
                  <c:v>27.2</c:v>
                </c:pt>
                <c:pt idx="5">
                  <c:v>32.5</c:v>
                </c:pt>
              </c:numCache>
            </c:numRef>
          </c:xVal>
          <c:yVal>
            <c:numRef>
              <c:f>'Reference Standards'!$AL$127:$AQ$127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F234-4600-92AA-B899C462CA50}"/>
            </c:ext>
          </c:extLst>
        </c:ser>
        <c:ser>
          <c:idx val="3"/>
          <c:order val="3"/>
          <c:tx>
            <c:strRef>
              <c:f>'Reference Standards'!$AK$125</c:f>
              <c:strCache>
                <c:ptCount val="1"/>
                <c:pt idx="0">
                  <c:v>71i, DA &gt; 2 sq.mi., SQBANK</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4054650237001398"/>
                  <c:y val="0.4610251259075947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Standards'!$AL$125:$AQ$125</c:f>
              <c:numCache>
                <c:formatCode>0</c:formatCode>
                <c:ptCount val="6"/>
                <c:pt idx="0">
                  <c:v>0</c:v>
                </c:pt>
                <c:pt idx="2">
                  <c:v>20.5</c:v>
                </c:pt>
                <c:pt idx="3">
                  <c:v>30.7</c:v>
                </c:pt>
                <c:pt idx="5">
                  <c:v>36.799999999999997</c:v>
                </c:pt>
              </c:numCache>
            </c:numRef>
          </c:xVal>
          <c:yVal>
            <c:numRef>
              <c:f>'Reference Standards'!$AL$127:$AQ$127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F234-4600-92AA-B899C462CA50}"/>
            </c:ext>
          </c:extLst>
        </c:ser>
        <c:ser>
          <c:idx val="4"/>
          <c:order val="4"/>
          <c:tx>
            <c:strRef>
              <c:f>'Reference Standards'!$AK$126</c:f>
              <c:strCache>
                <c:ptCount val="1"/>
                <c:pt idx="0">
                  <c:v>65abei and 74b, DA&gt; 2 sq.mi.
71i, DA &gt; 2 sq.mi., SQKICK</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6.4743242311346372E-2"/>
                  <c:y val="0.5244007586316360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Standards'!$AL$126:$AQ$126</c:f>
              <c:numCache>
                <c:formatCode>0</c:formatCode>
                <c:ptCount val="6"/>
                <c:pt idx="0">
                  <c:v>0</c:v>
                </c:pt>
                <c:pt idx="2">
                  <c:v>23.950000000000003</c:v>
                </c:pt>
                <c:pt idx="3">
                  <c:v>35.799999999999997</c:v>
                </c:pt>
                <c:pt idx="5">
                  <c:v>42.6</c:v>
                </c:pt>
              </c:numCache>
            </c:numRef>
          </c:xVal>
          <c:yVal>
            <c:numRef>
              <c:f>'Reference Standards'!$AL$127:$AQ$127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4-F234-4600-92AA-B899C462CA50}"/>
            </c:ext>
          </c:extLst>
        </c:ser>
        <c:dLbls>
          <c:showLegendKey val="0"/>
          <c:showVal val="0"/>
          <c:showCatName val="0"/>
          <c:showSerName val="0"/>
          <c:showPercent val="0"/>
          <c:showBubbleSize val="0"/>
        </c:dLbls>
        <c:axId val="138878336"/>
        <c:axId val="138888704"/>
      </c:scatterChart>
      <c:valAx>
        <c:axId val="13887833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88704"/>
        <c:crosses val="autoZero"/>
        <c:crossBetween val="midCat"/>
      </c:valAx>
      <c:valAx>
        <c:axId val="13888870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7833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Percent EPT-Cheum - Plot 2</a:t>
            </a:r>
            <a:endParaRPr lang="en-US"/>
          </a:p>
        </c:rich>
      </c:tx>
      <c:overlay val="0"/>
      <c:spPr>
        <a:noFill/>
        <a:ln>
          <a:noFill/>
        </a:ln>
        <a:effectLst/>
      </c:spPr>
    </c:title>
    <c:autoTitleDeleted val="0"/>
    <c:plotArea>
      <c:layout>
        <c:manualLayout>
          <c:layoutTarget val="inner"/>
          <c:xMode val="edge"/>
          <c:yMode val="edge"/>
          <c:x val="5.5480703261377259E-2"/>
          <c:y val="0.11488649104540334"/>
          <c:w val="0.58599133837840478"/>
          <c:h val="0.81325673957512468"/>
        </c:manualLayout>
      </c:layout>
      <c:scatterChart>
        <c:scatterStyle val="lineMarker"/>
        <c:varyColors val="0"/>
        <c:ser>
          <c:idx val="0"/>
          <c:order val="0"/>
          <c:tx>
            <c:strRef>
              <c:f>'Reference Standards'!$AK$161</c:f>
              <c:strCache>
                <c:ptCount val="1"/>
                <c:pt idx="0">
                  <c:v>65abei, DA &lt;= 2 sq.mi.
68cd, July - Dec
71e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1.4808697819247478E-2"/>
                  <c:y val="-0.2236396766594155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Standards'!$AL$161:$AQ$161</c:f>
              <c:numCache>
                <c:formatCode>0</c:formatCode>
                <c:ptCount val="6"/>
                <c:pt idx="0">
                  <c:v>0</c:v>
                </c:pt>
                <c:pt idx="2">
                  <c:v>26.833333333333332</c:v>
                </c:pt>
                <c:pt idx="3">
                  <c:v>40.133333333333333</c:v>
                </c:pt>
                <c:pt idx="5">
                  <c:v>48</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486C-43FC-98E8-B7BE00F686B9}"/>
            </c:ext>
          </c:extLst>
        </c:ser>
        <c:ser>
          <c:idx val="1"/>
          <c:order val="1"/>
          <c:tx>
            <c:strRef>
              <c:f>'Reference Standards'!$AK$162</c:f>
              <c:strCache>
                <c:ptCount val="1"/>
                <c:pt idx="0">
                  <c:v>65j, 67fghi
71i, DA &lt;= 2 sq.mi.
74a, July-Dec, DA &gt;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4.7830403219435082E-2"/>
                  <c:y val="-0.1708879329709495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Standards'!$AL$162:$AQ$162</c:f>
              <c:numCache>
                <c:formatCode>0</c:formatCode>
                <c:ptCount val="6"/>
                <c:pt idx="0">
                  <c:v>0</c:v>
                </c:pt>
                <c:pt idx="2">
                  <c:v>29.580000000000002</c:v>
                </c:pt>
                <c:pt idx="3">
                  <c:v>44.28</c:v>
                </c:pt>
                <c:pt idx="5">
                  <c:v>53</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1-E56C-4CCE-8D10-8063278BF457}"/>
            </c:ext>
          </c:extLst>
        </c:ser>
        <c:ser>
          <c:idx val="2"/>
          <c:order val="2"/>
          <c:tx>
            <c:strRef>
              <c:f>'Reference Standards'!$AK$163</c:f>
              <c:strCache>
                <c:ptCount val="1"/>
                <c:pt idx="0">
                  <c:v>68a
68b, DA &gt; 2 sq.mi.
71fgh, DA &gt; 2 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7.5130411545462447E-2"/>
                  <c:y val="-0.1161135423686358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Standards'!$AL$163:$AQ$163</c:f>
              <c:numCache>
                <c:formatCode>0</c:formatCode>
                <c:ptCount val="6"/>
                <c:pt idx="0">
                  <c:v>0</c:v>
                </c:pt>
                <c:pt idx="2">
                  <c:v>32.024999999999999</c:v>
                </c:pt>
                <c:pt idx="3">
                  <c:v>47.875</c:v>
                </c:pt>
                <c:pt idx="5">
                  <c:v>57</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E56C-4CCE-8D10-8063278BF457}"/>
            </c:ext>
          </c:extLst>
        </c:ser>
        <c:ser>
          <c:idx val="3"/>
          <c:order val="3"/>
          <c:tx>
            <c:strRef>
              <c:f>'Reference Standards'!$AK$164</c:f>
              <c:strCache>
                <c:ptCount val="1"/>
                <c:pt idx="0">
                  <c:v>66fgj
71fgh, DA &lt;=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0070791090328035"/>
                  <c:y val="-6.4652507406575438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Standards'!$AL$164:$AQ$164</c:f>
              <c:numCache>
                <c:formatCode>0</c:formatCode>
                <c:ptCount val="6"/>
                <c:pt idx="0">
                  <c:v>0</c:v>
                </c:pt>
                <c:pt idx="2">
                  <c:v>34.650000000000006</c:v>
                </c:pt>
                <c:pt idx="3">
                  <c:v>51.9</c:v>
                </c:pt>
                <c:pt idx="5">
                  <c:v>60</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E56C-4CCE-8D10-8063278BF457}"/>
            </c:ext>
          </c:extLst>
        </c:ser>
        <c:ser>
          <c:idx val="4"/>
          <c:order val="4"/>
          <c:tx>
            <c:strRef>
              <c:f>'Reference Standards'!$AK$165</c:f>
              <c:strCache>
                <c:ptCount val="1"/>
                <c:pt idx="0">
                  <c:v>66deik
68cd, Jan - June
69de, July - Dec</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5564451465855983"/>
                  <c:y val="4.9252781596815474E-3"/>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Standards'!$AL$165:$AQ$165</c:f>
              <c:numCache>
                <c:formatCode>0</c:formatCode>
                <c:ptCount val="6"/>
                <c:pt idx="0">
                  <c:v>0</c:v>
                </c:pt>
                <c:pt idx="2">
                  <c:v>37.799999999999997</c:v>
                </c:pt>
                <c:pt idx="3">
                  <c:v>56.6</c:v>
                </c:pt>
                <c:pt idx="5">
                  <c:v>67.5</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4-E56C-4CCE-8D10-8063278BF457}"/>
            </c:ext>
          </c:extLst>
        </c:ser>
        <c:ser>
          <c:idx val="5"/>
          <c:order val="5"/>
          <c:tx>
            <c:strRef>
              <c:f>'Reference Standards'!$AK$166</c:f>
              <c:strCache>
                <c:ptCount val="1"/>
                <c:pt idx="0">
                  <c:v>69de, Jan - June</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19420891463637599"/>
                  <c:y val="7.4072339687610442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Standards'!$AL$166:$AQ$166</c:f>
              <c:numCache>
                <c:formatCode>0</c:formatCode>
                <c:ptCount val="6"/>
                <c:pt idx="0">
                  <c:v>0</c:v>
                </c:pt>
                <c:pt idx="2">
                  <c:v>40.200000000000003</c:v>
                </c:pt>
                <c:pt idx="3">
                  <c:v>60.1</c:v>
                </c:pt>
                <c:pt idx="5">
                  <c:v>72</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5-E56C-4CCE-8D10-8063278BF457}"/>
            </c:ext>
          </c:extLst>
        </c:ser>
        <c:dLbls>
          <c:showLegendKey val="0"/>
          <c:showVal val="0"/>
          <c:showCatName val="0"/>
          <c:showSerName val="0"/>
          <c:showPercent val="0"/>
          <c:showBubbleSize val="0"/>
        </c:dLbls>
        <c:axId val="138712192"/>
        <c:axId val="138714112"/>
      </c:scatterChart>
      <c:valAx>
        <c:axId val="13871219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714112"/>
        <c:crosses val="autoZero"/>
        <c:crossBetween val="midCat"/>
      </c:valAx>
      <c:valAx>
        <c:axId val="13871411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712192"/>
        <c:crosses val="autoZero"/>
        <c:crossBetween val="midCat"/>
      </c:valAx>
      <c:spPr>
        <a:noFill/>
        <a:ln>
          <a:noFill/>
        </a:ln>
        <a:effectLst/>
      </c:spPr>
    </c:plotArea>
    <c:legend>
      <c:legendPos val="r"/>
      <c:layout>
        <c:manualLayout>
          <c:xMode val="edge"/>
          <c:yMode val="edge"/>
          <c:x val="0.59924787746584096"/>
          <c:y val="1.4214868857213025E-2"/>
          <c:w val="0.3899438893838329"/>
          <c:h val="0.978044049459607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Watershed Land Use Runoff Score</a:t>
            </a:r>
            <a:endParaRPr lang="en-US"/>
          </a:p>
        </c:rich>
      </c:tx>
      <c:layout>
        <c:manualLayout>
          <c:xMode val="edge"/>
          <c:yMode val="edge"/>
          <c:x val="0.32172501566560913"/>
          <c:y val="3.211345128341167E-2"/>
        </c:manualLayout>
      </c:layout>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8460995055533859"/>
                  <c:y val="0.17198212864598011"/>
                </c:manualLayout>
              </c:layout>
              <c:numFmt formatCode="#,##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Standards'!$C$10:$H$10</c:f>
              <c:numCache>
                <c:formatCode>General</c:formatCode>
                <c:ptCount val="6"/>
                <c:pt idx="0" formatCode="0.00">
                  <c:v>0</c:v>
                </c:pt>
                <c:pt idx="5" formatCode="0">
                  <c:v>0.95</c:v>
                </c:pt>
              </c:numCache>
            </c:numRef>
          </c:xVal>
          <c:yVal>
            <c:numRef>
              <c:f>'Reference Standards'!$C$11:$H$11</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7AC5-45EF-9405-04BE8E1983D1}"/>
            </c:ext>
          </c:extLst>
        </c:ser>
        <c:dLbls>
          <c:showLegendKey val="0"/>
          <c:showVal val="0"/>
          <c:showCatName val="0"/>
          <c:showSerName val="0"/>
          <c:showPercent val="0"/>
          <c:showBubbleSize val="0"/>
        </c:dLbls>
        <c:axId val="138760960"/>
        <c:axId val="138762880"/>
      </c:scatterChart>
      <c:valAx>
        <c:axId val="1387609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762880"/>
        <c:crosses val="autoZero"/>
        <c:crossBetween val="midCat"/>
      </c:valAx>
      <c:valAx>
        <c:axId val="13876288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760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Concentrated</a:t>
            </a:r>
            <a:r>
              <a:rPr lang="en-US" baseline="0"/>
              <a:t> Flow Points</a:t>
            </a:r>
            <a:endParaRPr lang="en-US"/>
          </a:p>
        </c:rich>
      </c:tx>
      <c:overlay val="0"/>
      <c:spPr>
        <a:noFill/>
        <a:ln>
          <a:noFill/>
        </a:ln>
        <a:effectLst/>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3381927110391412"/>
                  <c:y val="-0.51062525372385004"/>
                </c:manualLayout>
              </c:layout>
              <c:numFmt formatCode="#,##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Standards'!#REF!</c:f>
            </c:numRef>
          </c:xVal>
          <c:yVal>
            <c:numRef>
              <c:f>'Reference Standards'!#REF!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1-497F-464D-9884-5EC6C306E1D4}"/>
            </c:ext>
          </c:extLst>
        </c:ser>
        <c:dLbls>
          <c:showLegendKey val="0"/>
          <c:showVal val="0"/>
          <c:showCatName val="0"/>
          <c:showSerName val="0"/>
          <c:showPercent val="0"/>
          <c:showBubbleSize val="0"/>
        </c:dLbls>
        <c:axId val="138801152"/>
        <c:axId val="138802688"/>
      </c:scatterChart>
      <c:valAx>
        <c:axId val="138801152"/>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02688"/>
        <c:crosses val="autoZero"/>
        <c:crossBetween val="midCat"/>
      </c:valAx>
      <c:valAx>
        <c:axId val="13880268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01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Aggradation Ratio</a:t>
            </a:r>
          </a:p>
        </c:rich>
      </c:tx>
      <c:overlay val="0"/>
      <c:spPr>
        <a:noFill/>
        <a:ln>
          <a:noFill/>
        </a:ln>
        <a:effectLst/>
      </c:spPr>
    </c:title>
    <c:autoTitleDeleted val="0"/>
    <c:plotArea>
      <c:layout/>
      <c:scatterChart>
        <c:scatterStyle val="lineMarker"/>
        <c:varyColors val="0"/>
        <c:ser>
          <c:idx val="0"/>
          <c:order val="0"/>
          <c:tx>
            <c:strRef>
              <c:f>'Reference Standards'!$R$628</c:f>
              <c:strCache>
                <c:ptCount val="1"/>
                <c:pt idx="0">
                  <c:v>Aggradation Ratio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0.23051913081181932"/>
                  <c:y val="-0.398271917572653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Standards'!$S$629:$X$629</c:f>
              <c:numCache>
                <c:formatCode>General</c:formatCode>
                <c:ptCount val="6"/>
                <c:pt idx="0">
                  <c:v>1.6</c:v>
                </c:pt>
                <c:pt idx="2">
                  <c:v>1.4</c:v>
                </c:pt>
                <c:pt idx="3">
                  <c:v>1.2</c:v>
                </c:pt>
                <c:pt idx="5">
                  <c:v>1</c:v>
                </c:pt>
              </c:numCache>
            </c:numRef>
          </c:xVal>
          <c:yVal>
            <c:numRef>
              <c:f>'Reference Standards'!$S$630:$X$630</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B252-4349-B8F7-631AFF3EE741}"/>
            </c:ext>
          </c:extLst>
        </c:ser>
        <c:dLbls>
          <c:showLegendKey val="0"/>
          <c:showVal val="0"/>
          <c:showCatName val="0"/>
          <c:showSerName val="0"/>
          <c:showPercent val="0"/>
          <c:showBubbleSize val="0"/>
        </c:dLbls>
        <c:axId val="138840320"/>
        <c:axId val="138862976"/>
      </c:scatterChart>
      <c:valAx>
        <c:axId val="1388403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62976"/>
        <c:crosses val="autoZero"/>
        <c:crossBetween val="midCat"/>
      </c:valAx>
      <c:valAx>
        <c:axId val="13886297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403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a:t>
            </a:r>
            <a:r>
              <a:rPr lang="en-US" sz="1400" b="0" i="0" u="none" strike="noStrike" baseline="0">
                <a:effectLst/>
              </a:rPr>
              <a:t>, DA &gt; 2.5 sq.mi. </a:t>
            </a:r>
            <a:r>
              <a:rPr lang="en-US"/>
              <a:t> - Plot 2</a:t>
            </a:r>
          </a:p>
        </c:rich>
      </c:tx>
      <c:overlay val="0"/>
      <c:spPr>
        <a:noFill/>
        <a:ln>
          <a:noFill/>
        </a:ln>
        <a:effectLst/>
      </c:spPr>
    </c:title>
    <c:autoTitleDeleted val="0"/>
    <c:plotArea>
      <c:layout/>
      <c:scatterChart>
        <c:scatterStyle val="lineMarker"/>
        <c:varyColors val="0"/>
        <c:ser>
          <c:idx val="0"/>
          <c:order val="0"/>
          <c:tx>
            <c:strRef>
              <c:f>'Reference Standards'!$AA$377</c:f>
              <c:strCache>
                <c:ptCount val="1"/>
                <c:pt idx="0">
                  <c:v>65j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43866577357348391"/>
                  <c:y val="-0.700537021391431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Standards'!$AB$377:$AF$377</c:f>
              <c:numCache>
                <c:formatCode>General</c:formatCode>
                <c:ptCount val="5"/>
                <c:pt idx="0">
                  <c:v>3.5000000000000003E-2</c:v>
                </c:pt>
                <c:pt idx="2">
                  <c:v>1.4999999999999999E-2</c:v>
                </c:pt>
                <c:pt idx="4">
                  <c:v>3.0000000000000001E-3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C94C-4484-94A3-C968EAE7FB9D}"/>
            </c:ext>
          </c:extLst>
        </c:ser>
        <c:ser>
          <c:idx val="1"/>
          <c:order val="1"/>
          <c:tx>
            <c:strRef>
              <c:f>'Reference Standards'!$AA$378</c:f>
              <c:strCache>
                <c:ptCount val="1"/>
                <c:pt idx="0">
                  <c:v>69de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43866577357348391"/>
                  <c:y val="-0.6427414053481879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Standards'!$AB$378:$AF$378</c:f>
              <c:numCache>
                <c:formatCode>General</c:formatCode>
                <c:ptCount val="5"/>
                <c:pt idx="0">
                  <c:v>3.6999999999999998E-2</c:v>
                </c:pt>
                <c:pt idx="2">
                  <c:v>1.6E-2</c:v>
                </c:pt>
                <c:pt idx="4">
                  <c:v>3.0000000000000001E-3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3-C94C-4484-94A3-C968EAE7FB9D}"/>
            </c:ext>
          </c:extLst>
        </c:ser>
        <c:ser>
          <c:idx val="2"/>
          <c:order val="2"/>
          <c:tx>
            <c:strRef>
              <c:f>'Reference Standards'!$AA$379</c:f>
              <c:strCache>
                <c:ptCount val="1"/>
                <c:pt idx="0">
                  <c:v>71e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2860701135716167"/>
                  <c:y val="-0.5849457893049440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Standards'!$AB$379:$AF$379</c:f>
              <c:numCache>
                <c:formatCode>General</c:formatCode>
                <c:ptCount val="5"/>
                <c:pt idx="0">
                  <c:v>0.23</c:v>
                </c:pt>
                <c:pt idx="2">
                  <c:v>0.1</c:v>
                </c:pt>
                <c:pt idx="4">
                  <c:v>3.0000000000000001E-3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C94C-4484-94A3-C968EAE7FB9D}"/>
            </c:ext>
          </c:extLst>
        </c:ser>
        <c:ser>
          <c:idx val="3"/>
          <c:order val="3"/>
          <c:tx>
            <c:strRef>
              <c:f>'Reference Standards'!$AA$380</c:f>
              <c:strCache>
                <c:ptCount val="1"/>
                <c:pt idx="0">
                  <c:v>66f &gt; 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43866577357348391"/>
                  <c:y val="-0.524260392459537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Standards'!$AB$380:$AF$380</c:f>
              <c:numCache>
                <c:formatCode>General</c:formatCode>
                <c:ptCount val="5"/>
                <c:pt idx="0">
                  <c:v>0.06</c:v>
                </c:pt>
                <c:pt idx="2">
                  <c:v>2.7E-2</c:v>
                </c:pt>
                <c:pt idx="4">
                  <c:v>4.0000000000000001E-3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7-C94C-4484-94A3-C968EAE7FB9D}"/>
            </c:ext>
          </c:extLst>
        </c:ser>
        <c:ser>
          <c:idx val="4"/>
          <c:order val="4"/>
          <c:tx>
            <c:strRef>
              <c:f>'Reference Standards'!$AA$381</c:f>
              <c:strCache>
                <c:ptCount val="1"/>
                <c:pt idx="0">
                  <c:v>67g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48215419078119998"/>
                  <c:y val="-0.4577954340098075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Standards'!$AB$381:$AF$381</c:f>
              <c:numCache>
                <c:formatCode>General</c:formatCode>
                <c:ptCount val="5"/>
                <c:pt idx="0">
                  <c:v>0.11</c:v>
                </c:pt>
                <c:pt idx="2">
                  <c:v>7.0000000000000007E-2</c:v>
                </c:pt>
                <c:pt idx="4">
                  <c:v>0.01</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C94C-4484-94A3-C968EAE7FB9D}"/>
            </c:ext>
          </c:extLst>
        </c:ser>
        <c:ser>
          <c:idx val="5"/>
          <c:order val="5"/>
          <c:tx>
            <c:strRef>
              <c:f>'Reference Standards'!$AA$382</c:f>
              <c:strCache>
                <c:ptCount val="1"/>
                <c:pt idx="0">
                  <c:v>74b &gt; 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17287695457805294"/>
                  <c:y val="-0.3999998179665636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Standards'!$AB$382:$AF$382</c:f>
              <c:numCache>
                <c:formatCode>General</c:formatCode>
                <c:ptCount val="5"/>
                <c:pt idx="0">
                  <c:v>0.49</c:v>
                </c:pt>
                <c:pt idx="2">
                  <c:v>0.28000000000000003</c:v>
                </c:pt>
                <c:pt idx="4">
                  <c:v>0.01</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A-C94C-4484-94A3-C968EAE7FB9D}"/>
            </c:ext>
          </c:extLst>
        </c:ser>
        <c:ser>
          <c:idx val="6"/>
          <c:order val="6"/>
          <c:tx>
            <c:v>Functioning 67g &amp; 74b</c:v>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lumMod val="60000"/>
                  </a:schemeClr>
                </a:solidFill>
                <a:prstDash val="sysDash"/>
              </a:ln>
              <a:effectLst/>
            </c:spPr>
            <c:trendlineType val="linear"/>
            <c:dispRSqr val="0"/>
            <c:dispEq val="1"/>
            <c:trendlineLbl>
              <c:layout>
                <c:manualLayout>
                  <c:x val="8.1304432170947447E-2"/>
                  <c:y val="-0.12600217939531677"/>
                </c:manualLayout>
              </c:layout>
              <c:numFmt formatCode="General" sourceLinked="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rendlineLbl>
          </c:trendline>
          <c:xVal>
            <c:numRef>
              <c:f>'Reference Standards'!$AF$381:$AG$381</c:f>
              <c:numCache>
                <c:formatCode>General</c:formatCode>
                <c:ptCount val="2"/>
                <c:pt idx="0">
                  <c:v>0.01</c:v>
                </c:pt>
                <c:pt idx="1">
                  <c:v>2E-3</c:v>
                </c:pt>
              </c:numCache>
            </c:numRef>
          </c:xVal>
          <c:yVal>
            <c:numRef>
              <c:f>'Reference Standards'!$AF$383:$AG$383</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6-777F-4619-B6F0-0D1B2D8E19F1}"/>
            </c:ext>
          </c:extLst>
        </c:ser>
        <c:dLbls>
          <c:showLegendKey val="0"/>
          <c:showVal val="0"/>
          <c:showCatName val="0"/>
          <c:showSerName val="0"/>
          <c:showPercent val="0"/>
          <c:showBubbleSize val="0"/>
        </c:dLbls>
        <c:axId val="139286400"/>
        <c:axId val="139296768"/>
      </c:scatterChart>
      <c:valAx>
        <c:axId val="1392864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96768"/>
        <c:crosses val="autoZero"/>
        <c:crossBetween val="midCat"/>
      </c:valAx>
      <c:valAx>
        <c:axId val="13929676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8640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&gt; 2.5 sq.mi. - Plot 3</a:t>
            </a:r>
          </a:p>
        </c:rich>
      </c:tx>
      <c:overlay val="0"/>
      <c:spPr>
        <a:noFill/>
        <a:ln>
          <a:noFill/>
        </a:ln>
        <a:effectLst/>
      </c:spPr>
    </c:title>
    <c:autoTitleDeleted val="0"/>
    <c:plotArea>
      <c:layout/>
      <c:scatterChart>
        <c:scatterStyle val="lineMarker"/>
        <c:varyColors val="0"/>
        <c:ser>
          <c:idx val="2"/>
          <c:order val="0"/>
          <c:tx>
            <c:strRef>
              <c:f>'Reference Standards'!$AA$417</c:f>
              <c:strCache>
                <c:ptCount val="1"/>
                <c:pt idx="0">
                  <c:v>71hi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8190418235115666"/>
                  <c:y val="-0.599162540292915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Standards'!$AB$417:$AF$417</c:f>
              <c:numCache>
                <c:formatCode>General</c:formatCode>
                <c:ptCount val="5"/>
                <c:pt idx="0">
                  <c:v>0.37</c:v>
                </c:pt>
                <c:pt idx="2">
                  <c:v>0.25</c:v>
                </c:pt>
                <c:pt idx="4">
                  <c:v>0.03</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7A88-4EF6-8276-7EE8E0E9D99C}"/>
            </c:ext>
          </c:extLst>
        </c:ser>
        <c:ser>
          <c:idx val="0"/>
          <c:order val="1"/>
          <c:tx>
            <c:strRef>
              <c:f>'Reference Standards'!$AA$418</c:f>
              <c:strCache>
                <c:ptCount val="1"/>
                <c:pt idx="0">
                  <c:v>73a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3546238504772212"/>
                  <c:y val="-0.5438257126135861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Standards'!$AB$418:$AF$418</c:f>
              <c:numCache>
                <c:formatCode>General</c:formatCode>
                <c:ptCount val="5"/>
                <c:pt idx="0">
                  <c:v>0.40500000000000003</c:v>
                </c:pt>
                <c:pt idx="2">
                  <c:v>0.251</c:v>
                </c:pt>
                <c:pt idx="4">
                  <c:v>4.5999999999999999E-2</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7A88-4EF6-8276-7EE8E0E9D99C}"/>
            </c:ext>
          </c:extLst>
        </c:ser>
        <c:ser>
          <c:idx val="1"/>
          <c:order val="2"/>
          <c:tx>
            <c:strRef>
              <c:f>'Reference Standards'!$AA$419</c:f>
              <c:strCache>
                <c:ptCount val="1"/>
                <c:pt idx="0">
                  <c:v>74a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28977727276263032"/>
                  <c:y val="-0.4972262787783610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Standards'!$AB$419:$AF$419</c:f>
              <c:numCache>
                <c:formatCode>General</c:formatCode>
                <c:ptCount val="5"/>
                <c:pt idx="0">
                  <c:v>0.3</c:v>
                </c:pt>
                <c:pt idx="2">
                  <c:v>0.18</c:v>
                </c:pt>
                <c:pt idx="4">
                  <c:v>5.1999999999999998E-2</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3-7A88-4EF6-8276-7EE8E0E9D99C}"/>
            </c:ext>
          </c:extLst>
        </c:ser>
        <c:ser>
          <c:idx val="3"/>
          <c:order val="3"/>
          <c:tx>
            <c:strRef>
              <c:f>'Reference Standards'!$AA$417</c:f>
              <c:strCache>
                <c:ptCount val="1"/>
                <c:pt idx="0">
                  <c:v>71hi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63452999185633152"/>
                  <c:y val="-0.2003603658972867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Standards'!$AF$417:$AG$417</c:f>
              <c:numCache>
                <c:formatCode>General</c:formatCode>
                <c:ptCount val="2"/>
                <c:pt idx="0">
                  <c:v>0.03</c:v>
                </c:pt>
                <c:pt idx="1">
                  <c:v>0.01</c:v>
                </c:pt>
              </c:numCache>
            </c:numRef>
          </c:xVal>
          <c:yVal>
            <c:numRef>
              <c:f>'Reference Standards'!$AF$421:$AG$421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A-7A88-4EF6-8276-7EE8E0E9D99C}"/>
            </c:ext>
          </c:extLst>
        </c:ser>
        <c:ser>
          <c:idx val="4"/>
          <c:order val="4"/>
          <c:tx>
            <c:strRef>
              <c:f>'Reference Standards'!$AA$418</c:f>
              <c:strCache>
                <c:ptCount val="1"/>
                <c:pt idx="0">
                  <c:v>73a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9273460317118387"/>
                  <c:y val="-0.1566733966767632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Standards'!$AF$418:$AG$418</c:f>
              <c:numCache>
                <c:formatCode>General</c:formatCode>
                <c:ptCount val="2"/>
                <c:pt idx="0">
                  <c:v>4.5999999999999999E-2</c:v>
                </c:pt>
                <c:pt idx="1">
                  <c:v>0.01</c:v>
                </c:pt>
              </c:numCache>
            </c:numRef>
          </c:xVal>
          <c:yVal>
            <c:numRef>
              <c:f>'Reference Standards'!$AF$421:$AG$421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7A88-4EF6-8276-7EE8E0E9D99C}"/>
            </c:ext>
          </c:extLst>
        </c:ser>
        <c:ser>
          <c:idx val="5"/>
          <c:order val="5"/>
          <c:tx>
            <c:strRef>
              <c:f>'Reference Standards'!$AA$419</c:f>
              <c:strCache>
                <c:ptCount val="1"/>
                <c:pt idx="0">
                  <c:v>74a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58703523198684571"/>
                  <c:y val="-9.8424104382731789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Standards'!$AF$419:$AG$419</c:f>
              <c:numCache>
                <c:formatCode>General</c:formatCode>
                <c:ptCount val="2"/>
                <c:pt idx="0">
                  <c:v>5.1999999999999998E-2</c:v>
                </c:pt>
                <c:pt idx="1">
                  <c:v>0.01</c:v>
                </c:pt>
              </c:numCache>
            </c:numRef>
          </c:xVal>
          <c:yVal>
            <c:numRef>
              <c:f>'Reference Standards'!$AF$421:$AG$421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C-7A88-4EF6-8276-7EE8E0E9D99C}"/>
            </c:ext>
          </c:extLst>
        </c:ser>
        <c:ser>
          <c:idx val="6"/>
          <c:order val="6"/>
          <c:tx>
            <c:strRef>
              <c:f>'Reference Standards'!$AA$420</c:f>
              <c:strCache>
                <c:ptCount val="1"/>
                <c:pt idx="0">
                  <c:v>65abei &gt; 2.5 </c:v>
                </c:pt>
              </c:strCache>
            </c:strRef>
          </c:tx>
          <c:spPr>
            <a:ln w="25400" cap="rnd">
              <a:noFill/>
              <a:round/>
            </a:ln>
            <a:effectLst/>
          </c:spPr>
          <c:marker>
            <c:symbol val="circle"/>
            <c:size val="5"/>
            <c:spPr>
              <a:solidFill>
                <a:schemeClr val="accent2">
                  <a:lumMod val="50000"/>
                </a:schemeClr>
              </a:solidFill>
              <a:ln w="9525">
                <a:solidFill>
                  <a:schemeClr val="accent2">
                    <a:lumMod val="50000"/>
                  </a:schemeClr>
                </a:solidFill>
              </a:ln>
              <a:effectLst/>
            </c:spPr>
          </c:marker>
          <c:trendline>
            <c:spPr>
              <a:ln w="19050" cap="rnd">
                <a:solidFill>
                  <a:schemeClr val="accent2">
                    <a:lumMod val="50000"/>
                  </a:schemeClr>
                </a:solidFill>
                <a:prstDash val="sysDot"/>
              </a:ln>
              <a:effectLst/>
            </c:spPr>
            <c:trendlineType val="poly"/>
            <c:order val="2"/>
            <c:dispRSqr val="0"/>
            <c:dispEq val="1"/>
            <c:trendlineLbl>
              <c:layout>
                <c:manualLayout>
                  <c:x val="0.43989631632138348"/>
                  <c:y val="-0.3865526234197013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lumMod val="50000"/>
                        </a:schemeClr>
                      </a:solidFill>
                      <a:latin typeface="+mn-lt"/>
                      <a:ea typeface="+mn-ea"/>
                      <a:cs typeface="+mn-cs"/>
                    </a:defRPr>
                  </a:pPr>
                  <a:endParaRPr lang="en-US"/>
                </a:p>
              </c:txPr>
            </c:trendlineLbl>
          </c:trendline>
          <c:xVal>
            <c:numRef>
              <c:f>'Reference Standards'!$AB$420:$AF$420</c:f>
              <c:numCache>
                <c:formatCode>General</c:formatCode>
                <c:ptCount val="5"/>
                <c:pt idx="0">
                  <c:v>0.19900000000000001</c:v>
                </c:pt>
                <c:pt idx="2">
                  <c:v>0.1</c:v>
                </c:pt>
                <c:pt idx="4">
                  <c:v>0.01</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6-4B6B-4C7E-AEB3-992FCFC05A60}"/>
            </c:ext>
          </c:extLst>
        </c:ser>
        <c:ser>
          <c:idx val="7"/>
          <c:order val="7"/>
          <c:tx>
            <c:strRef>
              <c:f>'Reference Standards'!$AA$420</c:f>
              <c:strCache>
                <c:ptCount val="1"/>
                <c:pt idx="0">
                  <c:v>65abei &gt; 2.5 </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trendline>
            <c:spPr>
              <a:ln w="19050" cap="rnd">
                <a:solidFill>
                  <a:schemeClr val="accent2">
                    <a:lumMod val="60000"/>
                  </a:schemeClr>
                </a:solidFill>
                <a:prstDash val="sysDot"/>
              </a:ln>
              <a:effectLst/>
            </c:spPr>
            <c:trendlineType val="linear"/>
            <c:dispRSqr val="0"/>
            <c:dispEq val="1"/>
            <c:trendlineLbl>
              <c:layout>
                <c:manualLayout>
                  <c:x val="0.60793292632941942"/>
                  <c:y val="0.1200107417198860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lumMod val="50000"/>
                        </a:schemeClr>
                      </a:solidFill>
                      <a:latin typeface="+mn-lt"/>
                      <a:ea typeface="+mn-ea"/>
                      <a:cs typeface="+mn-cs"/>
                    </a:defRPr>
                  </a:pPr>
                  <a:endParaRPr lang="en-US"/>
                </a:p>
              </c:txPr>
            </c:trendlineLbl>
          </c:trendline>
          <c:xVal>
            <c:numRef>
              <c:f>'Reference Standards'!$AF$420:$AG$420</c:f>
              <c:numCache>
                <c:formatCode>General</c:formatCode>
                <c:ptCount val="2"/>
                <c:pt idx="0">
                  <c:v>0.01</c:v>
                </c:pt>
                <c:pt idx="1">
                  <c:v>2E-3</c:v>
                </c:pt>
              </c:numCache>
            </c:numRef>
          </c:xVal>
          <c:yVal>
            <c:numRef>
              <c:f>'Reference Standards'!$AF$421:$AG$421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4B6B-4C7E-AEB3-992FCFC05A60}"/>
            </c:ext>
          </c:extLst>
        </c:ser>
        <c:dLbls>
          <c:showLegendKey val="0"/>
          <c:showVal val="0"/>
          <c:showCatName val="0"/>
          <c:showSerName val="0"/>
          <c:showPercent val="0"/>
          <c:showBubbleSize val="0"/>
        </c:dLbls>
        <c:axId val="139083136"/>
        <c:axId val="139105792"/>
      </c:scatterChart>
      <c:valAx>
        <c:axId val="13908313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105792"/>
        <c:crosses val="autoZero"/>
        <c:crossBetween val="midCat"/>
      </c:valAx>
      <c:valAx>
        <c:axId val="13910579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8313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1</a:t>
            </a:r>
          </a:p>
        </c:rich>
      </c:tx>
      <c:overlay val="0"/>
      <c:spPr>
        <a:noFill/>
        <a:ln>
          <a:noFill/>
        </a:ln>
        <a:effectLst/>
      </c:spPr>
    </c:title>
    <c:autoTitleDeleted val="0"/>
    <c:plotArea>
      <c:layout/>
      <c:scatterChart>
        <c:scatterStyle val="lineMarker"/>
        <c:varyColors val="0"/>
        <c:ser>
          <c:idx val="2"/>
          <c:order val="0"/>
          <c:tx>
            <c:strRef>
              <c:f>'Reference Standards'!$AA$455</c:f>
              <c:strCache>
                <c:ptCount val="1"/>
                <c:pt idx="0">
                  <c:v>66deg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24144765224800552"/>
                  <c:y val="-0.6979501946636206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Standards'!$AB$455:$AF$455</c:f>
              <c:numCache>
                <c:formatCode>General</c:formatCode>
                <c:ptCount val="5"/>
                <c:pt idx="0">
                  <c:v>0.05</c:v>
                </c:pt>
                <c:pt idx="2">
                  <c:v>2.5999999999999999E-2</c:v>
                </c:pt>
                <c:pt idx="4">
                  <c:v>5.0000000000000001E-3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59CE-4A42-BC90-5A232FB0AAA8}"/>
            </c:ext>
          </c:extLst>
        </c:ser>
        <c:ser>
          <c:idx val="3"/>
          <c:order val="1"/>
          <c:tx>
            <c:strRef>
              <c:f>'Reference Standards'!$AA$455</c:f>
              <c:strCache>
                <c:ptCount val="1"/>
                <c:pt idx="0">
                  <c:v>66deg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59843397435552226"/>
                  <c:y val="-0.1421198666772042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Standards'!$AF$455:$AG$455</c:f>
              <c:numCache>
                <c:formatCode>General</c:formatCode>
                <c:ptCount val="2"/>
                <c:pt idx="0">
                  <c:v>5.0000000000000001E-3</c:v>
                </c:pt>
                <c:pt idx="1">
                  <c:v>2E-3</c:v>
                </c:pt>
              </c:numCache>
            </c:numRef>
          </c:xVal>
          <c:yVal>
            <c:numRef>
              <c:f>'Reference Standards'!$AF$459:$AG$459</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59CE-4A42-BC90-5A232FB0AAA8}"/>
            </c:ext>
          </c:extLst>
        </c:ser>
        <c:ser>
          <c:idx val="0"/>
          <c:order val="2"/>
          <c:tx>
            <c:strRef>
              <c:f>'Reference Standards'!$AA$456</c:f>
              <c:strCache>
                <c:ptCount val="1"/>
                <c:pt idx="0">
                  <c:v>67fhi / DA &lt;= 2.5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1.9288108149831531E-2"/>
                  <c:y val="-0.6264613281257915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Standards'!$AB$456:$AF$456</c:f>
              <c:numCache>
                <c:formatCode>General</c:formatCode>
                <c:ptCount val="5"/>
                <c:pt idx="0">
                  <c:v>0.1</c:v>
                </c:pt>
                <c:pt idx="2">
                  <c:v>0.05</c:v>
                </c:pt>
                <c:pt idx="4">
                  <c:v>6.0000000000000001E-3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3-59CE-4A42-BC90-5A232FB0AAA8}"/>
            </c:ext>
          </c:extLst>
        </c:ser>
        <c:ser>
          <c:idx val="4"/>
          <c:order val="3"/>
          <c:tx>
            <c:strRef>
              <c:f>'Reference Standards'!$AA$456</c:f>
              <c:strCache>
                <c:ptCount val="1"/>
                <c:pt idx="0">
                  <c:v>67fhi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9653418396074276"/>
                  <c:y val="-7.9209664123914642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Standards'!$AF$456:$AG$456</c:f>
              <c:numCache>
                <c:formatCode>General</c:formatCode>
                <c:ptCount val="2"/>
                <c:pt idx="0">
                  <c:v>6.0000000000000001E-3</c:v>
                </c:pt>
                <c:pt idx="1">
                  <c:v>2E-3</c:v>
                </c:pt>
              </c:numCache>
            </c:numRef>
          </c:xVal>
          <c:yVal>
            <c:numRef>
              <c:f>'Reference Standards'!$AF$459:$AG$459</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9-59CE-4A42-BC90-5A232FB0AAA8}"/>
            </c:ext>
          </c:extLst>
        </c:ser>
        <c:ser>
          <c:idx val="1"/>
          <c:order val="4"/>
          <c:tx>
            <c:strRef>
              <c:f>'Reference Standards'!$AA$457</c:f>
              <c:strCache>
                <c:ptCount val="1"/>
                <c:pt idx="0">
                  <c:v>65abei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11352324655330154"/>
                  <c:y val="-0.5463937976034229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Standards'!$AB$457:$AF$457</c:f>
              <c:numCache>
                <c:formatCode>General</c:formatCode>
                <c:ptCount val="5"/>
                <c:pt idx="0">
                  <c:v>0.13</c:v>
                </c:pt>
                <c:pt idx="2">
                  <c:v>7.0000000000000007E-2</c:v>
                </c:pt>
                <c:pt idx="4">
                  <c:v>8.0000000000000002E-3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59CE-4A42-BC90-5A232FB0AAA8}"/>
            </c:ext>
          </c:extLst>
        </c:ser>
        <c:ser>
          <c:idx val="5"/>
          <c:order val="5"/>
          <c:tx>
            <c:strRef>
              <c:f>'Reference Standards'!$AA$457</c:f>
              <c:strCache>
                <c:ptCount val="1"/>
                <c:pt idx="0">
                  <c:v>65abei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59843397435552226"/>
                  <c:y val="1.5155639706019767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Standards'!$AF$457:$AG$457</c:f>
              <c:numCache>
                <c:formatCode>General</c:formatCode>
                <c:ptCount val="2"/>
                <c:pt idx="0">
                  <c:v>8.0000000000000002E-3</c:v>
                </c:pt>
                <c:pt idx="1">
                  <c:v>3.0000000000000001E-3</c:v>
                </c:pt>
              </c:numCache>
            </c:numRef>
          </c:xVal>
          <c:yVal>
            <c:numRef>
              <c:f>'Reference Standards'!$AF$459:$AG$459</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C-59CE-4A42-BC90-5A232FB0AAA8}"/>
            </c:ext>
          </c:extLst>
        </c:ser>
        <c:ser>
          <c:idx val="6"/>
          <c:order val="6"/>
          <c:tx>
            <c:strRef>
              <c:f>'Reference Standards'!$AA$458</c:f>
              <c:strCache>
                <c:ptCount val="1"/>
                <c:pt idx="0">
                  <c:v>68b / DA &lt;= 2.5</c:v>
                </c:pt>
              </c:strCache>
            </c:strRef>
          </c:tx>
          <c:spPr>
            <a:ln w="25400" cap="rnd">
              <a:noFill/>
              <a:round/>
            </a:ln>
            <a:effectLst/>
          </c:spPr>
          <c:marker>
            <c:symbol val="circle"/>
            <c:size val="5"/>
            <c:spPr>
              <a:solidFill>
                <a:schemeClr val="accent2">
                  <a:lumMod val="50000"/>
                </a:schemeClr>
              </a:solidFill>
              <a:ln w="9525">
                <a:solidFill>
                  <a:schemeClr val="accent2">
                    <a:lumMod val="50000"/>
                  </a:schemeClr>
                </a:solidFill>
              </a:ln>
              <a:effectLst/>
            </c:spPr>
          </c:marker>
          <c:trendline>
            <c:spPr>
              <a:ln w="19050" cap="rnd">
                <a:solidFill>
                  <a:schemeClr val="accent2">
                    <a:lumMod val="50000"/>
                  </a:schemeClr>
                </a:solidFill>
                <a:prstDash val="sysDot"/>
              </a:ln>
              <a:effectLst/>
            </c:spPr>
            <c:trendlineType val="poly"/>
            <c:order val="2"/>
            <c:dispRSqr val="0"/>
            <c:dispEq val="1"/>
            <c:trendlineLbl>
              <c:layout>
                <c:manualLayout>
                  <c:x val="0.26099081099808108"/>
                  <c:y val="-0.4577476030965148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lumMod val="50000"/>
                        </a:schemeClr>
                      </a:solidFill>
                      <a:latin typeface="+mn-lt"/>
                      <a:ea typeface="+mn-ea"/>
                      <a:cs typeface="+mn-cs"/>
                    </a:defRPr>
                  </a:pPr>
                  <a:endParaRPr lang="en-US"/>
                </a:p>
              </c:txPr>
            </c:trendlineLbl>
          </c:trendline>
          <c:xVal>
            <c:numRef>
              <c:f>'Reference Standards'!$AB$458:$AF$458</c:f>
              <c:numCache>
                <c:formatCode>General</c:formatCode>
                <c:ptCount val="5"/>
                <c:pt idx="0">
                  <c:v>4.2999999999999997E-2</c:v>
                </c:pt>
                <c:pt idx="2">
                  <c:v>2.5999999999999999E-2</c:v>
                </c:pt>
                <c:pt idx="4">
                  <c:v>5.0000000000000001E-3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E-59CE-4A42-BC90-5A232FB0AAA8}"/>
            </c:ext>
          </c:extLst>
        </c:ser>
        <c:dLbls>
          <c:showLegendKey val="0"/>
          <c:showVal val="0"/>
          <c:showCatName val="0"/>
          <c:showSerName val="0"/>
          <c:showPercent val="0"/>
          <c:showBubbleSize val="0"/>
        </c:dLbls>
        <c:axId val="139176960"/>
        <c:axId val="139191424"/>
      </c:scatterChart>
      <c:valAx>
        <c:axId val="13917696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191424"/>
        <c:crosses val="autoZero"/>
        <c:crossBetween val="midCat"/>
      </c:valAx>
      <c:valAx>
        <c:axId val="13919142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17696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itle>
    <c:autoTitleDeleted val="0"/>
    <c:plotArea>
      <c:layout/>
      <c:scatterChart>
        <c:scatterStyle val="lineMarker"/>
        <c:varyColors val="0"/>
        <c:ser>
          <c:idx val="1"/>
          <c:order val="0"/>
          <c:tx>
            <c:strRef>
              <c:f>'Data Summary R2'!$C$23:$C$24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R2'!$F$24,'Data Summary R2'!$A$35)</c:f>
              <c:numCache>
                <c:formatCode>General</c:formatCode>
                <c:ptCount val="2"/>
                <c:pt idx="0">
                  <c:v>#N/A</c:v>
                </c:pt>
                <c:pt idx="1">
                  <c:v>#N/A</c:v>
                </c:pt>
              </c:numCache>
            </c:numRef>
          </c:xVal>
          <c:yVal>
            <c:numRef>
              <c:f>('Data Summary R2'!$C$31,'Data Summary R2'!$C$31)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BF5F-49D1-B7E8-F18A8E0EDA1E}"/>
            </c:ext>
          </c:extLst>
        </c:ser>
        <c:ser>
          <c:idx val="2"/>
          <c:order val="1"/>
          <c:tx>
            <c:strRef>
              <c:f>'Data Summary R2'!$D$23:$D$24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R2'!$F$24,'Data Summary R2'!$A$35)</c:f>
              <c:numCache>
                <c:formatCode>General</c:formatCode>
                <c:ptCount val="2"/>
                <c:pt idx="0">
                  <c:v>#N/A</c:v>
                </c:pt>
                <c:pt idx="1">
                  <c:v>#N/A</c:v>
                </c:pt>
              </c:numCache>
            </c:numRef>
          </c:xVal>
          <c:yVal>
            <c:numRef>
              <c:f>('Data Summary R2'!$D$31,'Data Summary R2'!$D$31)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BF5F-49D1-B7E8-F18A8E0EDA1E}"/>
            </c:ext>
          </c:extLst>
        </c:ser>
        <c:ser>
          <c:idx val="3"/>
          <c:order val="2"/>
          <c:tx>
            <c:strRef>
              <c:f>'Data Summary R2'!$E$23:$E$24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R2'!$F$24,'Data Summary R2'!$A$35)</c:f>
              <c:numCache>
                <c:formatCode>General</c:formatCode>
                <c:ptCount val="2"/>
                <c:pt idx="0">
                  <c:v>#N/A</c:v>
                </c:pt>
                <c:pt idx="1">
                  <c:v>#N/A</c:v>
                </c:pt>
              </c:numCache>
            </c:numRef>
          </c:xVal>
          <c:yVal>
            <c:numRef>
              <c:f>('Data Summary R2'!$E$31,'Data Summary R2'!$E$31)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48148864"/>
        <c:axId val="48151168"/>
      </c:scatterChart>
      <c:valAx>
        <c:axId val="4814886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8151168"/>
        <c:crosses val="autoZero"/>
        <c:crossBetween val="midCat"/>
      </c:valAx>
      <c:valAx>
        <c:axId val="48151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814886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2</a:t>
            </a:r>
          </a:p>
        </c:rich>
      </c:tx>
      <c:overlay val="0"/>
      <c:spPr>
        <a:noFill/>
        <a:ln>
          <a:noFill/>
        </a:ln>
        <a:effectLst/>
      </c:spPr>
    </c:title>
    <c:autoTitleDeleted val="0"/>
    <c:plotArea>
      <c:layout/>
      <c:scatterChart>
        <c:scatterStyle val="lineMarker"/>
        <c:varyColors val="0"/>
        <c:ser>
          <c:idx val="2"/>
          <c:order val="0"/>
          <c:tx>
            <c:strRef>
              <c:f>'Reference Standards'!$AA$493</c:f>
              <c:strCache>
                <c:ptCount val="1"/>
                <c:pt idx="0">
                  <c:v>69de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45974927553662348"/>
                  <c:y val="-0.647950732649386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Standards'!$AB$493:$AF$493</c:f>
              <c:numCache>
                <c:formatCode>General</c:formatCode>
                <c:ptCount val="5"/>
                <c:pt idx="0">
                  <c:v>3.4000000000000002E-2</c:v>
                </c:pt>
                <c:pt idx="2">
                  <c:v>2.1000000000000001E-2</c:v>
                </c:pt>
                <c:pt idx="4">
                  <c:v>6.0000000000000001E-3</c:v>
                </c:pt>
              </c:numCache>
            </c:numRef>
          </c:xVal>
          <c:yVal>
            <c:numRef>
              <c:f>'Reference Standards'!$AB$496:$AF$496</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682D-4C68-BD58-19D433AF2EBF}"/>
            </c:ext>
          </c:extLst>
        </c:ser>
        <c:ser>
          <c:idx val="0"/>
          <c:order val="1"/>
          <c:tx>
            <c:strRef>
              <c:f>'Reference Standards'!$AA$494</c:f>
              <c:strCache>
                <c:ptCount val="1"/>
                <c:pt idx="0">
                  <c:v>68ac / DA &lt;= 2.5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42963999121608726"/>
                  <c:y val="-0.5253752409456374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Standards'!$AB$494:$AD$494</c:f>
              <c:numCache>
                <c:formatCode>General</c:formatCode>
                <c:ptCount val="3"/>
                <c:pt idx="0">
                  <c:v>0.20200000000000001</c:v>
                </c:pt>
                <c:pt idx="2">
                  <c:v>0.04</c:v>
                </c:pt>
              </c:numCache>
            </c:numRef>
          </c:xVal>
          <c:yVal>
            <c:numRef>
              <c:f>'Reference Standards'!$AB$496:$AD$496</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3-682D-4C68-BD58-19D433AF2EBF}"/>
            </c:ext>
          </c:extLst>
        </c:ser>
        <c:ser>
          <c:idx val="4"/>
          <c:order val="2"/>
          <c:tx>
            <c:strRef>
              <c:f>'Reference Standards'!$AA$494</c:f>
              <c:strCache>
                <c:ptCount val="1"/>
                <c:pt idx="0">
                  <c:v>68ac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44645074277316743"/>
                  <c:y val="-0.3605045403947602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Standards'!$AD$494:$AF$494</c:f>
              <c:numCache>
                <c:formatCode>General</c:formatCode>
                <c:ptCount val="3"/>
                <c:pt idx="0">
                  <c:v>0.04</c:v>
                </c:pt>
                <c:pt idx="2">
                  <c:v>6.0000000000000001E-3</c:v>
                </c:pt>
              </c:numCache>
            </c:numRef>
          </c:xVal>
          <c:yVal>
            <c:numRef>
              <c:f>'Reference Standards'!$AD$496:$AF$496</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11-682D-4C68-BD58-19D433AF2EBF}"/>
            </c:ext>
          </c:extLst>
        </c:ser>
        <c:ser>
          <c:idx val="1"/>
          <c:order val="3"/>
          <c:tx>
            <c:strRef>
              <c:f>'Reference Standards'!$AA$495</c:f>
              <c:strCache>
                <c:ptCount val="1"/>
                <c:pt idx="0">
                  <c:v>71fg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6.800501664336058E-3"/>
                  <c:y val="-0.1576487658343911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Standards'!$AB$495:$AD$495</c:f>
              <c:numCache>
                <c:formatCode>General</c:formatCode>
                <c:ptCount val="3"/>
                <c:pt idx="0">
                  <c:v>0.63100000000000001</c:v>
                </c:pt>
                <c:pt idx="2">
                  <c:v>0.17</c:v>
                </c:pt>
              </c:numCache>
            </c:numRef>
          </c:xVal>
          <c:yVal>
            <c:numRef>
              <c:f>'Reference Standards'!$AB$496:$AD$496</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5-682D-4C68-BD58-19D433AF2EBF}"/>
            </c:ext>
          </c:extLst>
        </c:ser>
        <c:ser>
          <c:idx val="5"/>
          <c:order val="4"/>
          <c:tx>
            <c:strRef>
              <c:f>'Reference Standards'!$AA$495</c:f>
              <c:strCache>
                <c:ptCount val="1"/>
                <c:pt idx="0">
                  <c:v>71fg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14058448921367822"/>
                  <c:y val="-0.2029074796327975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Standards'!$AD$495:$AF$495</c:f>
              <c:numCache>
                <c:formatCode>General</c:formatCode>
                <c:ptCount val="3"/>
                <c:pt idx="0">
                  <c:v>0.17</c:v>
                </c:pt>
                <c:pt idx="2">
                  <c:v>6.0000000000000001E-3</c:v>
                </c:pt>
              </c:numCache>
            </c:numRef>
          </c:xVal>
          <c:yVal>
            <c:numRef>
              <c:f>'Reference Standards'!$AD$496:$AF$496</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12-682D-4C68-BD58-19D433AF2EBF}"/>
            </c:ext>
          </c:extLst>
        </c:ser>
        <c:ser>
          <c:idx val="3"/>
          <c:order val="5"/>
          <c:tx>
            <c:v>69de, 68ac, 71fg Functioning</c:v>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8.1690986975515745E-2"/>
                  <c:y val="-0.1884813481376862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Standards'!$AF$493:$AG$493</c:f>
              <c:numCache>
                <c:formatCode>General</c:formatCode>
                <c:ptCount val="2"/>
                <c:pt idx="0">
                  <c:v>6.0000000000000001E-3</c:v>
                </c:pt>
                <c:pt idx="1">
                  <c:v>3.0000000000000001E-3</c:v>
                </c:pt>
              </c:numCache>
            </c:numRef>
          </c:xVal>
          <c:yVal>
            <c:numRef>
              <c:f>'Reference Standards'!$AF$496:$AG$496</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682D-4C68-BD58-19D433AF2EBF}"/>
            </c:ext>
          </c:extLst>
        </c:ser>
        <c:dLbls>
          <c:showLegendKey val="0"/>
          <c:showVal val="0"/>
          <c:showCatName val="0"/>
          <c:showSerName val="0"/>
          <c:showPercent val="0"/>
          <c:showBubbleSize val="0"/>
        </c:dLbls>
        <c:axId val="139674368"/>
        <c:axId val="139676288"/>
      </c:scatterChart>
      <c:valAx>
        <c:axId val="13967436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76288"/>
        <c:crosses val="autoZero"/>
        <c:crossBetween val="midCat"/>
      </c:valAx>
      <c:valAx>
        <c:axId val="13967628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7436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3</a:t>
            </a:r>
          </a:p>
        </c:rich>
      </c:tx>
      <c:overlay val="0"/>
      <c:spPr>
        <a:noFill/>
        <a:ln>
          <a:noFill/>
        </a:ln>
        <a:effectLst/>
      </c:spPr>
    </c:title>
    <c:autoTitleDeleted val="0"/>
    <c:plotArea>
      <c:layout/>
      <c:scatterChart>
        <c:scatterStyle val="lineMarker"/>
        <c:varyColors val="0"/>
        <c:ser>
          <c:idx val="0"/>
          <c:order val="0"/>
          <c:tx>
            <c:strRef>
              <c:f>'Reference Standards'!$AA$529</c:f>
              <c:strCache>
                <c:ptCount val="1"/>
                <c:pt idx="0">
                  <c:v>71e / DA &lt;= 2.5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1603620551723065"/>
                  <c:y val="-0.7588523125845808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Standards'!$AB$529:$AF$529</c:f>
              <c:numCache>
                <c:formatCode>General</c:formatCode>
                <c:ptCount val="5"/>
                <c:pt idx="0">
                  <c:v>1.23</c:v>
                </c:pt>
                <c:pt idx="2">
                  <c:v>0.44700000000000001</c:v>
                </c:pt>
                <c:pt idx="4">
                  <c:v>6.0000000000000001E-3</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C-6554-4CD2-B47A-EFCDC50764DC}"/>
            </c:ext>
          </c:extLst>
        </c:ser>
        <c:ser>
          <c:idx val="4"/>
          <c:order val="1"/>
          <c:tx>
            <c:strRef>
              <c:f>'Reference Standards'!$AA$529</c:f>
              <c:strCache>
                <c:ptCount val="1"/>
                <c:pt idx="0">
                  <c:v>71e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6993711843383077"/>
                  <c:y val="-0.2001552071730808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Standards'!$AF$529:$AG$529</c:f>
              <c:numCache>
                <c:formatCode>General</c:formatCode>
                <c:ptCount val="2"/>
                <c:pt idx="0">
                  <c:v>6.0000000000000001E-3</c:v>
                </c:pt>
                <c:pt idx="1">
                  <c:v>4.0000000000000001E-3</c:v>
                </c:pt>
              </c:numCache>
            </c:numRef>
          </c:xVal>
          <c:yVal>
            <c:numRef>
              <c:f>'Reference Standards'!$AF$533:$AG$533</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4-6554-4CD2-B47A-EFCDC50764DC}"/>
            </c:ext>
          </c:extLst>
        </c:ser>
        <c:ser>
          <c:idx val="1"/>
          <c:order val="2"/>
          <c:tx>
            <c:strRef>
              <c:f>'Reference Standards'!$AA$530</c:f>
              <c:strCache>
                <c:ptCount val="1"/>
                <c:pt idx="0">
                  <c:v>67g / DA &lt;= 2.5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24507296092654723"/>
                  <c:y val="-0.682972228854516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Standards'!$AB$530:$AF$530</c:f>
              <c:numCache>
                <c:formatCode>General</c:formatCode>
                <c:ptCount val="5"/>
                <c:pt idx="0">
                  <c:v>0.11</c:v>
                </c:pt>
                <c:pt idx="2">
                  <c:v>5.0999999999999997E-2</c:v>
                </c:pt>
                <c:pt idx="4">
                  <c:v>1.0999999999999999E-2</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D-6554-4CD2-B47A-EFCDC50764DC}"/>
            </c:ext>
          </c:extLst>
        </c:ser>
        <c:ser>
          <c:idx val="5"/>
          <c:order val="3"/>
          <c:tx>
            <c:strRef>
              <c:f>'Reference Standards'!$AA$530</c:f>
              <c:strCache>
                <c:ptCount val="1"/>
                <c:pt idx="0">
                  <c:v>67g / DA &lt;= 2.5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56613753764427199"/>
                  <c:y val="-0.133030517719562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Standards'!$AF$530:$AG$530</c:f>
              <c:numCache>
                <c:formatCode>General</c:formatCode>
                <c:ptCount val="2"/>
                <c:pt idx="0">
                  <c:v>1.0999999999999999E-2</c:v>
                </c:pt>
                <c:pt idx="1">
                  <c:v>6.0000000000000001E-3</c:v>
                </c:pt>
              </c:numCache>
            </c:numRef>
          </c:xVal>
          <c:yVal>
            <c:numRef>
              <c:f>'Reference Standards'!$AF$533:$AG$533</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5-6554-4CD2-B47A-EFCDC50764DC}"/>
            </c:ext>
          </c:extLst>
        </c:ser>
        <c:ser>
          <c:idx val="2"/>
          <c:order val="4"/>
          <c:tx>
            <c:strRef>
              <c:f>'Reference Standards'!$AA$531</c:f>
              <c:strCache>
                <c:ptCount val="1"/>
                <c:pt idx="0">
                  <c:v>65j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23747379934742949"/>
                  <c:y val="-0.607092145124451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Standards'!$AB$531:$AF$531</c:f>
              <c:numCache>
                <c:formatCode>General</c:formatCode>
                <c:ptCount val="5"/>
                <c:pt idx="0">
                  <c:v>4.5999999999999999E-2</c:v>
                </c:pt>
                <c:pt idx="2">
                  <c:v>0.03</c:v>
                </c:pt>
                <c:pt idx="4">
                  <c:v>1.2E-2</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E-6554-4CD2-B47A-EFCDC50764DC}"/>
            </c:ext>
          </c:extLst>
        </c:ser>
        <c:ser>
          <c:idx val="6"/>
          <c:order val="5"/>
          <c:tx>
            <c:strRef>
              <c:f>'Reference Standards'!$AA$531</c:f>
              <c:strCache>
                <c:ptCount val="1"/>
                <c:pt idx="0">
                  <c:v>65j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56613753764427199"/>
                  <c:y val="-5.7150433989497665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mn-cs"/>
                    </a:defRPr>
                  </a:pPr>
                  <a:endParaRPr lang="en-US"/>
                </a:p>
              </c:txPr>
            </c:trendlineLbl>
          </c:trendline>
          <c:xVal>
            <c:numRef>
              <c:f>'Reference Standards'!$AF$531:$AG$531</c:f>
              <c:numCache>
                <c:formatCode>General</c:formatCode>
                <c:ptCount val="2"/>
                <c:pt idx="0">
                  <c:v>1.2E-2</c:v>
                </c:pt>
                <c:pt idx="1">
                  <c:v>7.0000000000000001E-3</c:v>
                </c:pt>
              </c:numCache>
            </c:numRef>
          </c:xVal>
          <c:yVal>
            <c:numRef>
              <c:f>'Reference Standards'!$AF$533:$AG$533</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6-6554-4CD2-B47A-EFCDC50764DC}"/>
            </c:ext>
          </c:extLst>
        </c:ser>
        <c:ser>
          <c:idx val="3"/>
          <c:order val="6"/>
          <c:tx>
            <c:strRef>
              <c:f>'Reference Standards'!$AA$532</c:f>
              <c:strCache>
                <c:ptCount val="1"/>
                <c:pt idx="0">
                  <c:v>66f / DA &lt;= 2.5</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24507296092654723"/>
                  <c:y val="-0.5137012728412955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Standards'!$AB$532:$AF$532</c:f>
              <c:numCache>
                <c:formatCode>General</c:formatCode>
                <c:ptCount val="5"/>
                <c:pt idx="0">
                  <c:v>8.1000000000000003E-2</c:v>
                </c:pt>
                <c:pt idx="2">
                  <c:v>4.2000000000000003E-2</c:v>
                </c:pt>
                <c:pt idx="4">
                  <c:v>1.0999999999999999E-2</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F-6554-4CD2-B47A-EFCDC50764DC}"/>
            </c:ext>
          </c:extLst>
        </c:ser>
        <c:ser>
          <c:idx val="7"/>
          <c:order val="7"/>
          <c:tx>
            <c:strRef>
              <c:f>'Reference Standards'!$AA$532</c:f>
              <c:strCache>
                <c:ptCount val="1"/>
                <c:pt idx="0">
                  <c:v>66f / DA &lt;= 2.5</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0.56423774724949249"/>
                  <c:y val="3.6240438293658681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Standards'!$AF$532:$AG$532</c:f>
              <c:numCache>
                <c:formatCode>General</c:formatCode>
                <c:ptCount val="2"/>
                <c:pt idx="0">
                  <c:v>1.0999999999999999E-2</c:v>
                </c:pt>
                <c:pt idx="1">
                  <c:v>8.0000000000000002E-3</c:v>
                </c:pt>
              </c:numCache>
            </c:numRef>
          </c:xVal>
          <c:yVal>
            <c:numRef>
              <c:f>'Reference Standards'!$AF$533:$AG$533</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7-6554-4CD2-B47A-EFCDC50764DC}"/>
            </c:ext>
          </c:extLst>
        </c:ser>
        <c:dLbls>
          <c:showLegendKey val="0"/>
          <c:showVal val="0"/>
          <c:showCatName val="0"/>
          <c:showSerName val="0"/>
          <c:showPercent val="0"/>
          <c:showBubbleSize val="0"/>
        </c:dLbls>
        <c:axId val="139512064"/>
        <c:axId val="139526528"/>
      </c:scatterChart>
      <c:valAx>
        <c:axId val="13951206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26528"/>
        <c:crosses val="autoZero"/>
        <c:crossBetween val="midCat"/>
      </c:valAx>
      <c:valAx>
        <c:axId val="13952652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1206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4</a:t>
            </a:r>
          </a:p>
        </c:rich>
      </c:tx>
      <c:overlay val="0"/>
      <c:spPr>
        <a:noFill/>
        <a:ln>
          <a:noFill/>
        </a:ln>
        <a:effectLst/>
      </c:spPr>
    </c:title>
    <c:autoTitleDeleted val="0"/>
    <c:plotArea>
      <c:layout/>
      <c:scatterChart>
        <c:scatterStyle val="lineMarker"/>
        <c:varyColors val="0"/>
        <c:ser>
          <c:idx val="0"/>
          <c:order val="0"/>
          <c:tx>
            <c:strRef>
              <c:f>'Reference Standards'!$AA$567</c:f>
              <c:strCache>
                <c:ptCount val="1"/>
                <c:pt idx="0">
                  <c:v>71hi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22817799031495833"/>
                  <c:y val="-0.7549241128889713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Standards'!$AB$567:$AD$567</c:f>
              <c:numCache>
                <c:formatCode>General</c:formatCode>
                <c:ptCount val="3"/>
                <c:pt idx="0">
                  <c:v>0.37</c:v>
                </c:pt>
                <c:pt idx="2">
                  <c:v>0.3</c:v>
                </c:pt>
              </c:numCache>
            </c:numRef>
          </c:xVal>
          <c:yVal>
            <c:numRef>
              <c:f>'Reference Standards'!$AB$571:$AD$571</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1-CDC4-4C49-8636-1AD4847630A1}"/>
            </c:ext>
          </c:extLst>
        </c:ser>
        <c:ser>
          <c:idx val="9"/>
          <c:order val="1"/>
          <c:tx>
            <c:strRef>
              <c:f>'Reference Standards'!$AA$567</c:f>
              <c:strCache>
                <c:ptCount val="1"/>
                <c:pt idx="0">
                  <c:v>71hi / DA &lt;= 2.5</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trendline>
            <c:spPr>
              <a:ln w="19050" cap="rnd">
                <a:solidFill>
                  <a:schemeClr val="accent4">
                    <a:lumMod val="60000"/>
                  </a:schemeClr>
                </a:solidFill>
                <a:prstDash val="sysDot"/>
              </a:ln>
              <a:effectLst/>
            </c:spPr>
            <c:trendlineType val="linear"/>
            <c:dispRSqr val="0"/>
            <c:dispEq val="1"/>
            <c:trendlineLbl>
              <c:layout>
                <c:manualLayout>
                  <c:x val="0.31211701272769804"/>
                  <c:y val="-0.476321476880817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lumMod val="50000"/>
                        </a:schemeClr>
                      </a:solidFill>
                      <a:latin typeface="+mn-lt"/>
                      <a:ea typeface="+mn-ea"/>
                      <a:cs typeface="+mn-cs"/>
                    </a:defRPr>
                  </a:pPr>
                  <a:endParaRPr lang="en-US"/>
                </a:p>
              </c:txPr>
            </c:trendlineLbl>
          </c:trendline>
          <c:xVal>
            <c:numRef>
              <c:f>'Reference Standards'!$AD$567:$AF$567</c:f>
              <c:numCache>
                <c:formatCode>General</c:formatCode>
                <c:ptCount val="3"/>
                <c:pt idx="0">
                  <c:v>0.3</c:v>
                </c:pt>
                <c:pt idx="2">
                  <c:v>3.2000000000000001E-2</c:v>
                </c:pt>
              </c:numCache>
            </c:numRef>
          </c:xVal>
          <c:yVal>
            <c:numRef>
              <c:f>'Reference Standards'!$AD$571:$AF$571</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12-CDC4-4C49-8636-1AD4847630A1}"/>
            </c:ext>
          </c:extLst>
        </c:ser>
        <c:ser>
          <c:idx val="4"/>
          <c:order val="2"/>
          <c:tx>
            <c:strRef>
              <c:f>'Reference Standards'!$AA$567</c:f>
              <c:strCache>
                <c:ptCount val="1"/>
                <c:pt idx="0">
                  <c:v>71hi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6803732803905127"/>
                  <c:y val="-8.5451051463492633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Standards'!$AF$567:$AG$567</c:f>
              <c:numCache>
                <c:formatCode>General</c:formatCode>
                <c:ptCount val="2"/>
                <c:pt idx="0">
                  <c:v>3.2000000000000001E-2</c:v>
                </c:pt>
                <c:pt idx="1">
                  <c:v>1.2999999999999999E-2</c:v>
                </c:pt>
              </c:numCache>
            </c:numRef>
          </c:xVal>
          <c:yVal>
            <c:numRef>
              <c:f>'Reference Standards'!$AF$571:$AG$571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CDC4-4C49-8636-1AD4847630A1}"/>
            </c:ext>
          </c:extLst>
        </c:ser>
        <c:ser>
          <c:idx val="1"/>
          <c:order val="3"/>
          <c:tx>
            <c:strRef>
              <c:f>'Reference Standards'!$AA$568</c:f>
              <c:strCache>
                <c:ptCount val="1"/>
                <c:pt idx="0">
                  <c:v>74b / DA &lt;= 2.5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2429341260395743"/>
                  <c:y val="-0.5761612433237940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Standards'!$AB$568:$AF$568</c:f>
              <c:numCache>
                <c:formatCode>General</c:formatCode>
                <c:ptCount val="5"/>
                <c:pt idx="0">
                  <c:v>0.43</c:v>
                </c:pt>
                <c:pt idx="2">
                  <c:v>0.28000000000000003</c:v>
                </c:pt>
                <c:pt idx="4">
                  <c:v>0.02</c:v>
                </c:pt>
              </c:numCache>
            </c:numRef>
          </c:xVal>
          <c:yVal>
            <c:numRef>
              <c:f>'Reference Standards'!$AB$571:$AF$571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CDC4-4C49-8636-1AD4847630A1}"/>
            </c:ext>
          </c:extLst>
        </c:ser>
        <c:ser>
          <c:idx val="5"/>
          <c:order val="4"/>
          <c:tx>
            <c:strRef>
              <c:f>'Reference Standards'!$AA$568</c:f>
              <c:strCache>
                <c:ptCount val="1"/>
                <c:pt idx="0">
                  <c:v>74b / DA &lt;= 2.5</c:v>
                </c:pt>
              </c:strCache>
            </c:strRef>
          </c:tx>
          <c:spPr>
            <a:ln w="25400" cap="rnd">
              <a:noFill/>
              <a:round/>
            </a:ln>
            <a:effectLst/>
          </c:spPr>
          <c:marker>
            <c:symbol val="circle"/>
            <c:size val="5"/>
            <c:spPr>
              <a:solidFill>
                <a:schemeClr val="accent2"/>
              </a:solidFill>
              <a:ln w="9525">
                <a:solidFill>
                  <a:schemeClr val="accent2"/>
                </a:solidFill>
              </a:ln>
              <a:effectLst/>
            </c:spPr>
          </c:marker>
          <c:xVal>
            <c:numRef>
              <c:f>'Reference Standards'!$AF$568:$AG$568</c:f>
              <c:numCache>
                <c:formatCode>General</c:formatCode>
                <c:ptCount val="2"/>
                <c:pt idx="0">
                  <c:v>0.02</c:v>
                </c:pt>
                <c:pt idx="1">
                  <c:v>1.7999999999999999E-2</c:v>
                </c:pt>
              </c:numCache>
            </c:numRef>
          </c:xVal>
          <c:yVal>
            <c:numRef>
              <c:f>'Reference Standards'!$AF$571:$AG$571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CDC4-4C49-8636-1AD4847630A1}"/>
            </c:ext>
          </c:extLst>
        </c:ser>
        <c:ser>
          <c:idx val="2"/>
          <c:order val="5"/>
          <c:tx>
            <c:strRef>
              <c:f>'Reference Standards'!$AA$569</c:f>
              <c:strCache>
                <c:ptCount val="1"/>
                <c:pt idx="0">
                  <c:v>74a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3260620725845589"/>
                  <c:y val="-0.4472175341292399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Standards'!$AB$569:$AF$569</c:f>
              <c:numCache>
                <c:formatCode>General</c:formatCode>
                <c:ptCount val="5"/>
                <c:pt idx="0">
                  <c:v>0.217</c:v>
                </c:pt>
                <c:pt idx="2">
                  <c:v>0.12</c:v>
                </c:pt>
                <c:pt idx="4">
                  <c:v>3.3000000000000002E-2</c:v>
                </c:pt>
              </c:numCache>
            </c:numRef>
          </c:xVal>
          <c:yVal>
            <c:numRef>
              <c:f>'Reference Standards'!$AB$571:$AF$571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CDC4-4C49-8636-1AD4847630A1}"/>
            </c:ext>
          </c:extLst>
        </c:ser>
        <c:ser>
          <c:idx val="6"/>
          <c:order val="6"/>
          <c:tx>
            <c:strRef>
              <c:f>'Reference Standards'!$AA$569</c:f>
              <c:strCache>
                <c:ptCount val="1"/>
                <c:pt idx="0">
                  <c:v>74a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56043816645993361"/>
                  <c:y val="5.8145351957715322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mn-cs"/>
                    </a:defRPr>
                  </a:pPr>
                  <a:endParaRPr lang="en-US"/>
                </a:p>
              </c:txPr>
            </c:trendlineLbl>
          </c:trendline>
          <c:xVal>
            <c:numRef>
              <c:f>'Reference Standards'!$AF$569:$AG$569</c:f>
              <c:numCache>
                <c:formatCode>General</c:formatCode>
                <c:ptCount val="2"/>
                <c:pt idx="0">
                  <c:v>3.3000000000000002E-2</c:v>
                </c:pt>
                <c:pt idx="1">
                  <c:v>0.02</c:v>
                </c:pt>
              </c:numCache>
            </c:numRef>
          </c:xVal>
          <c:yVal>
            <c:numRef>
              <c:f>'Reference Standards'!$AF$571:$AG$571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CDC4-4C49-8636-1AD4847630A1}"/>
            </c:ext>
          </c:extLst>
        </c:ser>
        <c:ser>
          <c:idx val="3"/>
          <c:order val="7"/>
          <c:tx>
            <c:strRef>
              <c:f>'Reference Standards'!$AA$570</c:f>
              <c:strCache>
                <c:ptCount val="1"/>
                <c:pt idx="0">
                  <c:v>73a / DA &lt;= 2.5</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2406124924232768"/>
                  <c:y val="-0.3915372960679552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Standards'!$AB$570:$AD$570</c:f>
              <c:numCache>
                <c:formatCode>General</c:formatCode>
                <c:ptCount val="3"/>
                <c:pt idx="0">
                  <c:v>0.44800000000000001</c:v>
                </c:pt>
                <c:pt idx="2">
                  <c:v>0.16500000000000001</c:v>
                </c:pt>
              </c:numCache>
            </c:numRef>
          </c:xVal>
          <c:yVal>
            <c:numRef>
              <c:f>'Reference Standards'!$AB$571:$AD$571</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D-CDC4-4C49-8636-1AD4847630A1}"/>
            </c:ext>
          </c:extLst>
        </c:ser>
        <c:ser>
          <c:idx val="7"/>
          <c:order val="8"/>
          <c:tx>
            <c:strRef>
              <c:f>'Reference Standards'!$AA$570</c:f>
              <c:strCache>
                <c:ptCount val="1"/>
                <c:pt idx="0">
                  <c:v>73a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50371745599217832"/>
                  <c:y val="-0.1217262765957937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Standards'!$AD$570:$AF$570</c:f>
              <c:numCache>
                <c:formatCode>General</c:formatCode>
                <c:ptCount val="3"/>
                <c:pt idx="0">
                  <c:v>0.16500000000000001</c:v>
                </c:pt>
                <c:pt idx="2">
                  <c:v>8.5999999999999993E-2</c:v>
                </c:pt>
              </c:numCache>
            </c:numRef>
          </c:xVal>
          <c:yVal>
            <c:numRef>
              <c:f>'Reference Standards'!$AD$571:$AF$571</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0F-CDC4-4C49-8636-1AD4847630A1}"/>
            </c:ext>
          </c:extLst>
        </c:ser>
        <c:ser>
          <c:idx val="8"/>
          <c:order val="9"/>
          <c:tx>
            <c:strRef>
              <c:f>'Reference Standards'!$AA$570</c:f>
              <c:strCache>
                <c:ptCount val="1"/>
                <c:pt idx="0">
                  <c:v>73a / DA &lt;= 2.5</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trendline>
            <c:spPr>
              <a:ln w="19050" cap="rnd">
                <a:solidFill>
                  <a:schemeClr val="accent3">
                    <a:lumMod val="60000"/>
                  </a:schemeClr>
                </a:solidFill>
                <a:prstDash val="sysDot"/>
              </a:ln>
              <a:effectLst/>
            </c:spPr>
            <c:trendlineType val="linear"/>
            <c:dispRSqr val="0"/>
            <c:dispEq val="1"/>
            <c:trendlineLbl>
              <c:layout>
                <c:manualLayout>
                  <c:x val="0.60793427263757316"/>
                  <c:y val="0.2544914545948772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Standards'!$AF$570:$AG$570</c:f>
              <c:numCache>
                <c:formatCode>General</c:formatCode>
                <c:ptCount val="2"/>
                <c:pt idx="0">
                  <c:v>8.5999999999999993E-2</c:v>
                </c:pt>
                <c:pt idx="1">
                  <c:v>7.0999999999999994E-2</c:v>
                </c:pt>
              </c:numCache>
            </c:numRef>
          </c:xVal>
          <c:yVal>
            <c:numRef>
              <c:f>'Reference Standards'!$AF$571:$AG$571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0-CDC4-4C49-8636-1AD4847630A1}"/>
            </c:ext>
          </c:extLst>
        </c:ser>
        <c:dLbls>
          <c:showLegendKey val="0"/>
          <c:showVal val="0"/>
          <c:showCatName val="0"/>
          <c:showSerName val="0"/>
          <c:showPercent val="0"/>
          <c:showBubbleSize val="0"/>
        </c:dLbls>
        <c:axId val="139734400"/>
        <c:axId val="139744768"/>
      </c:scatterChart>
      <c:valAx>
        <c:axId val="13973440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744768"/>
        <c:crosses val="autoZero"/>
        <c:crossBetween val="midCat"/>
      </c:valAx>
      <c:valAx>
        <c:axId val="13974476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73440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 DA &lt;=2.5 sq.mi. - Plot 2</a:t>
            </a:r>
          </a:p>
        </c:rich>
      </c:tx>
      <c:overlay val="0"/>
      <c:spPr>
        <a:noFill/>
        <a:ln>
          <a:noFill/>
        </a:ln>
        <a:effectLst/>
      </c:spPr>
    </c:title>
    <c:autoTitleDeleted val="0"/>
    <c:plotArea>
      <c:layout/>
      <c:scatterChart>
        <c:scatterStyle val="lineMarker"/>
        <c:varyColors val="0"/>
        <c:ser>
          <c:idx val="0"/>
          <c:order val="0"/>
          <c:tx>
            <c:strRef>
              <c:f>'Reference Standards'!$AA$118</c:f>
              <c:strCache>
                <c:ptCount val="1"/>
                <c:pt idx="0">
                  <c:v>71f / DA &lt;=2.5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2718281691194666"/>
                  <c:y val="-0.7022006635804852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Standards'!$AB$118:$AF$118</c:f>
              <c:numCache>
                <c:formatCode>General</c:formatCode>
                <c:ptCount val="5"/>
                <c:pt idx="0">
                  <c:v>3</c:v>
                </c:pt>
                <c:pt idx="2">
                  <c:v>1.7</c:v>
                </c:pt>
                <c:pt idx="4">
                  <c:v>0.01</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8D5F-4D76-A457-4A3F46F18242}"/>
            </c:ext>
          </c:extLst>
        </c:ser>
        <c:ser>
          <c:idx val="4"/>
          <c:order val="1"/>
          <c:tx>
            <c:strRef>
              <c:f>'Reference Standards'!$AA$119</c:f>
              <c:strCache>
                <c:ptCount val="1"/>
                <c:pt idx="0">
                  <c:v>74a / DA &lt;=2.5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39011754837385526"/>
                  <c:y val="-0.5994342082581466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Standards'!$AB$119:$AF$119</c:f>
              <c:numCache>
                <c:formatCode>General</c:formatCode>
                <c:ptCount val="5"/>
                <c:pt idx="0">
                  <c:v>0.14000000000000001</c:v>
                </c:pt>
                <c:pt idx="2">
                  <c:v>0.11</c:v>
                </c:pt>
                <c:pt idx="4">
                  <c:v>0.02</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D-8D5F-4D76-A457-4A3F46F18242}"/>
            </c:ext>
          </c:extLst>
        </c:ser>
        <c:ser>
          <c:idx val="6"/>
          <c:order val="2"/>
          <c:tx>
            <c:strRef>
              <c:f>'Reference Standards'!$AA$120</c:f>
              <c:strCache>
                <c:ptCount val="1"/>
                <c:pt idx="0">
                  <c:v>67fghi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2796044355985996"/>
                  <c:y val="-0.4842112128967365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Standards'!$AB$120:$AF$120</c:f>
              <c:numCache>
                <c:formatCode>General</c:formatCode>
                <c:ptCount val="5"/>
                <c:pt idx="0">
                  <c:v>1.9</c:v>
                </c:pt>
                <c:pt idx="2">
                  <c:v>1.4</c:v>
                </c:pt>
                <c:pt idx="4">
                  <c:v>0.05</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8D5F-4D76-A457-4A3F46F18242}"/>
            </c:ext>
          </c:extLst>
        </c:ser>
        <c:ser>
          <c:idx val="1"/>
          <c:order val="3"/>
          <c:tx>
            <c:strRef>
              <c:f>'Reference Standards'!$AA$120</c:f>
              <c:strCache>
                <c:ptCount val="1"/>
                <c:pt idx="0">
                  <c:v>67fghi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8114616614652138"/>
                  <c:y val="1.8274823150234456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Standards'!$AF$120:$AG$120</c:f>
              <c:numCache>
                <c:formatCode>General</c:formatCode>
                <c:ptCount val="2"/>
                <c:pt idx="0">
                  <c:v>0.05</c:v>
                </c:pt>
                <c:pt idx="1">
                  <c:v>0.01</c:v>
                </c:pt>
              </c:numCache>
            </c:numRef>
          </c:xVal>
          <c:yVal>
            <c:numRef>
              <c:f>'Reference Standards'!$AF$122:$AG$122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E-8D5F-4D76-A457-4A3F46F18242}"/>
            </c:ext>
          </c:extLst>
        </c:ser>
        <c:ser>
          <c:idx val="3"/>
          <c:order val="4"/>
          <c:tx>
            <c:strRef>
              <c:f>'Reference Standards'!$AA$121</c:f>
              <c:strCache>
                <c:ptCount val="1"/>
                <c:pt idx="0">
                  <c:v>73a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37486155486202849"/>
                  <c:y val="-0.3627599475157908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Standards'!$AB$121:$AF$121</c:f>
              <c:numCache>
                <c:formatCode>General</c:formatCode>
                <c:ptCount val="5"/>
                <c:pt idx="0">
                  <c:v>1.44</c:v>
                </c:pt>
                <c:pt idx="2">
                  <c:v>0.86</c:v>
                </c:pt>
                <c:pt idx="4">
                  <c:v>0.12</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B-8D5F-4D76-A457-4A3F46F18242}"/>
            </c:ext>
          </c:extLst>
        </c:ser>
        <c:ser>
          <c:idx val="2"/>
          <c:order val="5"/>
          <c:tx>
            <c:strRef>
              <c:f>'Reference Standards'!$AA$121</c:f>
              <c:strCache>
                <c:ptCount val="1"/>
                <c:pt idx="0">
                  <c:v>73a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0.30511987023653481"/>
                  <c:y val="0.1303836835018767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Standards'!$AF$121:$AG$121</c:f>
              <c:numCache>
                <c:formatCode>General</c:formatCode>
                <c:ptCount val="2"/>
                <c:pt idx="0">
                  <c:v>0.12</c:v>
                </c:pt>
                <c:pt idx="1">
                  <c:v>0.01</c:v>
                </c:pt>
              </c:numCache>
            </c:numRef>
          </c:xVal>
          <c:yVal>
            <c:numRef>
              <c:f>'Reference Standards'!$AF$122:$AG$122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0-8D5F-4D76-A457-4A3F46F18242}"/>
            </c:ext>
          </c:extLst>
        </c:ser>
        <c:dLbls>
          <c:showLegendKey val="0"/>
          <c:showVal val="0"/>
          <c:showCatName val="0"/>
          <c:showSerName val="0"/>
          <c:showPercent val="0"/>
          <c:showBubbleSize val="0"/>
        </c:dLbls>
        <c:axId val="140072448"/>
        <c:axId val="140074368"/>
      </c:scatterChart>
      <c:valAx>
        <c:axId val="14007244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074368"/>
        <c:crosses val="autoZero"/>
        <c:crossBetween val="midCat"/>
      </c:valAx>
      <c:valAx>
        <c:axId val="14007436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0724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 DA &lt;=2.5 sq.mi. - Plot 3</a:t>
            </a:r>
          </a:p>
        </c:rich>
      </c:tx>
      <c:overlay val="0"/>
      <c:spPr>
        <a:noFill/>
        <a:ln>
          <a:noFill/>
        </a:ln>
        <a:effectLst/>
      </c:spPr>
    </c:title>
    <c:autoTitleDeleted val="0"/>
    <c:plotArea>
      <c:layout/>
      <c:scatterChart>
        <c:scatterStyle val="lineMarker"/>
        <c:varyColors val="0"/>
        <c:ser>
          <c:idx val="0"/>
          <c:order val="0"/>
          <c:tx>
            <c:strRef>
              <c:f>'Reference Standards'!$AA$154</c:f>
              <c:strCache>
                <c:ptCount val="1"/>
                <c:pt idx="0">
                  <c:v>66d / DA &lt;=2.5 </c:v>
                </c:pt>
              </c:strCache>
            </c:strRef>
          </c:tx>
          <c:spPr>
            <a:ln w="25400" cap="rnd">
              <a:noFill/>
              <a:round/>
            </a:ln>
            <a:effectLst/>
          </c:spPr>
          <c:marker>
            <c:symbol val="circle"/>
            <c:size val="5"/>
            <c:spPr>
              <a:solidFill>
                <a:schemeClr val="accent4"/>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39229697601840191"/>
                  <c:y val="-0.6873173541230747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Standards'!$AB$154:$AF$154</c:f>
              <c:numCache>
                <c:formatCode>General</c:formatCode>
                <c:ptCount val="5"/>
                <c:pt idx="0">
                  <c:v>0.46</c:v>
                </c:pt>
                <c:pt idx="2">
                  <c:v>0.25</c:v>
                </c:pt>
                <c:pt idx="4">
                  <c:v>0.08</c:v>
                </c:pt>
              </c:numCache>
            </c:numRef>
          </c:xVal>
          <c:yVal>
            <c:numRef>
              <c:f>'Reference Standards'!$AB$158:$AF$158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1B5D-48A8-A044-041DDFA9A677}"/>
            </c:ext>
          </c:extLst>
        </c:ser>
        <c:ser>
          <c:idx val="5"/>
          <c:order val="1"/>
          <c:tx>
            <c:strRef>
              <c:f>'Reference Standards'!$AA$154</c:f>
              <c:strCache>
                <c:ptCount val="1"/>
                <c:pt idx="0">
                  <c:v>66d / DA &lt;=2.5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2571724620565079"/>
                  <c:y val="-0.2030165807713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Standards'!$AF$154:$AG$154</c:f>
              <c:numCache>
                <c:formatCode>General</c:formatCode>
                <c:ptCount val="2"/>
                <c:pt idx="0">
                  <c:v>0.08</c:v>
                </c:pt>
                <c:pt idx="1">
                  <c:v>0.02</c:v>
                </c:pt>
              </c:numCache>
            </c:numRef>
          </c:xVal>
          <c:yVal>
            <c:numRef>
              <c:f>'Reference Standards'!$AF$158:$AG$158</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C-1B5D-48A8-A044-041DDFA9A677}"/>
            </c:ext>
          </c:extLst>
        </c:ser>
        <c:ser>
          <c:idx val="4"/>
          <c:order val="2"/>
          <c:tx>
            <c:strRef>
              <c:f>'Reference Standards'!$AA$155</c:f>
              <c:strCache>
                <c:ptCount val="1"/>
                <c:pt idx="0">
                  <c:v>71ghi / DA &lt;=2.5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28905748849622581"/>
                  <c:y val="-0.600312834585715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Standards'!$AB$155:$AF$155</c:f>
              <c:numCache>
                <c:formatCode>General</c:formatCode>
                <c:ptCount val="5"/>
                <c:pt idx="0">
                  <c:v>3</c:v>
                </c:pt>
                <c:pt idx="2">
                  <c:v>2.1</c:v>
                </c:pt>
                <c:pt idx="4">
                  <c:v>0.24</c:v>
                </c:pt>
              </c:numCache>
            </c:numRef>
          </c:xVal>
          <c:yVal>
            <c:numRef>
              <c:f>'Reference Standards'!$AB$158:$AF$158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3-1B5D-48A8-A044-041DDFA9A677}"/>
            </c:ext>
          </c:extLst>
        </c:ser>
        <c:ser>
          <c:idx val="7"/>
          <c:order val="3"/>
          <c:tx>
            <c:strRef>
              <c:f>'Reference Standards'!$AA$155</c:f>
              <c:strCache>
                <c:ptCount val="1"/>
                <c:pt idx="0">
                  <c:v>71ghi / DA &lt;=2.5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2">
                    <a:lumMod val="60000"/>
                  </a:schemeClr>
                </a:solidFill>
                <a:prstDash val="sysDot"/>
              </a:ln>
              <a:effectLst/>
            </c:spPr>
            <c:trendlineType val="linear"/>
            <c:dispRSqr val="0"/>
            <c:dispEq val="1"/>
            <c:trendlineLbl>
              <c:layout>
                <c:manualLayout>
                  <c:x val="0.20922505387648102"/>
                  <c:y val="-9.7368235618808641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Standards'!$AF$155:$AG$155</c:f>
              <c:numCache>
                <c:formatCode>General</c:formatCode>
                <c:ptCount val="2"/>
                <c:pt idx="0">
                  <c:v>0.24</c:v>
                </c:pt>
                <c:pt idx="1">
                  <c:v>0.06</c:v>
                </c:pt>
              </c:numCache>
            </c:numRef>
          </c:xVal>
          <c:yVal>
            <c:numRef>
              <c:f>'Reference Standards'!$AF$158:$AG$158</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D-1B5D-48A8-A044-041DDFA9A677}"/>
            </c:ext>
          </c:extLst>
        </c:ser>
        <c:ser>
          <c:idx val="6"/>
          <c:order val="4"/>
          <c:tx>
            <c:strRef>
              <c:f>'Reference Standards'!$AA$156</c:f>
              <c:strCache>
                <c:ptCount val="1"/>
                <c:pt idx="0">
                  <c:v>74b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47293579886662901"/>
                  <c:y val="-0.4915571851640167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Standards'!$AB$156:$AD$156</c:f>
              <c:numCache>
                <c:formatCode>General</c:formatCode>
                <c:ptCount val="3"/>
                <c:pt idx="0">
                  <c:v>1.3</c:v>
                </c:pt>
                <c:pt idx="2">
                  <c:v>0.48</c:v>
                </c:pt>
              </c:numCache>
            </c:numRef>
          </c:xVal>
          <c:yVal>
            <c:numRef>
              <c:f>'Reference Standards'!$AB$158:$AD$158</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5-1B5D-48A8-A044-041DDFA9A677}"/>
            </c:ext>
          </c:extLst>
        </c:ser>
        <c:ser>
          <c:idx val="1"/>
          <c:order val="5"/>
          <c:tx>
            <c:strRef>
              <c:f>'Reference Standards'!$AA$156</c:f>
              <c:strCache>
                <c:ptCount val="1"/>
                <c:pt idx="0">
                  <c:v>74b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1576333681012105"/>
                  <c:y val="-0.313678940600086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Standards'!$AD$156:$AG$156</c:f>
              <c:numCache>
                <c:formatCode>General</c:formatCode>
                <c:ptCount val="4"/>
                <c:pt idx="0">
                  <c:v>0.48</c:v>
                </c:pt>
                <c:pt idx="3">
                  <c:v>0.28999999999999998</c:v>
                </c:pt>
              </c:numCache>
            </c:numRef>
          </c:xVal>
          <c:yVal>
            <c:numRef>
              <c:f>'Reference Standards'!$AD$158:$AG$158</c:f>
              <c:numCache>
                <c:formatCode>General</c:formatCode>
                <c:ptCount val="4"/>
                <c:pt idx="0">
                  <c:v>0.3</c:v>
                </c:pt>
                <c:pt idx="1">
                  <c:v>0.69</c:v>
                </c:pt>
                <c:pt idx="2">
                  <c:v>0.7</c:v>
                </c:pt>
                <c:pt idx="3">
                  <c:v>1</c:v>
                </c:pt>
              </c:numCache>
            </c:numRef>
          </c:yVal>
          <c:smooth val="0"/>
          <c:extLst xmlns:c16r2="http://schemas.microsoft.com/office/drawing/2015/06/chart">
            <c:ext xmlns:c16="http://schemas.microsoft.com/office/drawing/2014/chart" uri="{C3380CC4-5D6E-409C-BE32-E72D297353CC}">
              <c16:uniqueId val="{00000007-1B5D-48A8-A044-041DDFA9A677}"/>
            </c:ext>
          </c:extLst>
        </c:ser>
        <c:ser>
          <c:idx val="3"/>
          <c:order val="6"/>
          <c:tx>
            <c:strRef>
              <c:f>'Reference Standards'!$AA$157</c:f>
              <c:strCache>
                <c:ptCount val="1"/>
                <c:pt idx="0">
                  <c:v>71e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3994671213604845"/>
                  <c:y val="-0.3579431015887866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Standards'!$AB$157:$AF$157</c:f>
              <c:numCache>
                <c:formatCode>General</c:formatCode>
                <c:ptCount val="5"/>
                <c:pt idx="0">
                  <c:v>4.3</c:v>
                </c:pt>
                <c:pt idx="2">
                  <c:v>3.0750000000000002</c:v>
                </c:pt>
                <c:pt idx="4">
                  <c:v>0.67</c:v>
                </c:pt>
              </c:numCache>
            </c:numRef>
          </c:xVal>
          <c:yVal>
            <c:numRef>
              <c:f>'Reference Standards'!$AB$158:$AF$158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1B5D-48A8-A044-041DDFA9A677}"/>
            </c:ext>
          </c:extLst>
        </c:ser>
        <c:ser>
          <c:idx val="2"/>
          <c:order val="7"/>
          <c:tx>
            <c:strRef>
              <c:f>'Reference Standards'!$AA$157</c:f>
              <c:strCache>
                <c:ptCount val="1"/>
                <c:pt idx="0">
                  <c:v>71e / DA &lt;=2.5 </c:v>
                </c:pt>
              </c:strCache>
            </c:strRef>
          </c:tx>
          <c:spPr>
            <a:ln w="25400" cap="rnd">
              <a:noFill/>
              <a:round/>
            </a:ln>
            <a:effectLst/>
          </c:spPr>
          <c:marker>
            <c:symbol val="circle"/>
            <c:size val="5"/>
            <c:spPr>
              <a:solidFill>
                <a:schemeClr val="accent4"/>
              </a:solidFill>
              <a:ln w="9525">
                <a:solidFill>
                  <a:schemeClr val="accent3"/>
                </a:solidFill>
              </a:ln>
              <a:effectLst/>
            </c:spPr>
          </c:marker>
          <c:trendline>
            <c:spPr>
              <a:ln w="19050" cap="rnd">
                <a:solidFill>
                  <a:schemeClr val="accent4"/>
                </a:solidFill>
                <a:prstDash val="sysDot"/>
              </a:ln>
              <a:effectLst/>
            </c:spPr>
            <c:trendlineType val="linear"/>
            <c:dispRSqr val="0"/>
            <c:dispEq val="1"/>
            <c:trendlineLbl>
              <c:layout>
                <c:manualLayout>
                  <c:x val="0.30294044259198816"/>
                  <c:y val="0.1139284546862063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Standards'!$AF$157:$AG$157</c:f>
              <c:numCache>
                <c:formatCode>General</c:formatCode>
                <c:ptCount val="2"/>
                <c:pt idx="0">
                  <c:v>0.67</c:v>
                </c:pt>
                <c:pt idx="1">
                  <c:v>0.53</c:v>
                </c:pt>
              </c:numCache>
            </c:numRef>
          </c:xVal>
          <c:yVal>
            <c:numRef>
              <c:f>'Reference Standards'!$AF$158:$AG$158</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1B5D-48A8-A044-041DDFA9A677}"/>
            </c:ext>
          </c:extLst>
        </c:ser>
        <c:dLbls>
          <c:showLegendKey val="0"/>
          <c:showVal val="0"/>
          <c:showCatName val="0"/>
          <c:showSerName val="0"/>
          <c:showPercent val="0"/>
          <c:showBubbleSize val="0"/>
        </c:dLbls>
        <c:axId val="139873280"/>
        <c:axId val="139887744"/>
      </c:scatterChart>
      <c:valAx>
        <c:axId val="13987328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887744"/>
        <c:crosses val="autoZero"/>
        <c:crossBetween val="midCat"/>
      </c:valAx>
      <c:valAx>
        <c:axId val="1398877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8732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a:t>
            </a:r>
            <a:r>
              <a:rPr lang="en-US"/>
              <a:t>- 66efg &amp; 68b</a:t>
            </a:r>
          </a:p>
        </c:rich>
      </c:tx>
      <c:overlay val="0"/>
      <c:spPr>
        <a:noFill/>
        <a:ln>
          <a:noFill/>
        </a:ln>
        <a:effectLst/>
      </c:spPr>
    </c:title>
    <c:autoTitleDeleted val="0"/>
    <c:plotArea>
      <c:layout/>
      <c:scatterChart>
        <c:scatterStyle val="lineMarker"/>
        <c:varyColors val="0"/>
        <c:ser>
          <c:idx val="0"/>
          <c:order val="0"/>
          <c:tx>
            <c:strRef>
              <c:f>'Reference Standards'!$AA$190</c:f>
              <c:strCache>
                <c:ptCount val="1"/>
                <c:pt idx="0">
                  <c:v>66efg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39229697601840191"/>
                  <c:y val="-0.6873173541230747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Standards'!$AB$190:$AF$190</c:f>
              <c:numCache>
                <c:formatCode>General</c:formatCode>
                <c:ptCount val="5"/>
                <c:pt idx="0">
                  <c:v>0.61</c:v>
                </c:pt>
                <c:pt idx="2">
                  <c:v>0.34</c:v>
                </c:pt>
                <c:pt idx="4">
                  <c:v>0.06</c:v>
                </c:pt>
              </c:numCache>
            </c:numRef>
          </c:xVal>
          <c:yVal>
            <c:numRef>
              <c:f>'Reference Standards'!$AB$192:$AF$192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3E7E-4414-BB19-1888C50C05E3}"/>
            </c:ext>
          </c:extLst>
        </c:ser>
        <c:ser>
          <c:idx val="5"/>
          <c:order val="1"/>
          <c:tx>
            <c:strRef>
              <c:f>'Reference Standards'!$AA$190</c:f>
              <c:strCache>
                <c:ptCount val="1"/>
                <c:pt idx="0">
                  <c:v>66efg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32428573338136302"/>
                  <c:y val="-0.1987126102241945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Standards'!$AF$190:$AG$190</c:f>
              <c:numCache>
                <c:formatCode>General</c:formatCode>
                <c:ptCount val="2"/>
                <c:pt idx="0">
                  <c:v>0.06</c:v>
                </c:pt>
                <c:pt idx="1">
                  <c:v>0.01</c:v>
                </c:pt>
              </c:numCache>
            </c:numRef>
          </c:xVal>
          <c:yVal>
            <c:numRef>
              <c:f>'Reference Standards'!$AF$192:$AG$192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3E7E-4414-BB19-1888C50C05E3}"/>
            </c:ext>
          </c:extLst>
        </c:ser>
        <c:ser>
          <c:idx val="6"/>
          <c:order val="2"/>
          <c:tx>
            <c:strRef>
              <c:f>'Reference Standards'!$AA$191</c:f>
              <c:strCache>
                <c:ptCount val="1"/>
                <c:pt idx="0">
                  <c:v>68b </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6"/>
                </a:solidFill>
                <a:prstDash val="sysDot"/>
              </a:ln>
              <a:effectLst/>
            </c:spPr>
            <c:trendlineType val="poly"/>
            <c:order val="2"/>
            <c:dispRSqr val="0"/>
            <c:dispEq val="1"/>
            <c:trendlineLbl>
              <c:layout>
                <c:manualLayout>
                  <c:x val="6.1952233360969798E-2"/>
                  <c:y val="-0.4186264480433404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Standards'!$AB$191:$AF$191</c:f>
              <c:numCache>
                <c:formatCode>General</c:formatCode>
                <c:ptCount val="5"/>
                <c:pt idx="0">
                  <c:v>1.1000000000000001</c:v>
                </c:pt>
                <c:pt idx="2">
                  <c:v>0.69</c:v>
                </c:pt>
                <c:pt idx="4">
                  <c:v>0.22</c:v>
                </c:pt>
              </c:numCache>
            </c:numRef>
          </c:xVal>
          <c:yVal>
            <c:numRef>
              <c:f>'Reference Standards'!$AB$192:$AF$192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3E7E-4414-BB19-1888C50C05E3}"/>
            </c:ext>
          </c:extLst>
        </c:ser>
        <c:ser>
          <c:idx val="1"/>
          <c:order val="3"/>
          <c:tx>
            <c:strRef>
              <c:f>'Reference Standards'!$AA$191</c:f>
              <c:strCache>
                <c:ptCount val="1"/>
                <c:pt idx="0">
                  <c:v>68b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0922505387648102"/>
                  <c:y val="2.0655015006815275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Standards'!$AF$191:$AG$191</c:f>
              <c:numCache>
                <c:formatCode>General</c:formatCode>
                <c:ptCount val="2"/>
                <c:pt idx="0">
                  <c:v>0.22</c:v>
                </c:pt>
                <c:pt idx="1">
                  <c:v>0.17</c:v>
                </c:pt>
              </c:numCache>
            </c:numRef>
          </c:xVal>
          <c:yVal>
            <c:numRef>
              <c:f>'Reference Standards'!$AF$192:$AG$192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3E7E-4414-BB19-1888C50C05E3}"/>
            </c:ext>
          </c:extLst>
        </c:ser>
        <c:dLbls>
          <c:showLegendKey val="0"/>
          <c:showVal val="0"/>
          <c:showCatName val="0"/>
          <c:showSerName val="0"/>
          <c:showPercent val="0"/>
          <c:showBubbleSize val="0"/>
        </c:dLbls>
        <c:axId val="139936896"/>
        <c:axId val="139938816"/>
      </c:scatterChart>
      <c:valAx>
        <c:axId val="13993689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938816"/>
        <c:crosses val="autoZero"/>
        <c:crossBetween val="midCat"/>
      </c:valAx>
      <c:valAx>
        <c:axId val="13993881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93689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DA&gt;2.5 - Plot 2</a:t>
            </a:r>
            <a:endParaRPr lang="en-US"/>
          </a:p>
        </c:rich>
      </c:tx>
      <c:overlay val="0"/>
      <c:spPr>
        <a:noFill/>
        <a:ln>
          <a:noFill/>
        </a:ln>
        <a:effectLst/>
      </c:spPr>
    </c:title>
    <c:autoTitleDeleted val="0"/>
    <c:plotArea>
      <c:layout/>
      <c:scatterChart>
        <c:scatterStyle val="lineMarker"/>
        <c:varyColors val="0"/>
        <c:ser>
          <c:idx val="0"/>
          <c:order val="0"/>
          <c:tx>
            <c:strRef>
              <c:f>'Reference Standards'!$AA$260</c:f>
              <c:strCache>
                <c:ptCount val="1"/>
                <c:pt idx="0">
                  <c:v>71f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1598639350715899"/>
                  <c:y val="-0.6796976025345434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Standards'!$AB$260:$AF$260</c:f>
              <c:numCache>
                <c:formatCode>General</c:formatCode>
                <c:ptCount val="5"/>
                <c:pt idx="0">
                  <c:v>0.87</c:v>
                </c:pt>
                <c:pt idx="2">
                  <c:v>0.52</c:v>
                </c:pt>
                <c:pt idx="4">
                  <c:v>0.04</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56FC-4F04-9D4E-F9B0CBB2C12D}"/>
            </c:ext>
          </c:extLst>
        </c:ser>
        <c:ser>
          <c:idx val="5"/>
          <c:order val="1"/>
          <c:tx>
            <c:strRef>
              <c:f>'Reference Standards'!$AA$260</c:f>
              <c:strCache>
                <c:ptCount val="1"/>
                <c:pt idx="0">
                  <c:v>71f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2571724620565079"/>
                  <c:y val="-0.2030165807713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Standards'!$AF$260:$AG$260</c:f>
              <c:numCache>
                <c:formatCode>General</c:formatCode>
                <c:ptCount val="2"/>
                <c:pt idx="0">
                  <c:v>0.04</c:v>
                </c:pt>
                <c:pt idx="1">
                  <c:v>0.01</c:v>
                </c:pt>
              </c:numCache>
            </c:numRef>
          </c:xVal>
          <c:yVal>
            <c:numRef>
              <c:f>'Reference Standards'!$AF$264:$AG$264</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56FC-4F04-9D4E-F9B0CBB2C12D}"/>
            </c:ext>
          </c:extLst>
        </c:ser>
        <c:ser>
          <c:idx val="4"/>
          <c:order val="2"/>
          <c:tx>
            <c:strRef>
              <c:f>'Reference Standards'!$AA$261</c:f>
              <c:strCache>
                <c:ptCount val="1"/>
                <c:pt idx="0">
                  <c:v>65abei / DA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4360437519241601"/>
                  <c:y val="-0.589188722932733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Standards'!$AB$261:$AF$261</c:f>
              <c:numCache>
                <c:formatCode>General</c:formatCode>
                <c:ptCount val="5"/>
                <c:pt idx="0">
                  <c:v>0.82</c:v>
                </c:pt>
                <c:pt idx="2">
                  <c:v>0.4</c:v>
                </c:pt>
                <c:pt idx="4">
                  <c:v>0.06</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56FC-4F04-9D4E-F9B0CBB2C12D}"/>
            </c:ext>
          </c:extLst>
        </c:ser>
        <c:ser>
          <c:idx val="7"/>
          <c:order val="3"/>
          <c:tx>
            <c:strRef>
              <c:f>'Reference Standards'!$AA$261</c:f>
              <c:strCache>
                <c:ptCount val="1"/>
                <c:pt idx="0">
                  <c:v>65abei / DA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5"/>
                </a:solidFill>
                <a:prstDash val="sysDot"/>
              </a:ln>
              <a:effectLst/>
            </c:spPr>
            <c:trendlineType val="linear"/>
            <c:dispRSqr val="0"/>
            <c:dispEq val="1"/>
            <c:trendlineLbl>
              <c:layout>
                <c:manualLayout>
                  <c:x val="0.21358390916557438"/>
                  <c:y val="-0.100475564471318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Standards'!$AF$261:$AG$261</c:f>
              <c:numCache>
                <c:formatCode>General</c:formatCode>
                <c:ptCount val="2"/>
                <c:pt idx="0">
                  <c:v>0.06</c:v>
                </c:pt>
                <c:pt idx="1">
                  <c:v>0.01</c:v>
                </c:pt>
              </c:numCache>
            </c:numRef>
          </c:xVal>
          <c:yVal>
            <c:numRef>
              <c:f>'Reference Standards'!$AF$264:$AG$264</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56FC-4F04-9D4E-F9B0CBB2C12D}"/>
            </c:ext>
          </c:extLst>
        </c:ser>
        <c:ser>
          <c:idx val="6"/>
          <c:order val="4"/>
          <c:tx>
            <c:strRef>
              <c:f>'Reference Standards'!$AA$262</c:f>
              <c:strCache>
                <c:ptCount val="1"/>
                <c:pt idx="0">
                  <c:v>65j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37268212721748184"/>
                  <c:y val="-0.498679843330923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Standards'!$AB$262:$AF$262</c:f>
              <c:numCache>
                <c:formatCode>General</c:formatCode>
                <c:ptCount val="5"/>
                <c:pt idx="0">
                  <c:v>0.33</c:v>
                </c:pt>
                <c:pt idx="2">
                  <c:v>0.23</c:v>
                </c:pt>
                <c:pt idx="4">
                  <c:v>0.09</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56FC-4F04-9D4E-F9B0CBB2C12D}"/>
            </c:ext>
          </c:extLst>
        </c:ser>
        <c:ser>
          <c:idx val="1"/>
          <c:order val="5"/>
          <c:tx>
            <c:strRef>
              <c:f>'Reference Standards'!$AA$262</c:f>
              <c:strCache>
                <c:ptCount val="1"/>
                <c:pt idx="0">
                  <c:v>65j / DA &gt; 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0922505387648102"/>
                  <c:y val="2.0655015006815275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Standards'!$AF$262:$AG$262</c:f>
              <c:numCache>
                <c:formatCode>General</c:formatCode>
                <c:ptCount val="2"/>
                <c:pt idx="0">
                  <c:v>0.09</c:v>
                </c:pt>
                <c:pt idx="1">
                  <c:v>0.03</c:v>
                </c:pt>
              </c:numCache>
            </c:numRef>
          </c:xVal>
          <c:yVal>
            <c:numRef>
              <c:f>'Reference Standards'!$AF$264:$AG$264</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56FC-4F04-9D4E-F9B0CBB2C12D}"/>
            </c:ext>
          </c:extLst>
        </c:ser>
        <c:ser>
          <c:idx val="3"/>
          <c:order val="6"/>
          <c:tx>
            <c:strRef>
              <c:f>'Reference Standards'!$AA$263</c:f>
              <c:strCache>
                <c:ptCount val="1"/>
                <c:pt idx="0">
                  <c:v>68c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4"/>
                </a:solidFill>
                <a:prstDash val="sysDot"/>
              </a:ln>
              <a:effectLst/>
            </c:spPr>
            <c:trendlineType val="poly"/>
            <c:order val="2"/>
            <c:dispRSqr val="0"/>
            <c:dispEq val="1"/>
            <c:trendlineLbl>
              <c:layout>
                <c:manualLayout>
                  <c:x val="0.23448856727172382"/>
                  <c:y val="-0.364477021852377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Standards'!$AB$263:$AF$263</c:f>
              <c:numCache>
                <c:formatCode>General</c:formatCode>
                <c:ptCount val="5"/>
                <c:pt idx="0">
                  <c:v>0.7</c:v>
                </c:pt>
                <c:pt idx="2">
                  <c:v>0.37</c:v>
                </c:pt>
                <c:pt idx="4">
                  <c:v>0.12</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D-56FC-4F04-9D4E-F9B0CBB2C12D}"/>
            </c:ext>
          </c:extLst>
        </c:ser>
        <c:ser>
          <c:idx val="2"/>
          <c:order val="7"/>
          <c:tx>
            <c:strRef>
              <c:f>'Reference Standards'!$AA$263</c:f>
              <c:strCache>
                <c:ptCount val="1"/>
                <c:pt idx="0">
                  <c:v>68c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4"/>
                </a:solidFill>
                <a:prstDash val="sysDot"/>
              </a:ln>
              <a:effectLst/>
            </c:spPr>
            <c:trendlineType val="linear"/>
            <c:dispRSqr val="0"/>
            <c:dispEq val="1"/>
            <c:trendlineLbl>
              <c:layout>
                <c:manualLayout>
                  <c:x val="0.30294044259198816"/>
                  <c:y val="0.1139284546862063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Standards'!$AF$263:$AG$263</c:f>
              <c:numCache>
                <c:formatCode>General</c:formatCode>
                <c:ptCount val="2"/>
                <c:pt idx="0">
                  <c:v>0.12</c:v>
                </c:pt>
                <c:pt idx="1">
                  <c:v>7.0000000000000007E-2</c:v>
                </c:pt>
              </c:numCache>
            </c:numRef>
          </c:xVal>
          <c:yVal>
            <c:numRef>
              <c:f>'Reference Standards'!$AF$264:$AG$264</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F-56FC-4F04-9D4E-F9B0CBB2C12D}"/>
            </c:ext>
          </c:extLst>
        </c:ser>
        <c:dLbls>
          <c:showLegendKey val="0"/>
          <c:showVal val="0"/>
          <c:showCatName val="0"/>
          <c:showSerName val="0"/>
          <c:showPercent val="0"/>
          <c:showBubbleSize val="0"/>
        </c:dLbls>
        <c:axId val="140049408"/>
        <c:axId val="140268672"/>
      </c:scatterChart>
      <c:valAx>
        <c:axId val="14004940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268672"/>
        <c:crosses val="autoZero"/>
        <c:crossBetween val="midCat"/>
      </c:valAx>
      <c:valAx>
        <c:axId val="14026867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04940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a:t>
            </a:r>
            <a:r>
              <a:rPr lang="en-US"/>
              <a:t>DA&gt;2.5</a:t>
            </a:r>
            <a:r>
              <a:rPr lang="en-US" baseline="0"/>
              <a:t> -</a:t>
            </a:r>
            <a:r>
              <a:rPr lang="en-US"/>
              <a:t> Plot 1</a:t>
            </a:r>
          </a:p>
        </c:rich>
      </c:tx>
      <c:overlay val="0"/>
      <c:spPr>
        <a:noFill/>
        <a:ln>
          <a:noFill/>
        </a:ln>
        <a:effectLst/>
      </c:spPr>
    </c:title>
    <c:autoTitleDeleted val="0"/>
    <c:plotArea>
      <c:layout/>
      <c:scatterChart>
        <c:scatterStyle val="lineMarker"/>
        <c:varyColors val="0"/>
        <c:ser>
          <c:idx val="0"/>
          <c:order val="0"/>
          <c:tx>
            <c:strRef>
              <c:f>'Reference Standards'!$AA$224</c:f>
              <c:strCache>
                <c:ptCount val="1"/>
                <c:pt idx="0">
                  <c:v>73a / DA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5.8226755889345484E-2"/>
                  <c:y val="-0.6438498425410226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Standards'!$AB$224:$AF$224</c:f>
              <c:numCache>
                <c:formatCode>General</c:formatCode>
                <c:ptCount val="5"/>
                <c:pt idx="0">
                  <c:v>0.55000000000000004</c:v>
                </c:pt>
                <c:pt idx="2">
                  <c:v>0.31</c:v>
                </c:pt>
                <c:pt idx="4">
                  <c:v>0.01</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10-6840-499C-B33E-1B162FEA2E04}"/>
            </c:ext>
          </c:extLst>
        </c:ser>
        <c:ser>
          <c:idx val="1"/>
          <c:order val="1"/>
          <c:tx>
            <c:strRef>
              <c:f>'Reference Standards'!$AA$225</c:f>
              <c:strCache>
                <c:ptCount val="1"/>
                <c:pt idx="0">
                  <c:v>68a / DA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7.0885798334642702E-2"/>
                  <c:y val="-0.561399383148414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Standards'!$AB$225:$AF$225</c:f>
              <c:numCache>
                <c:formatCode>General</c:formatCode>
                <c:ptCount val="5"/>
                <c:pt idx="0">
                  <c:v>0.54</c:v>
                </c:pt>
                <c:pt idx="2">
                  <c:v>0.27</c:v>
                </c:pt>
                <c:pt idx="4">
                  <c:v>0.02</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11-6840-499C-B33E-1B162FEA2E04}"/>
            </c:ext>
          </c:extLst>
        </c:ser>
        <c:ser>
          <c:idx val="2"/>
          <c:order val="2"/>
          <c:tx>
            <c:strRef>
              <c:f>'Reference Standards'!$AA$226</c:f>
              <c:strCache>
                <c:ptCount val="1"/>
                <c:pt idx="0">
                  <c:v>74a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4206401751230174"/>
                  <c:y val="-0.4850563651922966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Standards'!$AB$226:$AF$226</c:f>
              <c:numCache>
                <c:formatCode>General</c:formatCode>
                <c:ptCount val="5"/>
                <c:pt idx="0">
                  <c:v>0.47</c:v>
                </c:pt>
                <c:pt idx="2">
                  <c:v>0.27</c:v>
                </c:pt>
                <c:pt idx="4">
                  <c:v>0.02</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12-6840-499C-B33E-1B162FEA2E04}"/>
            </c:ext>
          </c:extLst>
        </c:ser>
        <c:ser>
          <c:idx val="3"/>
          <c:order val="3"/>
          <c:tx>
            <c:strRef>
              <c:f>'Reference Standards'!$AA$227</c:f>
              <c:strCache>
                <c:ptCount val="1"/>
                <c:pt idx="0">
                  <c:v>69de / DA &gt; 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34870842312746836"/>
                  <c:y val="-0.4026059057996889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Standards'!$AB$227:$AF$227</c:f>
              <c:numCache>
                <c:formatCode>General</c:formatCode>
                <c:ptCount val="5"/>
                <c:pt idx="0">
                  <c:v>0.26</c:v>
                </c:pt>
                <c:pt idx="2">
                  <c:v>0.2</c:v>
                </c:pt>
                <c:pt idx="4">
                  <c:v>0.03</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16-6840-499C-B33E-1B162FEA2E04}"/>
            </c:ext>
          </c:extLst>
        </c:ser>
        <c:dLbls>
          <c:showLegendKey val="0"/>
          <c:showVal val="0"/>
          <c:showCatName val="0"/>
          <c:showSerName val="0"/>
          <c:showPercent val="0"/>
          <c:showBubbleSize val="0"/>
        </c:dLbls>
        <c:axId val="140669312"/>
        <c:axId val="140671232"/>
      </c:scatterChart>
      <c:valAx>
        <c:axId val="14066931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671232"/>
        <c:crosses val="autoZero"/>
        <c:crossBetween val="midCat"/>
      </c:valAx>
      <c:valAx>
        <c:axId val="14067123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66931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DA&gt;2.5 - Plot 3</a:t>
            </a:r>
            <a:endParaRPr lang="en-US"/>
          </a:p>
        </c:rich>
      </c:tx>
      <c:overlay val="0"/>
      <c:spPr>
        <a:noFill/>
        <a:ln>
          <a:noFill/>
        </a:ln>
        <a:effectLst/>
      </c:spPr>
    </c:title>
    <c:autoTitleDeleted val="0"/>
    <c:plotArea>
      <c:layout/>
      <c:scatterChart>
        <c:scatterStyle val="lineMarker"/>
        <c:varyColors val="0"/>
        <c:ser>
          <c:idx val="0"/>
          <c:order val="0"/>
          <c:tx>
            <c:strRef>
              <c:f>'Reference Standards'!$AA$296</c:f>
              <c:strCache>
                <c:ptCount val="1"/>
                <c:pt idx="0">
                  <c:v>67fghi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0319411424113533"/>
                  <c:y val="-0.6953025817762349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Standards'!$AB$296:$AF$296</c:f>
              <c:numCache>
                <c:formatCode>General</c:formatCode>
                <c:ptCount val="5"/>
                <c:pt idx="0">
                  <c:v>1.8</c:v>
                </c:pt>
                <c:pt idx="2">
                  <c:v>1.3</c:v>
                </c:pt>
                <c:pt idx="4">
                  <c:v>0.2</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6889-452C-9220-8968E331D6D2}"/>
            </c:ext>
          </c:extLst>
        </c:ser>
        <c:ser>
          <c:idx val="5"/>
          <c:order val="1"/>
          <c:tx>
            <c:strRef>
              <c:f>'Reference Standards'!$AA$296</c:f>
              <c:strCache>
                <c:ptCount val="1"/>
                <c:pt idx="0">
                  <c:v>67fghi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2571724620565079"/>
                  <c:y val="-0.2030165807713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Standards'!$AF$296:$AG$296</c:f>
              <c:numCache>
                <c:formatCode>General</c:formatCode>
                <c:ptCount val="2"/>
                <c:pt idx="0">
                  <c:v>0.2</c:v>
                </c:pt>
                <c:pt idx="1">
                  <c:v>0.08</c:v>
                </c:pt>
              </c:numCache>
            </c:numRef>
          </c:xVal>
          <c:yVal>
            <c:numRef>
              <c:f>'Reference Standards'!$AF$301:$AG$301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6889-452C-9220-8968E331D6D2}"/>
            </c:ext>
          </c:extLst>
        </c:ser>
        <c:ser>
          <c:idx val="4"/>
          <c:order val="2"/>
          <c:tx>
            <c:strRef>
              <c:f>'Reference Standards'!$AA$297</c:f>
              <c:strCache>
                <c:ptCount val="1"/>
                <c:pt idx="0">
                  <c:v>74b / DA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39883525895204197"/>
                  <c:y val="-0.5985517104777482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Standards'!$AB$297:$AF$297</c:f>
              <c:numCache>
                <c:formatCode>General</c:formatCode>
                <c:ptCount val="5"/>
                <c:pt idx="0">
                  <c:v>0.96</c:v>
                </c:pt>
                <c:pt idx="2">
                  <c:v>0.52</c:v>
                </c:pt>
                <c:pt idx="4">
                  <c:v>0.16</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6889-452C-9220-8968E331D6D2}"/>
            </c:ext>
          </c:extLst>
        </c:ser>
        <c:ser>
          <c:idx val="7"/>
          <c:order val="3"/>
          <c:tx>
            <c:strRef>
              <c:f>'Reference Standards'!$AA$297</c:f>
              <c:strCache>
                <c:ptCount val="1"/>
                <c:pt idx="0">
                  <c:v>74b / DA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5"/>
                </a:solidFill>
                <a:prstDash val="sysDot"/>
              </a:ln>
              <a:effectLst/>
            </c:spPr>
            <c:trendlineType val="linear"/>
            <c:dispRSqr val="0"/>
            <c:dispEq val="1"/>
            <c:trendlineLbl>
              <c:layout>
                <c:manualLayout>
                  <c:x val="0.21358390916557438"/>
                  <c:y val="-0.100475564471318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Standards'!$AF$297:$AG$297</c:f>
              <c:numCache>
                <c:formatCode>General</c:formatCode>
                <c:ptCount val="2"/>
                <c:pt idx="0">
                  <c:v>0.16</c:v>
                </c:pt>
                <c:pt idx="1">
                  <c:v>0.12</c:v>
                </c:pt>
              </c:numCache>
            </c:numRef>
          </c:xVal>
          <c:yVal>
            <c:numRef>
              <c:f>'Reference Standards'!$AF$301:$AG$301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6889-452C-9220-8968E331D6D2}"/>
            </c:ext>
          </c:extLst>
        </c:ser>
        <c:ser>
          <c:idx val="6"/>
          <c:order val="4"/>
          <c:tx>
            <c:strRef>
              <c:f>'Reference Standards'!$AA$298</c:f>
              <c:strCache>
                <c:ptCount val="1"/>
                <c:pt idx="0">
                  <c:v>66d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37268212721748184"/>
                  <c:y val="-0.498679843330923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Standards'!$AB$298:$AF$298</c:f>
              <c:numCache>
                <c:formatCode>General</c:formatCode>
                <c:ptCount val="5"/>
                <c:pt idx="0">
                  <c:v>0.75</c:v>
                </c:pt>
                <c:pt idx="2">
                  <c:v>0.51</c:v>
                </c:pt>
                <c:pt idx="4">
                  <c:v>0.2</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6889-452C-9220-8968E331D6D2}"/>
            </c:ext>
          </c:extLst>
        </c:ser>
        <c:ser>
          <c:idx val="1"/>
          <c:order val="5"/>
          <c:tx>
            <c:strRef>
              <c:f>'Reference Standards'!$AA$298</c:f>
              <c:strCache>
                <c:ptCount val="1"/>
                <c:pt idx="0">
                  <c:v>66d / DA &gt; 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2230161974376109"/>
                  <c:y val="3.3964790251876653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Standards'!$AF$298:$AG$298</c:f>
              <c:numCache>
                <c:formatCode>General</c:formatCode>
                <c:ptCount val="2"/>
                <c:pt idx="0">
                  <c:v>0.2</c:v>
                </c:pt>
                <c:pt idx="1">
                  <c:v>0.13</c:v>
                </c:pt>
              </c:numCache>
            </c:numRef>
          </c:xVal>
          <c:yVal>
            <c:numRef>
              <c:f>'Reference Standards'!$AF$301:$AG$301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6889-452C-9220-8968E331D6D2}"/>
            </c:ext>
          </c:extLst>
        </c:ser>
        <c:ser>
          <c:idx val="3"/>
          <c:order val="6"/>
          <c:tx>
            <c:strRef>
              <c:f>'Reference Standards'!$AA$299</c:f>
              <c:strCache>
                <c:ptCount val="1"/>
                <c:pt idx="0">
                  <c:v>71ghi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4"/>
                </a:solidFill>
                <a:prstDash val="sysDot"/>
              </a:ln>
              <a:effectLst/>
            </c:spPr>
            <c:trendlineType val="poly"/>
            <c:order val="2"/>
            <c:dispRSqr val="0"/>
            <c:dispEq val="1"/>
            <c:trendlineLbl>
              <c:layout>
                <c:manualLayout>
                  <c:x val="0.40755296953022868"/>
                  <c:y val="-0.3863239927907454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Standards'!$AB$299:$AF$299</c:f>
              <c:numCache>
                <c:formatCode>General</c:formatCode>
                <c:ptCount val="5"/>
                <c:pt idx="0">
                  <c:v>1.68</c:v>
                </c:pt>
                <c:pt idx="2">
                  <c:v>1.1599999999999999</c:v>
                </c:pt>
                <c:pt idx="4">
                  <c:v>0.23</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D-6889-452C-9220-8968E331D6D2}"/>
            </c:ext>
          </c:extLst>
        </c:ser>
        <c:ser>
          <c:idx val="2"/>
          <c:order val="7"/>
          <c:tx>
            <c:strRef>
              <c:f>'Reference Standards'!$AA$299</c:f>
              <c:strCache>
                <c:ptCount val="1"/>
                <c:pt idx="0">
                  <c:v>71ghi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4"/>
                </a:solidFill>
                <a:prstDash val="sysDot"/>
              </a:ln>
              <a:effectLst/>
            </c:spPr>
            <c:trendlineType val="linear"/>
            <c:dispRSqr val="0"/>
            <c:dispEq val="1"/>
            <c:trendlineLbl>
              <c:layout>
                <c:manualLayout>
                  <c:x val="0.1917896327201076"/>
                  <c:y val="0.1282363129587187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Standards'!$AF$299:$AG$299</c:f>
              <c:numCache>
                <c:formatCode>General</c:formatCode>
                <c:ptCount val="2"/>
                <c:pt idx="0">
                  <c:v>0.23</c:v>
                </c:pt>
                <c:pt idx="1">
                  <c:v>0.08</c:v>
                </c:pt>
              </c:numCache>
            </c:numRef>
          </c:xVal>
          <c:yVal>
            <c:numRef>
              <c:f>'Reference Standards'!$AF$301:$AG$301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F-6889-452C-9220-8968E331D6D2}"/>
            </c:ext>
          </c:extLst>
        </c:ser>
        <c:ser>
          <c:idx val="8"/>
          <c:order val="8"/>
          <c:tx>
            <c:strRef>
              <c:f>'Reference Standards'!$AA$300</c:f>
              <c:strCache>
                <c:ptCount val="1"/>
                <c:pt idx="0">
                  <c:v>71e / DA &gt; 2.5 </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trendline>
            <c:spPr>
              <a:ln w="19050" cap="rnd">
                <a:solidFill>
                  <a:schemeClr val="accent3">
                    <a:lumMod val="60000"/>
                  </a:schemeClr>
                </a:solidFill>
                <a:prstDash val="sysDot"/>
              </a:ln>
              <a:effectLst/>
            </c:spPr>
            <c:trendlineType val="poly"/>
            <c:order val="3"/>
            <c:dispRSqr val="0"/>
            <c:dispEq val="1"/>
            <c:trendlineLbl>
              <c:layout>
                <c:manualLayout>
                  <c:x val="7.1889364701989866E-2"/>
                  <c:y val="-0.1772172709520806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Standards'!$AB$300:$AF$300</c:f>
              <c:numCache>
                <c:formatCode>General</c:formatCode>
                <c:ptCount val="5"/>
                <c:pt idx="0">
                  <c:v>5.3</c:v>
                </c:pt>
                <c:pt idx="2">
                  <c:v>4.2</c:v>
                </c:pt>
                <c:pt idx="4">
                  <c:v>1.395</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10-6889-452C-9220-8968E331D6D2}"/>
            </c:ext>
          </c:extLst>
        </c:ser>
        <c:ser>
          <c:idx val="9"/>
          <c:order val="9"/>
          <c:tx>
            <c:strRef>
              <c:f>'Reference Standards'!$AA$300</c:f>
              <c:strCache>
                <c:ptCount val="1"/>
                <c:pt idx="0">
                  <c:v>71e / DA &gt; 2.5 </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trendline>
            <c:spPr>
              <a:ln w="19050" cap="rnd">
                <a:solidFill>
                  <a:schemeClr val="accent4">
                    <a:lumMod val="60000"/>
                  </a:schemeClr>
                </a:solidFill>
                <a:prstDash val="sysDot"/>
              </a:ln>
              <a:effectLst/>
            </c:spPr>
            <c:trendlineType val="linear"/>
            <c:dispRSqr val="0"/>
            <c:dispEq val="1"/>
            <c:trendlineLbl>
              <c:layout>
                <c:manualLayout>
                  <c:x val="0.22230161974376109"/>
                  <c:y val="0.262439134437264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Standards'!$AF$300:$AG$300</c:f>
              <c:numCache>
                <c:formatCode>General</c:formatCode>
                <c:ptCount val="2"/>
                <c:pt idx="0">
                  <c:v>1.395</c:v>
                </c:pt>
                <c:pt idx="1">
                  <c:v>0.94</c:v>
                </c:pt>
              </c:numCache>
            </c:numRef>
          </c:xVal>
          <c:yVal>
            <c:numRef>
              <c:f>'Reference Standards'!$AF$301:$AG$301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2-6889-452C-9220-8968E331D6D2}"/>
            </c:ext>
          </c:extLst>
        </c:ser>
        <c:dLbls>
          <c:showLegendKey val="0"/>
          <c:showVal val="0"/>
          <c:showCatName val="0"/>
          <c:showSerName val="0"/>
          <c:showPercent val="0"/>
          <c:showBubbleSize val="0"/>
        </c:dLbls>
        <c:axId val="140416896"/>
        <c:axId val="140439552"/>
      </c:scatterChart>
      <c:valAx>
        <c:axId val="14041689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439552"/>
        <c:crosses val="autoZero"/>
        <c:crossBetween val="midCat"/>
      </c:valAx>
      <c:valAx>
        <c:axId val="14043955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41689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Colluvial Valleys</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3972303804460601"/>
                  <c:y val="-0.2096330249815789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Standards'!$S$756:$X$756</c:f>
              <c:numCache>
                <c:formatCode>General</c:formatCode>
                <c:ptCount val="6"/>
                <c:pt idx="2">
                  <c:v>1.3</c:v>
                </c:pt>
                <c:pt idx="3">
                  <c:v>1.21</c:v>
                </c:pt>
              </c:numCache>
            </c:numRef>
          </c:xVal>
          <c:yVal>
            <c:numRef>
              <c:f>'Reference Standards'!$S$757:$X$757</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08D2-446D-B575-73007C2F2446}"/>
            </c:ext>
          </c:extLst>
        </c:ser>
        <c:ser>
          <c:idx val="1"/>
          <c:order val="1"/>
          <c:tx>
            <c:v>Floor</c:v>
          </c:tx>
          <c:spPr>
            <a:ln w="25400" cap="rnd">
              <a:solidFill>
                <a:srgbClr val="FF0000"/>
              </a:solidFill>
              <a:round/>
            </a:ln>
            <a:effectLst/>
          </c:spPr>
          <c:marker>
            <c:symbol val="none"/>
          </c:marker>
          <c:xVal>
            <c:numLit>
              <c:formatCode>General</c:formatCode>
              <c:ptCount val="2"/>
              <c:pt idx="0">
                <c:v>1.31</c:v>
              </c:pt>
              <c:pt idx="1">
                <c:v>2</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2-08D2-446D-B575-73007C2F2446}"/>
            </c:ext>
          </c:extLst>
        </c:ser>
        <c:ser>
          <c:idx val="2"/>
          <c:order val="2"/>
          <c:tx>
            <c:v>Crest</c:v>
          </c:tx>
          <c:spPr>
            <a:ln w="25400" cap="rnd">
              <a:solidFill>
                <a:srgbClr val="FF0000"/>
              </a:solidFill>
              <a:round/>
            </a:ln>
            <a:effectLst/>
          </c:spPr>
          <c:marker>
            <c:symbol val="none"/>
          </c:marker>
          <c:xVal>
            <c:numLit>
              <c:formatCode>General</c:formatCode>
              <c:ptCount val="2"/>
              <c:pt idx="0">
                <c:v>1</c:v>
              </c:pt>
              <c:pt idx="1">
                <c:v>1.2</c:v>
              </c:pt>
            </c:numLit>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3-08D2-446D-B575-73007C2F2446}"/>
            </c:ext>
          </c:extLst>
        </c:ser>
        <c:dLbls>
          <c:showLegendKey val="0"/>
          <c:showVal val="0"/>
          <c:showCatName val="0"/>
          <c:showSerName val="0"/>
          <c:showPercent val="0"/>
          <c:showBubbleSize val="0"/>
        </c:dLbls>
        <c:axId val="140467584"/>
        <c:axId val="140473856"/>
      </c:scatterChart>
      <c:valAx>
        <c:axId val="140467584"/>
        <c:scaling>
          <c:orientation val="minMax"/>
          <c:max val="1.8"/>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473856"/>
        <c:crosses val="autoZero"/>
        <c:crossBetween val="midCat"/>
      </c:valAx>
      <c:valAx>
        <c:axId val="14047385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4675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4"/>
          <c:order val="0"/>
          <c:tx>
            <c:strRef>
              <c:f>'Data Summary R2'!$B$7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4-92C8-4EBD-977B-3E233368AC59}"/>
            </c:ext>
          </c:extLst>
        </c:ser>
        <c:ser>
          <c:idx val="5"/>
          <c:order val="1"/>
          <c:tx>
            <c:strRef>
              <c:f>'Data Summary R2'!$B$9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92C8-4EBD-977B-3E233368AC59}"/>
            </c:ext>
          </c:extLst>
        </c:ser>
        <c:ser>
          <c:idx val="6"/>
          <c:order val="2"/>
          <c:tx>
            <c:strRef>
              <c:f>'Data Summary R2'!$B$10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6-92C8-4EBD-977B-3E233368AC59}"/>
            </c:ext>
          </c:extLst>
        </c:ser>
        <c:ser>
          <c:idx val="7"/>
          <c:order val="3"/>
          <c:tx>
            <c:strRef>
              <c:f>'Data Summary R2'!$B$12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15899776"/>
        <c:axId val="115902336"/>
      </c:scatterChart>
      <c:valAx>
        <c:axId val="11589977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5902336"/>
        <c:crosses val="autoZero"/>
        <c:crossBetween val="midCat"/>
      </c:valAx>
      <c:valAx>
        <c:axId val="1159023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589977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LWD Pieces</a:t>
            </a:r>
          </a:p>
        </c:rich>
      </c:tx>
      <c:overlay val="0"/>
      <c:spPr>
        <a:noFill/>
        <a:ln>
          <a:noFill/>
        </a:ln>
        <a:effectLst/>
      </c:spPr>
    </c:title>
    <c:autoTitleDeleted val="0"/>
    <c:plotArea>
      <c:layout/>
      <c:scatterChart>
        <c:scatterStyle val="lineMarker"/>
        <c:varyColors val="0"/>
        <c:ser>
          <c:idx val="0"/>
          <c:order val="0"/>
          <c:tx>
            <c:strRef>
              <c:f>'Reference Standards'!$S$51:$T$51</c:f>
              <c:strCache>
                <c:ptCount val="1"/>
                <c:pt idx="0">
                  <c:v>66 &amp; 74/65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071197671041551"/>
                  <c:y val="0.29229092414297309"/>
                </c:manualLayout>
              </c:layout>
              <c:numFmt formatCode="0.00000E+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Standards'!$S$46:$W$46</c:f>
              <c:numCache>
                <c:formatCode>General</c:formatCode>
                <c:ptCount val="5"/>
                <c:pt idx="0">
                  <c:v>0</c:v>
                </c:pt>
                <c:pt idx="4">
                  <c:v>13</c:v>
                </c:pt>
              </c:numCache>
            </c:numRef>
          </c:xVal>
          <c:yVal>
            <c:numRef>
              <c:f>'Reference Standards'!$S$48:$W$48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C0F2-4820-85A2-8288E5321D06}"/>
            </c:ext>
          </c:extLst>
        </c:ser>
        <c:ser>
          <c:idx val="1"/>
          <c:order val="1"/>
          <c:tx>
            <c:strRef>
              <c:f>'Reference Standards'!$S$51:$T$51</c:f>
              <c:strCache>
                <c:ptCount val="1"/>
                <c:pt idx="0">
                  <c:v>66 &amp; 74/65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7228113354376649E-2"/>
                  <c:y val="0.1789576176883255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Standards'!$W$46:$X$46</c:f>
              <c:numCache>
                <c:formatCode>General</c:formatCode>
                <c:ptCount val="2"/>
                <c:pt idx="0">
                  <c:v>13</c:v>
                </c:pt>
                <c:pt idx="1">
                  <c:v>30</c:v>
                </c:pt>
              </c:numCache>
            </c:numRef>
          </c:xVal>
          <c:yVal>
            <c:numRef>
              <c:f>'Reference Standards'!$W$48:$X$48</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C0F2-4820-85A2-8288E5321D06}"/>
            </c:ext>
          </c:extLst>
        </c:ser>
        <c:ser>
          <c:idx val="2"/>
          <c:order val="2"/>
          <c:tx>
            <c:strRef>
              <c:f>'Reference Standards'!$U$51:$V$51</c:f>
              <c:strCache>
                <c:ptCount val="1"/>
                <c:pt idx="0">
                  <c:v>67, 68/69, &amp; 71</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2.8779963420108131E-2"/>
                  <c:y val="-4.0534402029878347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Standards'!$S$47:$W$47</c:f>
              <c:numCache>
                <c:formatCode>General</c:formatCode>
                <c:ptCount val="5"/>
                <c:pt idx="0">
                  <c:v>0</c:v>
                </c:pt>
                <c:pt idx="4">
                  <c:v>9</c:v>
                </c:pt>
              </c:numCache>
            </c:numRef>
          </c:xVal>
          <c:yVal>
            <c:numRef>
              <c:f>'Reference Standards'!$S$48:$W$48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2-2E19-4A5A-880F-0124AA7D777F}"/>
            </c:ext>
          </c:extLst>
        </c:ser>
        <c:ser>
          <c:idx val="3"/>
          <c:order val="3"/>
          <c:tx>
            <c:strRef>
              <c:f>'Reference Standards'!$U$51:$V$51</c:f>
              <c:strCache>
                <c:ptCount val="1"/>
                <c:pt idx="0">
                  <c:v>67, 68/69, &amp; 71</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5.1831321684485773E-2"/>
                  <c:y val="-2.5601948167142417E-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Standards'!$W$47:$X$47</c:f>
              <c:numCache>
                <c:formatCode>General</c:formatCode>
                <c:ptCount val="2"/>
                <c:pt idx="0">
                  <c:v>9</c:v>
                </c:pt>
                <c:pt idx="1">
                  <c:v>16</c:v>
                </c:pt>
              </c:numCache>
            </c:numRef>
          </c:xVal>
          <c:yVal>
            <c:numRef>
              <c:f>'Reference Standards'!$W$48:$X$48</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2E19-4A5A-880F-0124AA7D777F}"/>
            </c:ext>
          </c:extLst>
        </c:ser>
        <c:dLbls>
          <c:showLegendKey val="0"/>
          <c:showVal val="0"/>
          <c:showCatName val="0"/>
          <c:showSerName val="0"/>
          <c:showPercent val="0"/>
          <c:showBubbleSize val="0"/>
        </c:dLbls>
        <c:axId val="140538624"/>
        <c:axId val="140540544"/>
      </c:scatterChart>
      <c:valAx>
        <c:axId val="1405386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40544"/>
        <c:crosses val="autoZero"/>
        <c:crossBetween val="midCat"/>
      </c:valAx>
      <c:valAx>
        <c:axId val="1405405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3862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a:t>
            </a:r>
            <a:r>
              <a:rPr lang="en-US" sz="1400" b="0" i="0" u="none" strike="noStrike" baseline="0">
                <a:effectLst/>
              </a:rPr>
              <a:t>for Ecoregion 73, 74 &amp; 65</a:t>
            </a:r>
            <a:endParaRPr lang="en-US"/>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4.2118814544551096E-2"/>
                  <c:y val="0.32243092794085432"/>
                </c:manualLayout>
              </c:layout>
              <c:numFmt formatCode="#,##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Standards'!$S$595:$X$595</c:f>
              <c:numCache>
                <c:formatCode>General</c:formatCode>
                <c:ptCount val="6"/>
                <c:pt idx="0" formatCode="0">
                  <c:v>0</c:v>
                </c:pt>
                <c:pt idx="5">
                  <c:v>20</c:v>
                </c:pt>
              </c:numCache>
            </c:numRef>
          </c:xVal>
          <c:yVal>
            <c:numRef>
              <c:f>'Reference Standards'!$S$597:$X$597</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CD30-486C-B904-5AF285EEAEE7}"/>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3.8296303676762962E-2"/>
                  <c:y val="-0.424667838344046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Standards'!$S$596:$X$596</c:f>
              <c:numCache>
                <c:formatCode>General</c:formatCode>
                <c:ptCount val="6"/>
                <c:pt idx="0" formatCode="0">
                  <c:v>50</c:v>
                </c:pt>
                <c:pt idx="5">
                  <c:v>30</c:v>
                </c:pt>
              </c:numCache>
            </c:numRef>
          </c:xVal>
          <c:yVal>
            <c:numRef>
              <c:f>'Reference Standards'!$S$597:$X$597</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3-CD30-486C-B904-5AF285EEAEE7}"/>
            </c:ext>
          </c:extLst>
        </c:ser>
        <c:ser>
          <c:idx val="2"/>
          <c:order val="2"/>
          <c:tx>
            <c:v>Crest</c:v>
          </c:tx>
          <c:spPr>
            <a:ln w="25400" cap="rnd">
              <a:solidFill>
                <a:srgbClr val="FF0000"/>
              </a:solidFill>
              <a:round/>
            </a:ln>
            <a:effectLst/>
          </c:spPr>
          <c:marker>
            <c:symbol val="none"/>
          </c:marker>
          <c:xVal>
            <c:numRef>
              <c:f>('Reference Standards'!$X$595,'Reference Standards'!$X$596)</c:f>
              <c:numCache>
                <c:formatCode>General</c:formatCode>
                <c:ptCount val="2"/>
                <c:pt idx="0">
                  <c:v>20</c:v>
                </c:pt>
                <c:pt idx="1">
                  <c:v>30</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4-CD30-486C-B904-5AF285EEAEE7}"/>
            </c:ext>
          </c:extLst>
        </c:ser>
        <c:dLbls>
          <c:showLegendKey val="0"/>
          <c:showVal val="0"/>
          <c:showCatName val="0"/>
          <c:showSerName val="0"/>
          <c:showPercent val="0"/>
          <c:showBubbleSize val="0"/>
        </c:dLbls>
        <c:axId val="140582272"/>
        <c:axId val="140596736"/>
      </c:scatterChart>
      <c:valAx>
        <c:axId val="1405822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96736"/>
        <c:crosses val="autoZero"/>
        <c:crossBetween val="midCat"/>
      </c:valAx>
      <c:valAx>
        <c:axId val="14059673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822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Armoring</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9.2835389533630172E-2"/>
                  <c:y val="-0.6886582084349300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Standards'!$S$152:$X$152</c:f>
              <c:numCache>
                <c:formatCode>General</c:formatCode>
                <c:ptCount val="6"/>
                <c:pt idx="0">
                  <c:v>30</c:v>
                </c:pt>
                <c:pt idx="5">
                  <c:v>0</c:v>
                </c:pt>
              </c:numCache>
            </c:numRef>
          </c:xVal>
          <c:yVal>
            <c:numRef>
              <c:f>'Reference Standards'!$S$153:$X$153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11F6-453C-8211-7F3D937E53F0}"/>
            </c:ext>
          </c:extLst>
        </c:ser>
        <c:dLbls>
          <c:showLegendKey val="0"/>
          <c:showVal val="0"/>
          <c:showCatName val="0"/>
          <c:showSerName val="0"/>
          <c:showPercent val="0"/>
          <c:showBubbleSize val="0"/>
        </c:dLbls>
        <c:axId val="140630656"/>
        <c:axId val="140632832"/>
      </c:scatterChart>
      <c:valAx>
        <c:axId val="14063065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632832"/>
        <c:crosses val="autoZero"/>
        <c:crossBetween val="midCat"/>
      </c:valAx>
      <c:valAx>
        <c:axId val="14063283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6306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Native Shrub Cover</a:t>
            </a:r>
          </a:p>
        </c:rich>
      </c:tx>
      <c:layout>
        <c:manualLayout>
          <c:xMode val="edge"/>
          <c:yMode val="edge"/>
          <c:x val="0.38451377952755905"/>
          <c:y val="2.7777777777777776E-2"/>
        </c:manualLayout>
      </c:layout>
      <c:overlay val="0"/>
      <c:spPr>
        <a:noFill/>
        <a:ln>
          <a:noFill/>
        </a:ln>
        <a:effectLst/>
      </c:spPr>
    </c:title>
    <c:autoTitleDeleted val="0"/>
    <c:plotArea>
      <c:layout/>
      <c:scatterChart>
        <c:scatterStyle val="lineMarker"/>
        <c:varyColors val="0"/>
        <c:ser>
          <c:idx val="0"/>
          <c:order val="0"/>
          <c:tx>
            <c:v>rising</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699894338085525"/>
                  <c:y val="8.3773344460350313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100" baseline="0"/>
                      <a:t>y = 0.0005x</a:t>
                    </a:r>
                    <a:r>
                      <a:rPr lang="en-US" sz="1100" baseline="30000"/>
                      <a:t>2</a:t>
                    </a:r>
                    <a:r>
                      <a:rPr lang="en-US" sz="1100" baseline="0"/>
                      <a:t> + 0.0089x + 0.0008</a:t>
                    </a:r>
                    <a:endParaRPr lang="en-US" sz="1100"/>
                  </a:p>
                </c:rich>
              </c:tx>
              <c:numFmt formatCode="General" sourceLinked="0"/>
              <c:spPr>
                <a:noFill/>
                <a:ln>
                  <a:noFill/>
                </a:ln>
                <a:effectLst/>
              </c:spPr>
            </c:trendlineLbl>
          </c:trendline>
          <c:xVal>
            <c:numRef>
              <c:f>'Reference Standards'!$S$291:$X$291</c:f>
              <c:numCache>
                <c:formatCode>General</c:formatCode>
                <c:ptCount val="6"/>
                <c:pt idx="0">
                  <c:v>0</c:v>
                </c:pt>
                <c:pt idx="2">
                  <c:v>16.900000000000002</c:v>
                </c:pt>
                <c:pt idx="3">
                  <c:v>23.7</c:v>
                </c:pt>
                <c:pt idx="4">
                  <c:v>29.5</c:v>
                </c:pt>
                <c:pt idx="5">
                  <c:v>36.299999999999997</c:v>
                </c:pt>
              </c:numCache>
            </c:numRef>
          </c:xVal>
          <c:yVal>
            <c:numRef>
              <c:f>'Reference Standards'!$S$293:$X$293</c:f>
              <c:numCache>
                <c:formatCode>General</c:formatCode>
                <c:ptCount val="6"/>
                <c:pt idx="0">
                  <c:v>0</c:v>
                </c:pt>
                <c:pt idx="1">
                  <c:v>0.28999999999999998</c:v>
                </c:pt>
                <c:pt idx="2">
                  <c:v>0.3</c:v>
                </c:pt>
                <c:pt idx="3">
                  <c:v>0.5</c:v>
                </c:pt>
                <c:pt idx="4">
                  <c:v>0.7</c:v>
                </c:pt>
                <c:pt idx="5">
                  <c:v>1</c:v>
                </c:pt>
              </c:numCache>
            </c:numRef>
          </c:yVal>
          <c:smooth val="0"/>
          <c:extLst xmlns:c16r2="http://schemas.microsoft.com/office/drawing/2015/06/chart">
            <c:ext xmlns:c16="http://schemas.microsoft.com/office/drawing/2014/chart" uri="{C3380CC4-5D6E-409C-BE32-E72D297353CC}">
              <c16:uniqueId val="{00000001-DDE2-401D-BC1A-4DB33D98CDDC}"/>
            </c:ext>
          </c:extLst>
        </c:ser>
        <c:ser>
          <c:idx val="2"/>
          <c:order val="1"/>
          <c:tx>
            <c:v>flat</c:v>
          </c:tx>
          <c:spPr>
            <a:ln w="25400" cap="rnd">
              <a:noFill/>
              <a:round/>
            </a:ln>
            <a:effectLst/>
          </c:spPr>
          <c:marker>
            <c:symbol val="circle"/>
            <c:size val="5"/>
            <c:spPr>
              <a:solidFill>
                <a:schemeClr val="accent3"/>
              </a:solidFill>
              <a:ln w="9525">
                <a:solidFill>
                  <a:schemeClr val="accent3"/>
                </a:solidFill>
              </a:ln>
              <a:effectLst/>
            </c:spPr>
          </c:marker>
          <c:trendline>
            <c:spPr>
              <a:ln w="66675" cap="rnd">
                <a:solidFill>
                  <a:srgbClr val="FF0000"/>
                </a:solidFill>
                <a:prstDash val="solid"/>
              </a:ln>
              <a:effectLst/>
            </c:spPr>
            <c:trendlineType val="linear"/>
            <c:dispRSqr val="0"/>
            <c:dispEq val="0"/>
          </c:trendline>
          <c:xVal>
            <c:numRef>
              <c:f>'Reference Standards'!$X$291:$X$292</c:f>
              <c:numCache>
                <c:formatCode>General</c:formatCode>
                <c:ptCount val="2"/>
                <c:pt idx="0">
                  <c:v>36.299999999999997</c:v>
                </c:pt>
                <c:pt idx="1">
                  <c:v>68</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3-DDE2-401D-BC1A-4DB33D98CDDC}"/>
            </c:ext>
          </c:extLst>
        </c:ser>
        <c:ser>
          <c:idx val="1"/>
          <c:order val="2"/>
          <c:tx>
            <c:v>falling</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8.3786656341628837E-2"/>
                  <c:y val="-0.43215627550286057"/>
                </c:manualLayout>
              </c:layout>
              <c:numFmt formatCode="#,##0.0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Standards'!$S$292:$X$292</c:f>
              <c:numCache>
                <c:formatCode>General</c:formatCode>
                <c:ptCount val="6"/>
                <c:pt idx="0">
                  <c:v>100</c:v>
                </c:pt>
                <c:pt idx="2">
                  <c:v>83.6</c:v>
                </c:pt>
                <c:pt idx="3">
                  <c:v>78</c:v>
                </c:pt>
                <c:pt idx="4">
                  <c:v>73.5</c:v>
                </c:pt>
                <c:pt idx="5">
                  <c:v>68</c:v>
                </c:pt>
              </c:numCache>
            </c:numRef>
          </c:xVal>
          <c:yVal>
            <c:numRef>
              <c:f>'Reference Standards'!$S$293:$X$293</c:f>
              <c:numCache>
                <c:formatCode>General</c:formatCode>
                <c:ptCount val="6"/>
                <c:pt idx="0">
                  <c:v>0</c:v>
                </c:pt>
                <c:pt idx="1">
                  <c:v>0.28999999999999998</c:v>
                </c:pt>
                <c:pt idx="2">
                  <c:v>0.3</c:v>
                </c:pt>
                <c:pt idx="3">
                  <c:v>0.5</c:v>
                </c:pt>
                <c:pt idx="4">
                  <c:v>0.7</c:v>
                </c:pt>
                <c:pt idx="5">
                  <c:v>1</c:v>
                </c:pt>
              </c:numCache>
            </c:numRef>
          </c:yVal>
          <c:smooth val="0"/>
          <c:extLst xmlns:c16r2="http://schemas.microsoft.com/office/drawing/2015/06/chart">
            <c:ext xmlns:c16="http://schemas.microsoft.com/office/drawing/2014/chart" uri="{C3380CC4-5D6E-409C-BE32-E72D297353CC}">
              <c16:uniqueId val="{00000005-DDE2-401D-BC1A-4DB33D98CDDC}"/>
            </c:ext>
          </c:extLst>
        </c:ser>
        <c:dLbls>
          <c:showLegendKey val="0"/>
          <c:showVal val="0"/>
          <c:showCatName val="0"/>
          <c:showSerName val="0"/>
          <c:showPercent val="0"/>
          <c:showBubbleSize val="0"/>
        </c:dLbls>
        <c:axId val="141174656"/>
        <c:axId val="141189120"/>
      </c:scatterChart>
      <c:valAx>
        <c:axId val="141174656"/>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89120"/>
        <c:crosses val="autoZero"/>
        <c:crossBetween val="midCat"/>
      </c:valAx>
      <c:valAx>
        <c:axId val="14118912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746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Native Herbaceous Cover</a:t>
            </a:r>
            <a:endParaRPr lang="en-US" baseline="0"/>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0.10471463865328588"/>
                  <c:y val="2.0674249525708115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100" baseline="0">
                        <a:solidFill>
                          <a:schemeClr val="accent1"/>
                        </a:solidFill>
                      </a:rPr>
                      <a:t>y = 0.0133x</a:t>
                    </a:r>
                    <a:endParaRPr lang="en-US" sz="1100">
                      <a:solidFill>
                        <a:schemeClr val="accent1"/>
                      </a:solidFill>
                    </a:endParaRPr>
                  </a:p>
                </c:rich>
              </c:tx>
              <c:numFmt formatCode="General" sourceLinked="0"/>
              <c:spPr>
                <a:noFill/>
                <a:ln>
                  <a:noFill/>
                </a:ln>
                <a:effectLst/>
              </c:spPr>
            </c:trendlineLbl>
          </c:trendline>
          <c:xVal>
            <c:numRef>
              <c:f>'Reference Standards'!$S$326:$X$326</c:f>
              <c:numCache>
                <c:formatCode>General</c:formatCode>
                <c:ptCount val="6"/>
                <c:pt idx="0">
                  <c:v>0</c:v>
                </c:pt>
                <c:pt idx="5">
                  <c:v>75</c:v>
                </c:pt>
              </c:numCache>
            </c:numRef>
          </c:xVal>
          <c:yVal>
            <c:numRef>
              <c:f>'Reference Standards'!$S$327:$X$327</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2-387E-40B4-92D3-1EAFF32FA327}"/>
            </c:ext>
          </c:extLst>
        </c:ser>
        <c:dLbls>
          <c:showLegendKey val="0"/>
          <c:showVal val="0"/>
          <c:showCatName val="0"/>
          <c:showSerName val="0"/>
          <c:showPercent val="0"/>
          <c:showBubbleSize val="0"/>
        </c:dLbls>
        <c:axId val="141220096"/>
        <c:axId val="140837248"/>
      </c:scatterChart>
      <c:valAx>
        <c:axId val="141220096"/>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37248"/>
        <c:crosses val="autoZero"/>
        <c:crossBetween val="midCat"/>
      </c:valAx>
      <c:valAx>
        <c:axId val="1408372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2200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5"/>
          <c:order val="0"/>
          <c:tx>
            <c:strRef>
              <c:f>'Data Summary R2'!$A$25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1-53E5-43F6-935D-28E090B64FB7}"/>
            </c:ext>
          </c:extLst>
        </c:ser>
        <c:ser>
          <c:idx val="6"/>
          <c:order val="1"/>
          <c:tx>
            <c:strRef>
              <c:f>'Data Summary R2'!$A$26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2-53E5-43F6-935D-28E090B64FB7}"/>
            </c:ext>
          </c:extLst>
        </c:ser>
        <c:ser>
          <c:idx val="4"/>
          <c:order val="2"/>
          <c:tx>
            <c:strRef>
              <c:f>'Data Summary R2'!$A$27:$B$27</c:f>
              <c:strCache>
                <c:ptCount val="1"/>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53E5-43F6-935D-28E090B64FB7}"/>
            </c:ext>
          </c:extLst>
        </c:ser>
        <c:ser>
          <c:idx val="7"/>
          <c:order val="3"/>
          <c:tx>
            <c:strRef>
              <c:f>'Data Summary R2'!$A$28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3-53E5-43F6-935D-28E090B64FB7}"/>
            </c:ext>
          </c:extLst>
        </c:ser>
        <c:ser>
          <c:idx val="1"/>
          <c:order val="4"/>
          <c:tx>
            <c:strRef>
              <c:f>'Data Summary R2'!$A$29:$B$29</c:f>
              <c:strCache>
                <c:ptCount val="1"/>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15966336"/>
        <c:axId val="115968640"/>
      </c:scatterChart>
      <c:valAx>
        <c:axId val="11596633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5968640"/>
        <c:crosses val="autoZero"/>
        <c:crossBetween val="midCat"/>
      </c:valAx>
      <c:valAx>
        <c:axId val="11596864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596633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1"/>
          <c:order val="0"/>
          <c:tx>
            <c:strRef>
              <c:f>'Data Summary R3'!$C$23:$C$24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R3'!$F$24,'Data Summary R3'!$A$35)</c:f>
              <c:numCache>
                <c:formatCode>General</c:formatCode>
                <c:ptCount val="2"/>
                <c:pt idx="0">
                  <c:v>#N/A</c:v>
                </c:pt>
                <c:pt idx="1">
                  <c:v>#N/A</c:v>
                </c:pt>
              </c:numCache>
            </c:numRef>
          </c:xVal>
          <c:yVal>
            <c:numRef>
              <c:f>('Data Summary R3'!$C$30,'Data Summary R3'!$C$30)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0-377C-4EA9-9858-DD24FD97EF7F}"/>
            </c:ext>
          </c:extLst>
        </c:ser>
        <c:ser>
          <c:idx val="2"/>
          <c:order val="1"/>
          <c:tx>
            <c:strRef>
              <c:f>'Data Summary R3'!$D$23:$D$24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R3'!$F$24,'Data Summary R3'!$A$35)</c:f>
              <c:numCache>
                <c:formatCode>General</c:formatCode>
                <c:ptCount val="2"/>
                <c:pt idx="0">
                  <c:v>#N/A</c:v>
                </c:pt>
                <c:pt idx="1">
                  <c:v>#N/A</c:v>
                </c:pt>
              </c:numCache>
            </c:numRef>
          </c:xVal>
          <c:yVal>
            <c:numRef>
              <c:f>('Data Summary R3'!$D$30,'Data Summary R3'!$D$30)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377C-4EA9-9858-DD24FD97EF7F}"/>
            </c:ext>
          </c:extLst>
        </c:ser>
        <c:ser>
          <c:idx val="3"/>
          <c:order val="2"/>
          <c:tx>
            <c:strRef>
              <c:f>'Data Summary R3'!$E$23:$E$24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R3'!$F$24,'Data Summary R3'!$A$35)</c:f>
              <c:numCache>
                <c:formatCode>General</c:formatCode>
                <c:ptCount val="2"/>
                <c:pt idx="0">
                  <c:v>#N/A</c:v>
                </c:pt>
                <c:pt idx="1">
                  <c:v>#N/A</c:v>
                </c:pt>
              </c:numCache>
            </c:numRef>
          </c:xVal>
          <c:yVal>
            <c:numRef>
              <c:f>('Data Summary R3'!$E$30,'Data Summary R3'!$E$30)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25569280"/>
        <c:axId val="125580032"/>
      </c:scatterChart>
      <c:valAx>
        <c:axId val="12556928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5580032"/>
        <c:crosses val="autoZero"/>
        <c:crossBetween val="midCat"/>
      </c:valAx>
      <c:valAx>
        <c:axId val="12558003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55692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3" Type="http://schemas.openxmlformats.org/officeDocument/2006/relationships/chart" Target="../charts/chart23.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8" Type="http://schemas.openxmlformats.org/officeDocument/2006/relationships/chart" Target="../charts/chart28.xml"/><Relationship Id="rId51" Type="http://schemas.openxmlformats.org/officeDocument/2006/relationships/chart" Target="../charts/chart71.xml"/></Relationships>
</file>

<file path=xl/drawings/drawing1.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a16="http://schemas.microsoft.com/office/drawing/2014/main" xmlns=""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a16="http://schemas.microsoft.com/office/drawing/2014/main" xmlns=""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a16="http://schemas.microsoft.com/office/drawing/2014/main" xmlns=""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a16="http://schemas.microsoft.com/office/drawing/2014/main" xmlns=""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a16="http://schemas.microsoft.com/office/drawing/2014/main" xmlns=""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a16="http://schemas.microsoft.com/office/drawing/2014/main" xmlns=""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a16="http://schemas.microsoft.com/office/drawing/2014/main" xmlns=""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a16="http://schemas.microsoft.com/office/drawing/2014/main" xmlns=""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a16="http://schemas.microsoft.com/office/drawing/2014/main" xmlns=""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a16="http://schemas.microsoft.com/office/drawing/2014/main" xmlns=""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a16="http://schemas.microsoft.com/office/drawing/2014/main" xmlns=""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a16="http://schemas.microsoft.com/office/drawing/2014/main" xmlns=""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a16="http://schemas.microsoft.com/office/drawing/2014/main" xmlns=""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16329</xdr:colOff>
      <xdr:row>16</xdr:row>
      <xdr:rowOff>58512</xdr:rowOff>
    </xdr:from>
    <xdr:to>
      <xdr:col>15</xdr:col>
      <xdr:colOff>771525</xdr:colOff>
      <xdr:row>40</xdr:row>
      <xdr:rowOff>57149</xdr:rowOff>
    </xdr:to>
    <xdr:graphicFrame macro="">
      <xdr:nvGraphicFramePr>
        <xdr:cNvPr id="2" name="Chart 1">
          <a:extLst>
            <a:ext uri="{FF2B5EF4-FFF2-40B4-BE49-F238E27FC236}">
              <a16:creationId xmlns:a16="http://schemas.microsoft.com/office/drawing/2014/main" xmlns=""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42182</xdr:colOff>
      <xdr:row>50</xdr:row>
      <xdr:rowOff>50346</xdr:rowOff>
    </xdr:from>
    <xdr:to>
      <xdr:col>16</xdr:col>
      <xdr:colOff>0</xdr:colOff>
      <xdr:row>74</xdr:row>
      <xdr:rowOff>9525</xdr:rowOff>
    </xdr:to>
    <xdr:graphicFrame macro="">
      <xdr:nvGraphicFramePr>
        <xdr:cNvPr id="3" name="Chart 2">
          <a:extLst>
            <a:ext uri="{FF2B5EF4-FFF2-40B4-BE49-F238E27FC236}">
              <a16:creationId xmlns:a16="http://schemas.microsoft.com/office/drawing/2014/main" xmlns=""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63954</xdr:colOff>
      <xdr:row>85</xdr:row>
      <xdr:rowOff>99331</xdr:rowOff>
    </xdr:from>
    <xdr:to>
      <xdr:col>15</xdr:col>
      <xdr:colOff>742950</xdr:colOff>
      <xdr:row>108</xdr:row>
      <xdr:rowOff>114300</xdr:rowOff>
    </xdr:to>
    <xdr:graphicFrame macro="">
      <xdr:nvGraphicFramePr>
        <xdr:cNvPr id="4" name="Chart 3">
          <a:extLst>
            <a:ext uri="{FF2B5EF4-FFF2-40B4-BE49-F238E27FC236}">
              <a16:creationId xmlns:a16="http://schemas.microsoft.com/office/drawing/2014/main" xmlns=""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39459</xdr:colOff>
      <xdr:row>19</xdr:row>
      <xdr:rowOff>44903</xdr:rowOff>
    </xdr:from>
    <xdr:to>
      <xdr:col>25</xdr:col>
      <xdr:colOff>653142</xdr:colOff>
      <xdr:row>43</xdr:row>
      <xdr:rowOff>57150</xdr:rowOff>
    </xdr:to>
    <xdr:graphicFrame macro="">
      <xdr:nvGraphicFramePr>
        <xdr:cNvPr id="5" name="Chart 4">
          <a:extLst>
            <a:ext uri="{FF2B5EF4-FFF2-40B4-BE49-F238E27FC236}">
              <a16:creationId xmlns:a16="http://schemas.microsoft.com/office/drawing/2014/main" xmlns=""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148316</xdr:colOff>
      <xdr:row>399</xdr:row>
      <xdr:rowOff>53069</xdr:rowOff>
    </xdr:from>
    <xdr:to>
      <xdr:col>23</xdr:col>
      <xdr:colOff>762000</xdr:colOff>
      <xdr:row>422</xdr:row>
      <xdr:rowOff>104775</xdr:rowOff>
    </xdr:to>
    <xdr:graphicFrame macro="">
      <xdr:nvGraphicFramePr>
        <xdr:cNvPr id="9" name="Chart 8">
          <a:extLst>
            <a:ext uri="{FF2B5EF4-FFF2-40B4-BE49-F238E27FC236}">
              <a16:creationId xmlns:a16="http://schemas.microsoft.com/office/drawing/2014/main" xmlns=""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50746</xdr:colOff>
      <xdr:row>431</xdr:row>
      <xdr:rowOff>90287</xdr:rowOff>
    </xdr:from>
    <xdr:to>
      <xdr:col>23</xdr:col>
      <xdr:colOff>708212</xdr:colOff>
      <xdr:row>453</xdr:row>
      <xdr:rowOff>169209</xdr:rowOff>
    </xdr:to>
    <xdr:graphicFrame macro="">
      <xdr:nvGraphicFramePr>
        <xdr:cNvPr id="10" name="Chart 9">
          <a:extLst>
            <a:ext uri="{FF2B5EF4-FFF2-40B4-BE49-F238E27FC236}">
              <a16:creationId xmlns:a16="http://schemas.microsoft.com/office/drawing/2014/main" xmlns=""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65770</xdr:colOff>
      <xdr:row>465</xdr:row>
      <xdr:rowOff>78469</xdr:rowOff>
    </xdr:from>
    <xdr:to>
      <xdr:col>23</xdr:col>
      <xdr:colOff>733425</xdr:colOff>
      <xdr:row>488</xdr:row>
      <xdr:rowOff>38100</xdr:rowOff>
    </xdr:to>
    <xdr:graphicFrame macro="">
      <xdr:nvGraphicFramePr>
        <xdr:cNvPr id="13" name="Chart 12">
          <a:extLst>
            <a:ext uri="{FF2B5EF4-FFF2-40B4-BE49-F238E27FC236}">
              <a16:creationId xmlns:a16="http://schemas.microsoft.com/office/drawing/2014/main" xmlns=""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76079</xdr:colOff>
      <xdr:row>669</xdr:row>
      <xdr:rowOff>66475</xdr:rowOff>
    </xdr:from>
    <xdr:to>
      <xdr:col>23</xdr:col>
      <xdr:colOff>704850</xdr:colOff>
      <xdr:row>691</xdr:row>
      <xdr:rowOff>95251</xdr:rowOff>
    </xdr:to>
    <xdr:graphicFrame macro="">
      <xdr:nvGraphicFramePr>
        <xdr:cNvPr id="16" name="Chart 15">
          <a:extLst>
            <a:ext uri="{FF2B5EF4-FFF2-40B4-BE49-F238E27FC236}">
              <a16:creationId xmlns:a16="http://schemas.microsoft.com/office/drawing/2014/main" xmlns=""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40822</xdr:colOff>
      <xdr:row>499</xdr:row>
      <xdr:rowOff>60551</xdr:rowOff>
    </xdr:from>
    <xdr:to>
      <xdr:col>23</xdr:col>
      <xdr:colOff>704850</xdr:colOff>
      <xdr:row>522</xdr:row>
      <xdr:rowOff>83004</xdr:rowOff>
    </xdr:to>
    <xdr:graphicFrame macro="">
      <xdr:nvGraphicFramePr>
        <xdr:cNvPr id="17" name="Chart 16">
          <a:extLst>
            <a:ext uri="{FF2B5EF4-FFF2-40B4-BE49-F238E27FC236}">
              <a16:creationId xmlns:a16="http://schemas.microsoft.com/office/drawing/2014/main" xmlns=""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61231</xdr:colOff>
      <xdr:row>592</xdr:row>
      <xdr:rowOff>0</xdr:rowOff>
    </xdr:from>
    <xdr:to>
      <xdr:col>25</xdr:col>
      <xdr:colOff>88446</xdr:colOff>
      <xdr:row>592</xdr:row>
      <xdr:rowOff>0</xdr:rowOff>
    </xdr:to>
    <xdr:graphicFrame macro="">
      <xdr:nvGraphicFramePr>
        <xdr:cNvPr id="18" name="Chart 17">
          <a:extLst>
            <a:ext uri="{FF2B5EF4-FFF2-40B4-BE49-F238E27FC236}">
              <a16:creationId xmlns:a16="http://schemas.microsoft.com/office/drawing/2014/main" xmlns="" id="{00000000-0008-0000-1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108177</xdr:colOff>
      <xdr:row>534</xdr:row>
      <xdr:rowOff>70077</xdr:rowOff>
    </xdr:from>
    <xdr:to>
      <xdr:col>24</xdr:col>
      <xdr:colOff>8964</xdr:colOff>
      <xdr:row>557</xdr:row>
      <xdr:rowOff>161925</xdr:rowOff>
    </xdr:to>
    <xdr:graphicFrame macro="">
      <xdr:nvGraphicFramePr>
        <xdr:cNvPr id="19" name="Chart 18">
          <a:extLst>
            <a:ext uri="{FF2B5EF4-FFF2-40B4-BE49-F238E27FC236}">
              <a16:creationId xmlns:a16="http://schemas.microsoft.com/office/drawing/2014/main" xmlns=""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61232</xdr:colOff>
      <xdr:row>625</xdr:row>
      <xdr:rowOff>0</xdr:rowOff>
    </xdr:from>
    <xdr:to>
      <xdr:col>25</xdr:col>
      <xdr:colOff>88446</xdr:colOff>
      <xdr:row>625</xdr:row>
      <xdr:rowOff>0</xdr:rowOff>
    </xdr:to>
    <xdr:graphicFrame macro="">
      <xdr:nvGraphicFramePr>
        <xdr:cNvPr id="20" name="Chart 19">
          <a:extLst>
            <a:ext uri="{FF2B5EF4-FFF2-40B4-BE49-F238E27FC236}">
              <a16:creationId xmlns:a16="http://schemas.microsoft.com/office/drawing/2014/main" xmlns=""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138113</xdr:colOff>
      <xdr:row>702</xdr:row>
      <xdr:rowOff>77561</xdr:rowOff>
    </xdr:from>
    <xdr:to>
      <xdr:col>23</xdr:col>
      <xdr:colOff>695325</xdr:colOff>
      <xdr:row>721</xdr:row>
      <xdr:rowOff>57151</xdr:rowOff>
    </xdr:to>
    <xdr:graphicFrame macro="">
      <xdr:nvGraphicFramePr>
        <xdr:cNvPr id="21" name="Chart 20">
          <a:extLst>
            <a:ext uri="{FF2B5EF4-FFF2-40B4-BE49-F238E27FC236}">
              <a16:creationId xmlns:a16="http://schemas.microsoft.com/office/drawing/2014/main" xmlns=""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85725</xdr:colOff>
      <xdr:row>261</xdr:row>
      <xdr:rowOff>57150</xdr:rowOff>
    </xdr:from>
    <xdr:to>
      <xdr:col>23</xdr:col>
      <xdr:colOff>723900</xdr:colOff>
      <xdr:row>287</xdr:row>
      <xdr:rowOff>66675</xdr:rowOff>
    </xdr:to>
    <xdr:graphicFrame macro="">
      <xdr:nvGraphicFramePr>
        <xdr:cNvPr id="24" name="Chart 23">
          <a:extLst>
            <a:ext uri="{FF2B5EF4-FFF2-40B4-BE49-F238E27FC236}">
              <a16:creationId xmlns:a16="http://schemas.microsoft.com/office/drawing/2014/main" xmlns=""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36</xdr:col>
      <xdr:colOff>66675</xdr:colOff>
      <xdr:row>18</xdr:row>
      <xdr:rowOff>142875</xdr:rowOff>
    </xdr:from>
    <xdr:to>
      <xdr:col>44</xdr:col>
      <xdr:colOff>8965</xdr:colOff>
      <xdr:row>40</xdr:row>
      <xdr:rowOff>171450</xdr:rowOff>
    </xdr:to>
    <xdr:graphicFrame macro="">
      <xdr:nvGraphicFramePr>
        <xdr:cNvPr id="28" name="Chart 27">
          <a:extLst>
            <a:ext uri="{FF2B5EF4-FFF2-40B4-BE49-F238E27FC236}">
              <a16:creationId xmlns:a16="http://schemas.microsoft.com/office/drawing/2014/main" xmlns=""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36</xdr:col>
      <xdr:colOff>138111</xdr:colOff>
      <xdr:row>56</xdr:row>
      <xdr:rowOff>123825</xdr:rowOff>
    </xdr:from>
    <xdr:to>
      <xdr:col>44</xdr:col>
      <xdr:colOff>762000</xdr:colOff>
      <xdr:row>79</xdr:row>
      <xdr:rowOff>38100</xdr:rowOff>
    </xdr:to>
    <xdr:graphicFrame macro="">
      <xdr:nvGraphicFramePr>
        <xdr:cNvPr id="29" name="Chart 28">
          <a:extLst>
            <a:ext uri="{FF2B5EF4-FFF2-40B4-BE49-F238E27FC236}">
              <a16:creationId xmlns:a16="http://schemas.microsoft.com/office/drawing/2014/main" xmlns=""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36</xdr:col>
      <xdr:colOff>38101</xdr:colOff>
      <xdr:row>210</xdr:row>
      <xdr:rowOff>98612</xdr:rowOff>
    </xdr:from>
    <xdr:to>
      <xdr:col>44</xdr:col>
      <xdr:colOff>735106</xdr:colOff>
      <xdr:row>234</xdr:row>
      <xdr:rowOff>85725</xdr:rowOff>
    </xdr:to>
    <xdr:graphicFrame macro="">
      <xdr:nvGraphicFramePr>
        <xdr:cNvPr id="33" name="Chart 32">
          <a:extLst>
            <a:ext uri="{FF2B5EF4-FFF2-40B4-BE49-F238E27FC236}">
              <a16:creationId xmlns:a16="http://schemas.microsoft.com/office/drawing/2014/main" xmlns=""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36</xdr:col>
      <xdr:colOff>130630</xdr:colOff>
      <xdr:row>248</xdr:row>
      <xdr:rowOff>104776</xdr:rowOff>
    </xdr:from>
    <xdr:to>
      <xdr:col>45</xdr:col>
      <xdr:colOff>0</xdr:colOff>
      <xdr:row>272</xdr:row>
      <xdr:rowOff>85725</xdr:rowOff>
    </xdr:to>
    <xdr:graphicFrame macro="">
      <xdr:nvGraphicFramePr>
        <xdr:cNvPr id="34" name="Chart 33">
          <a:extLst>
            <a:ext uri="{FF2B5EF4-FFF2-40B4-BE49-F238E27FC236}">
              <a16:creationId xmlns:a16="http://schemas.microsoft.com/office/drawing/2014/main" xmlns=""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111578</xdr:colOff>
      <xdr:row>91</xdr:row>
      <xdr:rowOff>98651</xdr:rowOff>
    </xdr:from>
    <xdr:to>
      <xdr:col>23</xdr:col>
      <xdr:colOff>733425</xdr:colOff>
      <xdr:row>114</xdr:row>
      <xdr:rowOff>104775</xdr:rowOff>
    </xdr:to>
    <xdr:graphicFrame macro="">
      <xdr:nvGraphicFramePr>
        <xdr:cNvPr id="37" name="Chart 36">
          <a:extLst>
            <a:ext uri="{FF2B5EF4-FFF2-40B4-BE49-F238E27FC236}">
              <a16:creationId xmlns:a16="http://schemas.microsoft.com/office/drawing/2014/main" xmlns=""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62593</xdr:colOff>
      <xdr:row>226</xdr:row>
      <xdr:rowOff>63954</xdr:rowOff>
    </xdr:from>
    <xdr:to>
      <xdr:col>23</xdr:col>
      <xdr:colOff>752474</xdr:colOff>
      <xdr:row>249</xdr:row>
      <xdr:rowOff>76200</xdr:rowOff>
    </xdr:to>
    <xdr:graphicFrame macro="">
      <xdr:nvGraphicFramePr>
        <xdr:cNvPr id="41" name="Chart 40">
          <a:extLst>
            <a:ext uri="{FF2B5EF4-FFF2-40B4-BE49-F238E27FC236}">
              <a16:creationId xmlns:a16="http://schemas.microsoft.com/office/drawing/2014/main" xmlns="" id="{00000000-0008-0000-12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59871</xdr:colOff>
      <xdr:row>568</xdr:row>
      <xdr:rowOff>70076</xdr:rowOff>
    </xdr:from>
    <xdr:to>
      <xdr:col>23</xdr:col>
      <xdr:colOff>722539</xdr:colOff>
      <xdr:row>590</xdr:row>
      <xdr:rowOff>170089</xdr:rowOff>
    </xdr:to>
    <xdr:graphicFrame macro="">
      <xdr:nvGraphicFramePr>
        <xdr:cNvPr id="44" name="Chart 43">
          <a:extLst>
            <a:ext uri="{FF2B5EF4-FFF2-40B4-BE49-F238E27FC236}">
              <a16:creationId xmlns:a16="http://schemas.microsoft.com/office/drawing/2014/main" xmlns="" id="{00000000-0008-0000-1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29028</xdr:colOff>
      <xdr:row>107</xdr:row>
      <xdr:rowOff>0</xdr:rowOff>
    </xdr:from>
    <xdr:to>
      <xdr:col>8</xdr:col>
      <xdr:colOff>66675</xdr:colOff>
      <xdr:row>107</xdr:row>
      <xdr:rowOff>0</xdr:rowOff>
    </xdr:to>
    <xdr:graphicFrame macro="">
      <xdr:nvGraphicFramePr>
        <xdr:cNvPr id="49" name="Chart 48">
          <a:extLst>
            <a:ext uri="{FF2B5EF4-FFF2-40B4-BE49-F238E27FC236}">
              <a16:creationId xmlns:a16="http://schemas.microsoft.com/office/drawing/2014/main" xmlns="" id="{00000000-0008-0000-1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24493</xdr:colOff>
      <xdr:row>349</xdr:row>
      <xdr:rowOff>64635</xdr:rowOff>
    </xdr:from>
    <xdr:to>
      <xdr:col>33</xdr:col>
      <xdr:colOff>783770</xdr:colOff>
      <xdr:row>373</xdr:row>
      <xdr:rowOff>95250</xdr:rowOff>
    </xdr:to>
    <xdr:graphicFrame macro="">
      <xdr:nvGraphicFramePr>
        <xdr:cNvPr id="50" name="Chart 49">
          <a:extLst>
            <a:ext uri="{FF2B5EF4-FFF2-40B4-BE49-F238E27FC236}">
              <a16:creationId xmlns:a16="http://schemas.microsoft.com/office/drawing/2014/main" xmlns="" id="{00000000-0008-0000-1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26</xdr:col>
      <xdr:colOff>24494</xdr:colOff>
      <xdr:row>92</xdr:row>
      <xdr:rowOff>64635</xdr:rowOff>
    </xdr:from>
    <xdr:to>
      <xdr:col>32</xdr:col>
      <xdr:colOff>723900</xdr:colOff>
      <xdr:row>114</xdr:row>
      <xdr:rowOff>171450</xdr:rowOff>
    </xdr:to>
    <xdr:graphicFrame macro="">
      <xdr:nvGraphicFramePr>
        <xdr:cNvPr id="51" name="Chart 50">
          <a:extLst>
            <a:ext uri="{FF2B5EF4-FFF2-40B4-BE49-F238E27FC236}">
              <a16:creationId xmlns:a16="http://schemas.microsoft.com/office/drawing/2014/main" xmlns="" id="{00000000-0008-0000-1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26</xdr:col>
      <xdr:colOff>63490</xdr:colOff>
      <xdr:row>55</xdr:row>
      <xdr:rowOff>76504</xdr:rowOff>
    </xdr:from>
    <xdr:to>
      <xdr:col>33</xdr:col>
      <xdr:colOff>679973</xdr:colOff>
      <xdr:row>77</xdr:row>
      <xdr:rowOff>79225</xdr:rowOff>
    </xdr:to>
    <xdr:graphicFrame macro="">
      <xdr:nvGraphicFramePr>
        <xdr:cNvPr id="54" name="Chart 53">
          <a:extLst>
            <a:ext uri="{FF2B5EF4-FFF2-40B4-BE49-F238E27FC236}">
              <a16:creationId xmlns:a16="http://schemas.microsoft.com/office/drawing/2014/main" xmlns="" id="{00000000-0008-0000-1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26</xdr:col>
      <xdr:colOff>91440</xdr:colOff>
      <xdr:row>17</xdr:row>
      <xdr:rowOff>0</xdr:rowOff>
    </xdr:from>
    <xdr:to>
      <xdr:col>32</xdr:col>
      <xdr:colOff>762000</xdr:colOff>
      <xdr:row>41</xdr:row>
      <xdr:rowOff>133349</xdr:rowOff>
    </xdr:to>
    <xdr:graphicFrame macro="">
      <xdr:nvGraphicFramePr>
        <xdr:cNvPr id="59" name="Chart 58">
          <a:extLst>
            <a:ext uri="{FF2B5EF4-FFF2-40B4-BE49-F238E27FC236}">
              <a16:creationId xmlns:a16="http://schemas.microsoft.com/office/drawing/2014/main" xmlns="" id="{00000000-0008-0000-12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29936</xdr:colOff>
      <xdr:row>125</xdr:row>
      <xdr:rowOff>44223</xdr:rowOff>
    </xdr:from>
    <xdr:to>
      <xdr:col>23</xdr:col>
      <xdr:colOff>771525</xdr:colOff>
      <xdr:row>148</xdr:row>
      <xdr:rowOff>85725</xdr:rowOff>
    </xdr:to>
    <xdr:graphicFrame macro="">
      <xdr:nvGraphicFramePr>
        <xdr:cNvPr id="60" name="Chart 59">
          <a:extLst>
            <a:ext uri="{FF2B5EF4-FFF2-40B4-BE49-F238E27FC236}">
              <a16:creationId xmlns:a16="http://schemas.microsoft.com/office/drawing/2014/main" xmlns="" id="{00000000-0008-0000-1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123144</xdr:colOff>
      <xdr:row>730</xdr:row>
      <xdr:rowOff>78240</xdr:rowOff>
    </xdr:from>
    <xdr:to>
      <xdr:col>23</xdr:col>
      <xdr:colOff>752475</xdr:colOff>
      <xdr:row>752</xdr:row>
      <xdr:rowOff>104775</xdr:rowOff>
    </xdr:to>
    <xdr:graphicFrame macro="">
      <xdr:nvGraphicFramePr>
        <xdr:cNvPr id="53" name="Chart 52">
          <a:extLst>
            <a:ext uri="{FF2B5EF4-FFF2-40B4-BE49-F238E27FC236}">
              <a16:creationId xmlns:a16="http://schemas.microsoft.com/office/drawing/2014/main" xmlns=""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14969</xdr:colOff>
      <xdr:row>191</xdr:row>
      <xdr:rowOff>35380</xdr:rowOff>
    </xdr:from>
    <xdr:to>
      <xdr:col>24</xdr:col>
      <xdr:colOff>0</xdr:colOff>
      <xdr:row>214</xdr:row>
      <xdr:rowOff>66676</xdr:rowOff>
    </xdr:to>
    <xdr:graphicFrame macro="">
      <xdr:nvGraphicFramePr>
        <xdr:cNvPr id="58" name="Chart 57">
          <a:extLst>
            <a:ext uri="{FF2B5EF4-FFF2-40B4-BE49-F238E27FC236}">
              <a16:creationId xmlns:a16="http://schemas.microsoft.com/office/drawing/2014/main" xmlns="" id="{00000000-0008-0000-1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77834</xdr:colOff>
      <xdr:row>363</xdr:row>
      <xdr:rowOff>116476</xdr:rowOff>
    </xdr:from>
    <xdr:to>
      <xdr:col>23</xdr:col>
      <xdr:colOff>708212</xdr:colOff>
      <xdr:row>387</xdr:row>
      <xdr:rowOff>171994</xdr:rowOff>
    </xdr:to>
    <xdr:graphicFrame macro="">
      <xdr:nvGraphicFramePr>
        <xdr:cNvPr id="62" name="Chart 61">
          <a:extLst>
            <a:ext uri="{FF2B5EF4-FFF2-40B4-BE49-F238E27FC236}">
              <a16:creationId xmlns:a16="http://schemas.microsoft.com/office/drawing/2014/main" xmlns="" id="{00000000-0008-0000-12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36</xdr:col>
      <xdr:colOff>104775</xdr:colOff>
      <xdr:row>96</xdr:row>
      <xdr:rowOff>57149</xdr:rowOff>
    </xdr:from>
    <xdr:to>
      <xdr:col>44</xdr:col>
      <xdr:colOff>770964</xdr:colOff>
      <xdr:row>119</xdr:row>
      <xdr:rowOff>233082</xdr:rowOff>
    </xdr:to>
    <xdr:graphicFrame macro="">
      <xdr:nvGraphicFramePr>
        <xdr:cNvPr id="61" name="Chart 60">
          <a:extLst>
            <a:ext uri="{FF2B5EF4-FFF2-40B4-BE49-F238E27FC236}">
              <a16:creationId xmlns:a16="http://schemas.microsoft.com/office/drawing/2014/main" xmlns="" id="{00000000-0008-0000-12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36</xdr:col>
      <xdr:colOff>90488</xdr:colOff>
      <xdr:row>133</xdr:row>
      <xdr:rowOff>42864</xdr:rowOff>
    </xdr:from>
    <xdr:to>
      <xdr:col>44</xdr:col>
      <xdr:colOff>726142</xdr:colOff>
      <xdr:row>157</xdr:row>
      <xdr:rowOff>28576</xdr:rowOff>
    </xdr:to>
    <xdr:graphicFrame macro="">
      <xdr:nvGraphicFramePr>
        <xdr:cNvPr id="63" name="Chart 62">
          <a:extLst>
            <a:ext uri="{FF2B5EF4-FFF2-40B4-BE49-F238E27FC236}">
              <a16:creationId xmlns:a16="http://schemas.microsoft.com/office/drawing/2014/main" xmlns="" id="{00000000-0008-0000-1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36</xdr:col>
      <xdr:colOff>85725</xdr:colOff>
      <xdr:row>173</xdr:row>
      <xdr:rowOff>51707</xdr:rowOff>
    </xdr:from>
    <xdr:to>
      <xdr:col>44</xdr:col>
      <xdr:colOff>753036</xdr:colOff>
      <xdr:row>195</xdr:row>
      <xdr:rowOff>171450</xdr:rowOff>
    </xdr:to>
    <xdr:graphicFrame macro="">
      <xdr:nvGraphicFramePr>
        <xdr:cNvPr id="64" name="Chart 63">
          <a:extLst>
            <a:ext uri="{FF2B5EF4-FFF2-40B4-BE49-F238E27FC236}">
              <a16:creationId xmlns:a16="http://schemas.microsoft.com/office/drawing/2014/main" xmlns="" id="{00000000-0008-0000-12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29028</xdr:colOff>
      <xdr:row>16</xdr:row>
      <xdr:rowOff>87088</xdr:rowOff>
    </xdr:from>
    <xdr:to>
      <xdr:col>8</xdr:col>
      <xdr:colOff>66675</xdr:colOff>
      <xdr:row>39</xdr:row>
      <xdr:rowOff>180976</xdr:rowOff>
    </xdr:to>
    <xdr:graphicFrame macro="">
      <xdr:nvGraphicFramePr>
        <xdr:cNvPr id="71" name="Chart 70">
          <a:extLst>
            <a:ext uri="{FF2B5EF4-FFF2-40B4-BE49-F238E27FC236}">
              <a16:creationId xmlns:a16="http://schemas.microsoft.com/office/drawing/2014/main" xmlns="" id="{00000000-0008-0000-12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29028</xdr:colOff>
      <xdr:row>42</xdr:row>
      <xdr:rowOff>0</xdr:rowOff>
    </xdr:from>
    <xdr:to>
      <xdr:col>8</xdr:col>
      <xdr:colOff>66675</xdr:colOff>
      <xdr:row>42</xdr:row>
      <xdr:rowOff>0</xdr:rowOff>
    </xdr:to>
    <xdr:graphicFrame macro="">
      <xdr:nvGraphicFramePr>
        <xdr:cNvPr id="72" name="Chart 71">
          <a:extLst>
            <a:ext uri="{FF2B5EF4-FFF2-40B4-BE49-F238E27FC236}">
              <a16:creationId xmlns:a16="http://schemas.microsoft.com/office/drawing/2014/main" xmlns="" id="{00000000-0008-0000-12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17</xdr:col>
      <xdr:colOff>116541</xdr:colOff>
      <xdr:row>636</xdr:row>
      <xdr:rowOff>62753</xdr:rowOff>
    </xdr:from>
    <xdr:to>
      <xdr:col>23</xdr:col>
      <xdr:colOff>779209</xdr:colOff>
      <xdr:row>658</xdr:row>
      <xdr:rowOff>162765</xdr:rowOff>
    </xdr:to>
    <xdr:graphicFrame macro="">
      <xdr:nvGraphicFramePr>
        <xdr:cNvPr id="74" name="Chart 73">
          <a:extLst>
            <a:ext uri="{FF2B5EF4-FFF2-40B4-BE49-F238E27FC236}">
              <a16:creationId xmlns:a16="http://schemas.microsoft.com/office/drawing/2014/main" xmlns="" id="{00000000-0008-0000-12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26</xdr:col>
      <xdr:colOff>42423</xdr:colOff>
      <xdr:row>389</xdr:row>
      <xdr:rowOff>39371</xdr:rowOff>
    </xdr:from>
    <xdr:to>
      <xdr:col>33</xdr:col>
      <xdr:colOff>795994</xdr:colOff>
      <xdr:row>413</xdr:row>
      <xdr:rowOff>69986</xdr:rowOff>
    </xdr:to>
    <xdr:graphicFrame macro="">
      <xdr:nvGraphicFramePr>
        <xdr:cNvPr id="48" name="Chart 47">
          <a:extLst>
            <a:ext uri="{FF2B5EF4-FFF2-40B4-BE49-F238E27FC236}">
              <a16:creationId xmlns:a16="http://schemas.microsoft.com/office/drawing/2014/main" xmlns="" id="{00000000-0008-0000-1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26</xdr:col>
      <xdr:colOff>24493</xdr:colOff>
      <xdr:row>427</xdr:row>
      <xdr:rowOff>64635</xdr:rowOff>
    </xdr:from>
    <xdr:to>
      <xdr:col>33</xdr:col>
      <xdr:colOff>783770</xdr:colOff>
      <xdr:row>451</xdr:row>
      <xdr:rowOff>95250</xdr:rowOff>
    </xdr:to>
    <xdr:graphicFrame macro="">
      <xdr:nvGraphicFramePr>
        <xdr:cNvPr id="52" name="Chart 51">
          <a:extLst>
            <a:ext uri="{FF2B5EF4-FFF2-40B4-BE49-F238E27FC236}">
              <a16:creationId xmlns:a16="http://schemas.microsoft.com/office/drawing/2014/main" xmlns="" id="{00000000-0008-0000-1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26</xdr:col>
      <xdr:colOff>24493</xdr:colOff>
      <xdr:row>465</xdr:row>
      <xdr:rowOff>64635</xdr:rowOff>
    </xdr:from>
    <xdr:to>
      <xdr:col>33</xdr:col>
      <xdr:colOff>783770</xdr:colOff>
      <xdr:row>489</xdr:row>
      <xdr:rowOff>95250</xdr:rowOff>
    </xdr:to>
    <xdr:graphicFrame macro="">
      <xdr:nvGraphicFramePr>
        <xdr:cNvPr id="55" name="Chart 54">
          <a:extLst>
            <a:ext uri="{FF2B5EF4-FFF2-40B4-BE49-F238E27FC236}">
              <a16:creationId xmlns:a16="http://schemas.microsoft.com/office/drawing/2014/main" xmlns="" id="{00000000-0008-0000-1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26</xdr:col>
      <xdr:colOff>24493</xdr:colOff>
      <xdr:row>501</xdr:row>
      <xdr:rowOff>64635</xdr:rowOff>
    </xdr:from>
    <xdr:to>
      <xdr:col>33</xdr:col>
      <xdr:colOff>783770</xdr:colOff>
      <xdr:row>525</xdr:row>
      <xdr:rowOff>95250</xdr:rowOff>
    </xdr:to>
    <xdr:graphicFrame macro="">
      <xdr:nvGraphicFramePr>
        <xdr:cNvPr id="56" name="Chart 55">
          <a:extLst>
            <a:ext uri="{FF2B5EF4-FFF2-40B4-BE49-F238E27FC236}">
              <a16:creationId xmlns:a16="http://schemas.microsoft.com/office/drawing/2014/main" xmlns="" id="{00000000-0008-0000-1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26</xdr:col>
      <xdr:colOff>24493</xdr:colOff>
      <xdr:row>539</xdr:row>
      <xdr:rowOff>55671</xdr:rowOff>
    </xdr:from>
    <xdr:to>
      <xdr:col>33</xdr:col>
      <xdr:colOff>783770</xdr:colOff>
      <xdr:row>563</xdr:row>
      <xdr:rowOff>86286</xdr:rowOff>
    </xdr:to>
    <xdr:graphicFrame macro="">
      <xdr:nvGraphicFramePr>
        <xdr:cNvPr id="65" name="Chart 64">
          <a:extLst>
            <a:ext uri="{FF2B5EF4-FFF2-40B4-BE49-F238E27FC236}">
              <a16:creationId xmlns:a16="http://schemas.microsoft.com/office/drawing/2014/main" xmlns="" id="{00000000-0008-0000-12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26</xdr:col>
      <xdr:colOff>24493</xdr:colOff>
      <xdr:row>577</xdr:row>
      <xdr:rowOff>55671</xdr:rowOff>
    </xdr:from>
    <xdr:to>
      <xdr:col>33</xdr:col>
      <xdr:colOff>783770</xdr:colOff>
      <xdr:row>601</xdr:row>
      <xdr:rowOff>86286</xdr:rowOff>
    </xdr:to>
    <xdr:graphicFrame macro="">
      <xdr:nvGraphicFramePr>
        <xdr:cNvPr id="66" name="Chart 65">
          <a:extLst>
            <a:ext uri="{FF2B5EF4-FFF2-40B4-BE49-F238E27FC236}">
              <a16:creationId xmlns:a16="http://schemas.microsoft.com/office/drawing/2014/main" xmlns="" id="{00000000-0008-0000-1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26</xdr:col>
      <xdr:colOff>69317</xdr:colOff>
      <xdr:row>128</xdr:row>
      <xdr:rowOff>91530</xdr:rowOff>
    </xdr:from>
    <xdr:to>
      <xdr:col>32</xdr:col>
      <xdr:colOff>768723</xdr:colOff>
      <xdr:row>151</xdr:row>
      <xdr:rowOff>19050</xdr:rowOff>
    </xdr:to>
    <xdr:graphicFrame macro="">
      <xdr:nvGraphicFramePr>
        <xdr:cNvPr id="67" name="Chart 66">
          <a:extLst>
            <a:ext uri="{FF2B5EF4-FFF2-40B4-BE49-F238E27FC236}">
              <a16:creationId xmlns:a16="http://schemas.microsoft.com/office/drawing/2014/main" xmlns="" id="{00000000-0008-0000-12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26</xdr:col>
      <xdr:colOff>69317</xdr:colOff>
      <xdr:row>164</xdr:row>
      <xdr:rowOff>91530</xdr:rowOff>
    </xdr:from>
    <xdr:to>
      <xdr:col>32</xdr:col>
      <xdr:colOff>768723</xdr:colOff>
      <xdr:row>187</xdr:row>
      <xdr:rowOff>19050</xdr:rowOff>
    </xdr:to>
    <xdr:graphicFrame macro="">
      <xdr:nvGraphicFramePr>
        <xdr:cNvPr id="68" name="Chart 67">
          <a:extLst>
            <a:ext uri="{FF2B5EF4-FFF2-40B4-BE49-F238E27FC236}">
              <a16:creationId xmlns:a16="http://schemas.microsoft.com/office/drawing/2014/main" xmlns="" id="{00000000-0008-0000-12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26</xdr:col>
      <xdr:colOff>69317</xdr:colOff>
      <xdr:row>198</xdr:row>
      <xdr:rowOff>91530</xdr:rowOff>
    </xdr:from>
    <xdr:to>
      <xdr:col>32</xdr:col>
      <xdr:colOff>768723</xdr:colOff>
      <xdr:row>221</xdr:row>
      <xdr:rowOff>19050</xdr:rowOff>
    </xdr:to>
    <xdr:graphicFrame macro="">
      <xdr:nvGraphicFramePr>
        <xdr:cNvPr id="69" name="Chart 68">
          <a:extLst>
            <a:ext uri="{FF2B5EF4-FFF2-40B4-BE49-F238E27FC236}">
              <a16:creationId xmlns:a16="http://schemas.microsoft.com/office/drawing/2014/main" xmlns="" id="{00000000-0008-0000-12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26</xdr:col>
      <xdr:colOff>69317</xdr:colOff>
      <xdr:row>270</xdr:row>
      <xdr:rowOff>91530</xdr:rowOff>
    </xdr:from>
    <xdr:to>
      <xdr:col>32</xdr:col>
      <xdr:colOff>768723</xdr:colOff>
      <xdr:row>293</xdr:row>
      <xdr:rowOff>19050</xdr:rowOff>
    </xdr:to>
    <xdr:graphicFrame macro="">
      <xdr:nvGraphicFramePr>
        <xdr:cNvPr id="70" name="Chart 69">
          <a:extLst>
            <a:ext uri="{FF2B5EF4-FFF2-40B4-BE49-F238E27FC236}">
              <a16:creationId xmlns:a16="http://schemas.microsoft.com/office/drawing/2014/main" xmlns="" id="{00000000-0008-0000-12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26</xdr:col>
      <xdr:colOff>69317</xdr:colOff>
      <xdr:row>234</xdr:row>
      <xdr:rowOff>91530</xdr:rowOff>
    </xdr:from>
    <xdr:to>
      <xdr:col>32</xdr:col>
      <xdr:colOff>768723</xdr:colOff>
      <xdr:row>257</xdr:row>
      <xdr:rowOff>19050</xdr:rowOff>
    </xdr:to>
    <xdr:graphicFrame macro="">
      <xdr:nvGraphicFramePr>
        <xdr:cNvPr id="75" name="Chart 74">
          <a:extLst>
            <a:ext uri="{FF2B5EF4-FFF2-40B4-BE49-F238E27FC236}">
              <a16:creationId xmlns:a16="http://schemas.microsoft.com/office/drawing/2014/main" xmlns="" id="{00000000-0008-0000-12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26</xdr:col>
      <xdr:colOff>87247</xdr:colOff>
      <xdr:row>312</xdr:row>
      <xdr:rowOff>1883</xdr:rowOff>
    </xdr:from>
    <xdr:to>
      <xdr:col>32</xdr:col>
      <xdr:colOff>786653</xdr:colOff>
      <xdr:row>334</xdr:row>
      <xdr:rowOff>108697</xdr:rowOff>
    </xdr:to>
    <xdr:graphicFrame macro="">
      <xdr:nvGraphicFramePr>
        <xdr:cNvPr id="76" name="Chart 75">
          <a:extLst>
            <a:ext uri="{FF2B5EF4-FFF2-40B4-BE49-F238E27FC236}">
              <a16:creationId xmlns:a16="http://schemas.microsoft.com/office/drawing/2014/main" xmlns="" id="{00000000-0008-0000-12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112258</xdr:colOff>
      <xdr:row>762</xdr:row>
      <xdr:rowOff>2040</xdr:rowOff>
    </xdr:from>
    <xdr:to>
      <xdr:col>23</xdr:col>
      <xdr:colOff>741589</xdr:colOff>
      <xdr:row>784</xdr:row>
      <xdr:rowOff>28575</xdr:rowOff>
    </xdr:to>
    <xdr:graphicFrame macro="">
      <xdr:nvGraphicFramePr>
        <xdr:cNvPr id="77" name="Chart 76">
          <a:extLst>
            <a:ext uri="{FF2B5EF4-FFF2-40B4-BE49-F238E27FC236}">
              <a16:creationId xmlns:a16="http://schemas.microsoft.com/office/drawing/2014/main" xmlns="" id="{00000000-0008-0000-12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17</xdr:col>
      <xdr:colOff>39459</xdr:colOff>
      <xdr:row>55</xdr:row>
      <xdr:rowOff>44903</xdr:rowOff>
    </xdr:from>
    <xdr:to>
      <xdr:col>25</xdr:col>
      <xdr:colOff>664028</xdr:colOff>
      <xdr:row>79</xdr:row>
      <xdr:rowOff>57150</xdr:rowOff>
    </xdr:to>
    <xdr:graphicFrame macro="">
      <xdr:nvGraphicFramePr>
        <xdr:cNvPr id="79" name="Chart 78">
          <a:extLst>
            <a:ext uri="{FF2B5EF4-FFF2-40B4-BE49-F238E27FC236}">
              <a16:creationId xmlns:a16="http://schemas.microsoft.com/office/drawing/2014/main" xmlns="" id="{00000000-0008-0000-12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17</xdr:col>
      <xdr:colOff>70757</xdr:colOff>
      <xdr:row>603</xdr:row>
      <xdr:rowOff>80962</xdr:rowOff>
    </xdr:from>
    <xdr:to>
      <xdr:col>23</xdr:col>
      <xdr:colOff>733425</xdr:colOff>
      <xdr:row>625</xdr:row>
      <xdr:rowOff>180975</xdr:rowOff>
    </xdr:to>
    <xdr:graphicFrame macro="">
      <xdr:nvGraphicFramePr>
        <xdr:cNvPr id="57" name="Chart 56">
          <a:extLst>
            <a:ext uri="{FF2B5EF4-FFF2-40B4-BE49-F238E27FC236}">
              <a16:creationId xmlns:a16="http://schemas.microsoft.com/office/drawing/2014/main" xmlns="" id="{00000000-0008-0000-1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17</xdr:col>
      <xdr:colOff>65315</xdr:colOff>
      <xdr:row>157</xdr:row>
      <xdr:rowOff>65314</xdr:rowOff>
    </xdr:from>
    <xdr:to>
      <xdr:col>24</xdr:col>
      <xdr:colOff>1361</xdr:colOff>
      <xdr:row>180</xdr:row>
      <xdr:rowOff>85044</xdr:rowOff>
    </xdr:to>
    <xdr:graphicFrame macro="">
      <xdr:nvGraphicFramePr>
        <xdr:cNvPr id="73" name="Chart 72">
          <a:extLst>
            <a:ext uri="{FF2B5EF4-FFF2-40B4-BE49-F238E27FC236}">
              <a16:creationId xmlns:a16="http://schemas.microsoft.com/office/drawing/2014/main" xmlns="" id="{00000000-0008-0000-12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17</xdr:col>
      <xdr:colOff>108857</xdr:colOff>
      <xdr:row>299</xdr:row>
      <xdr:rowOff>141513</xdr:rowOff>
    </xdr:from>
    <xdr:to>
      <xdr:col>23</xdr:col>
      <xdr:colOff>738188</xdr:colOff>
      <xdr:row>321</xdr:row>
      <xdr:rowOff>168048</xdr:rowOff>
    </xdr:to>
    <xdr:graphicFrame macro="">
      <xdr:nvGraphicFramePr>
        <xdr:cNvPr id="78" name="Chart 77">
          <a:extLst>
            <a:ext uri="{FF2B5EF4-FFF2-40B4-BE49-F238E27FC236}">
              <a16:creationId xmlns:a16="http://schemas.microsoft.com/office/drawing/2014/main" xmlns="" id="{00000000-0008-0000-12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17</xdr:col>
      <xdr:colOff>108857</xdr:colOff>
      <xdr:row>331</xdr:row>
      <xdr:rowOff>141513</xdr:rowOff>
    </xdr:from>
    <xdr:to>
      <xdr:col>23</xdr:col>
      <xdr:colOff>738188</xdr:colOff>
      <xdr:row>353</xdr:row>
      <xdr:rowOff>168048</xdr:rowOff>
    </xdr:to>
    <xdr:graphicFrame macro="">
      <xdr:nvGraphicFramePr>
        <xdr:cNvPr id="80" name="Chart 79">
          <a:extLst>
            <a:ext uri="{FF2B5EF4-FFF2-40B4-BE49-F238E27FC236}">
              <a16:creationId xmlns:a16="http://schemas.microsoft.com/office/drawing/2014/main" xmlns="" id="{00000000-0008-0000-12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view="pageBreakPreview" topLeftCell="A5" zoomScale="60" zoomScaleNormal="100" workbookViewId="0">
      <selection activeCell="A10" sqref="A10:F14"/>
    </sheetView>
  </sheetViews>
  <sheetFormatPr defaultRowHeight="14.4" x14ac:dyDescent="0.3"/>
  <cols>
    <col min="1" max="1" width="27" customWidth="1"/>
    <col min="2" max="2" width="21" customWidth="1"/>
    <col min="3" max="3" width="18.44140625" customWidth="1"/>
    <col min="4" max="4" width="20.44140625" customWidth="1"/>
    <col min="5" max="5" width="3.6640625" style="376" customWidth="1"/>
    <col min="6" max="6" width="32.77734375" customWidth="1"/>
  </cols>
  <sheetData>
    <row r="1" spans="1:6" ht="21.6" thickBot="1" x14ac:dyDescent="0.45">
      <c r="A1" s="377" t="s">
        <v>109</v>
      </c>
      <c r="B1" s="445" t="s">
        <v>500</v>
      </c>
      <c r="C1" s="444"/>
      <c r="D1" s="444"/>
      <c r="E1" s="444"/>
      <c r="F1" s="446"/>
    </row>
    <row r="2" spans="1:6" ht="21.6" thickBot="1" x14ac:dyDescent="0.45">
      <c r="A2" s="377" t="s">
        <v>450</v>
      </c>
      <c r="B2" s="445" t="s">
        <v>501</v>
      </c>
      <c r="C2" s="444"/>
      <c r="D2" s="444"/>
      <c r="E2" s="444"/>
      <c r="F2" s="446"/>
    </row>
    <row r="3" spans="1:6" ht="21.6" thickBot="1" x14ac:dyDescent="0.45">
      <c r="A3" s="377" t="s">
        <v>451</v>
      </c>
      <c r="B3" s="445" t="s">
        <v>503</v>
      </c>
      <c r="C3" s="444"/>
      <c r="D3" s="444"/>
      <c r="E3" s="444"/>
      <c r="F3" s="446"/>
    </row>
    <row r="4" spans="1:6" ht="22.2" customHeight="1" thickBot="1" x14ac:dyDescent="0.35">
      <c r="A4" s="458" t="s">
        <v>492</v>
      </c>
      <c r="B4" s="459"/>
      <c r="C4" s="459"/>
      <c r="D4" s="459"/>
      <c r="E4" s="459"/>
      <c r="F4" s="460"/>
    </row>
    <row r="5" spans="1:6" ht="10.199999999999999" customHeight="1" x14ac:dyDescent="0.3">
      <c r="A5" s="720" t="s">
        <v>504</v>
      </c>
      <c r="B5" s="459"/>
      <c r="C5" s="459"/>
      <c r="D5" s="459"/>
      <c r="E5" s="459"/>
      <c r="F5" s="460"/>
    </row>
    <row r="6" spans="1:6" x14ac:dyDescent="0.3">
      <c r="A6" s="452"/>
      <c r="B6" s="453"/>
      <c r="C6" s="453"/>
      <c r="D6" s="453"/>
      <c r="E6" s="453"/>
      <c r="F6" s="454"/>
    </row>
    <row r="7" spans="1:6" x14ac:dyDescent="0.3">
      <c r="A7" s="452"/>
      <c r="B7" s="453"/>
      <c r="C7" s="453"/>
      <c r="D7" s="453"/>
      <c r="E7" s="453"/>
      <c r="F7" s="454"/>
    </row>
    <row r="8" spans="1:6" x14ac:dyDescent="0.3">
      <c r="A8" s="452"/>
      <c r="B8" s="453"/>
      <c r="C8" s="453"/>
      <c r="D8" s="453"/>
      <c r="E8" s="453"/>
      <c r="F8" s="454"/>
    </row>
    <row r="9" spans="1:6" x14ac:dyDescent="0.3">
      <c r="A9" s="452"/>
      <c r="B9" s="453"/>
      <c r="C9" s="453"/>
      <c r="D9" s="453"/>
      <c r="E9" s="453"/>
      <c r="F9" s="454"/>
    </row>
    <row r="10" spans="1:6" x14ac:dyDescent="0.3">
      <c r="A10" s="721" t="s">
        <v>505</v>
      </c>
      <c r="B10" s="462"/>
      <c r="C10" s="462"/>
      <c r="D10" s="462"/>
      <c r="E10" s="462"/>
      <c r="F10" s="463"/>
    </row>
    <row r="11" spans="1:6" x14ac:dyDescent="0.3">
      <c r="A11" s="461"/>
      <c r="B11" s="462"/>
      <c r="C11" s="462"/>
      <c r="D11" s="462"/>
      <c r="E11" s="462"/>
      <c r="F11" s="463"/>
    </row>
    <row r="12" spans="1:6" x14ac:dyDescent="0.3">
      <c r="A12" s="461"/>
      <c r="B12" s="462"/>
      <c r="C12" s="462"/>
      <c r="D12" s="462"/>
      <c r="E12" s="462"/>
      <c r="F12" s="463"/>
    </row>
    <row r="13" spans="1:6" x14ac:dyDescent="0.3">
      <c r="A13" s="461"/>
      <c r="B13" s="462"/>
      <c r="C13" s="462"/>
      <c r="D13" s="462"/>
      <c r="E13" s="462"/>
      <c r="F13" s="463"/>
    </row>
    <row r="14" spans="1:6" ht="15" thickBot="1" x14ac:dyDescent="0.35">
      <c r="A14" s="464"/>
      <c r="B14" s="465"/>
      <c r="C14" s="465"/>
      <c r="D14" s="465"/>
      <c r="E14" s="465"/>
      <c r="F14" s="466"/>
    </row>
    <row r="15" spans="1:6" x14ac:dyDescent="0.3">
      <c r="A15" s="447" t="s">
        <v>512</v>
      </c>
      <c r="B15" s="448"/>
      <c r="C15" s="452" t="s">
        <v>491</v>
      </c>
      <c r="D15" s="453"/>
      <c r="E15" s="453"/>
      <c r="F15" s="454"/>
    </row>
    <row r="16" spans="1:6" x14ac:dyDescent="0.3">
      <c r="A16" s="449"/>
      <c r="B16" s="448"/>
      <c r="C16" s="452"/>
      <c r="D16" s="453"/>
      <c r="E16" s="453"/>
      <c r="F16" s="454"/>
    </row>
    <row r="17" spans="1:6" x14ac:dyDescent="0.3">
      <c r="A17" s="449"/>
      <c r="B17" s="448"/>
      <c r="C17" s="452"/>
      <c r="D17" s="453"/>
      <c r="E17" s="453"/>
      <c r="F17" s="454"/>
    </row>
    <row r="18" spans="1:6" x14ac:dyDescent="0.3">
      <c r="A18" s="449"/>
      <c r="B18" s="448"/>
      <c r="C18" s="452"/>
      <c r="D18" s="453"/>
      <c r="E18" s="453"/>
      <c r="F18" s="454"/>
    </row>
    <row r="19" spans="1:6" x14ac:dyDescent="0.3">
      <c r="A19" s="449"/>
      <c r="B19" s="448"/>
      <c r="C19" s="452"/>
      <c r="D19" s="453"/>
      <c r="E19" s="453"/>
      <c r="F19" s="454"/>
    </row>
    <row r="20" spans="1:6" x14ac:dyDescent="0.3">
      <c r="A20" s="449"/>
      <c r="B20" s="448"/>
      <c r="C20" s="452"/>
      <c r="D20" s="453"/>
      <c r="E20" s="453"/>
      <c r="F20" s="454"/>
    </row>
    <row r="21" spans="1:6" x14ac:dyDescent="0.3">
      <c r="A21" s="449"/>
      <c r="B21" s="448"/>
      <c r="C21" s="452"/>
      <c r="D21" s="453"/>
      <c r="E21" s="453"/>
      <c r="F21" s="454"/>
    </row>
    <row r="22" spans="1:6" x14ac:dyDescent="0.3">
      <c r="A22" s="449"/>
      <c r="B22" s="448"/>
      <c r="C22" s="452"/>
      <c r="D22" s="453"/>
      <c r="E22" s="453"/>
      <c r="F22" s="454"/>
    </row>
    <row r="23" spans="1:6" x14ac:dyDescent="0.3">
      <c r="A23" s="449"/>
      <c r="B23" s="448"/>
      <c r="C23" s="452"/>
      <c r="D23" s="453"/>
      <c r="E23" s="453"/>
      <c r="F23" s="454"/>
    </row>
    <row r="24" spans="1:6" x14ac:dyDescent="0.3">
      <c r="A24" s="449"/>
      <c r="B24" s="448"/>
      <c r="C24" s="452"/>
      <c r="D24" s="453"/>
      <c r="E24" s="453"/>
      <c r="F24" s="454"/>
    </row>
    <row r="25" spans="1:6" x14ac:dyDescent="0.3">
      <c r="A25" s="449"/>
      <c r="B25" s="448"/>
      <c r="C25" s="452"/>
      <c r="D25" s="453"/>
      <c r="E25" s="453"/>
      <c r="F25" s="454"/>
    </row>
    <row r="26" spans="1:6" x14ac:dyDescent="0.3">
      <c r="A26" s="449"/>
      <c r="B26" s="448"/>
      <c r="C26" s="452"/>
      <c r="D26" s="453"/>
      <c r="E26" s="453"/>
      <c r="F26" s="454"/>
    </row>
    <row r="27" spans="1:6" x14ac:dyDescent="0.3">
      <c r="A27" s="449"/>
      <c r="B27" s="448"/>
      <c r="C27" s="452"/>
      <c r="D27" s="453"/>
      <c r="E27" s="453"/>
      <c r="F27" s="454"/>
    </row>
    <row r="28" spans="1:6" x14ac:dyDescent="0.3">
      <c r="A28" s="449"/>
      <c r="B28" s="448"/>
      <c r="C28" s="452"/>
      <c r="D28" s="453"/>
      <c r="E28" s="453"/>
      <c r="F28" s="454"/>
    </row>
    <row r="29" spans="1:6" x14ac:dyDescent="0.3">
      <c r="A29" s="449"/>
      <c r="B29" s="448"/>
      <c r="C29" s="452"/>
      <c r="D29" s="453"/>
      <c r="E29" s="453"/>
      <c r="F29" s="454"/>
    </row>
    <row r="30" spans="1:6" x14ac:dyDescent="0.3">
      <c r="A30" s="449"/>
      <c r="B30" s="448"/>
      <c r="C30" s="452"/>
      <c r="D30" s="453"/>
      <c r="E30" s="453"/>
      <c r="F30" s="454"/>
    </row>
    <row r="31" spans="1:6" x14ac:dyDescent="0.3">
      <c r="A31" s="449"/>
      <c r="B31" s="448"/>
      <c r="C31" s="452"/>
      <c r="D31" s="453"/>
      <c r="E31" s="453"/>
      <c r="F31" s="454"/>
    </row>
    <row r="32" spans="1:6" ht="15" thickBot="1" x14ac:dyDescent="0.35">
      <c r="A32" s="450"/>
      <c r="B32" s="451"/>
      <c r="C32" s="455"/>
      <c r="D32" s="456"/>
      <c r="E32" s="456"/>
      <c r="F32" s="457"/>
    </row>
    <row r="33" spans="1:6" ht="21.6" thickBot="1" x14ac:dyDescent="0.45">
      <c r="A33" s="377" t="s">
        <v>109</v>
      </c>
      <c r="B33" s="444" t="s">
        <v>500</v>
      </c>
      <c r="C33" s="444"/>
      <c r="D33" s="444"/>
      <c r="E33" s="444"/>
      <c r="F33" s="444"/>
    </row>
    <row r="34" spans="1:6" ht="21.6" thickBot="1" x14ac:dyDescent="0.45">
      <c r="A34" s="377" t="s">
        <v>450</v>
      </c>
      <c r="B34" s="444" t="s">
        <v>502</v>
      </c>
      <c r="C34" s="444"/>
      <c r="D34" s="444"/>
      <c r="E34" s="444"/>
      <c r="F34" s="444"/>
    </row>
    <row r="35" spans="1:6" ht="15" thickBot="1" x14ac:dyDescent="0.35">
      <c r="A35" s="376"/>
      <c r="B35" s="376"/>
      <c r="C35" s="376"/>
      <c r="D35" s="376"/>
      <c r="F35" s="376"/>
    </row>
    <row r="36" spans="1:6" ht="18" x14ac:dyDescent="0.35">
      <c r="A36" s="430" t="s">
        <v>452</v>
      </c>
      <c r="B36" s="431"/>
      <c r="C36" s="431"/>
      <c r="D36" s="431"/>
      <c r="E36" s="431"/>
      <c r="F36" s="432"/>
    </row>
    <row r="37" spans="1:6" ht="28.8" x14ac:dyDescent="0.3">
      <c r="A37" s="407" t="s">
        <v>453</v>
      </c>
      <c r="B37" s="381" t="s">
        <v>343</v>
      </c>
      <c r="C37" s="381" t="s">
        <v>344</v>
      </c>
      <c r="D37" s="382" t="s">
        <v>396</v>
      </c>
      <c r="E37" s="405"/>
      <c r="F37" s="408" t="s">
        <v>454</v>
      </c>
    </row>
    <row r="38" spans="1:6" x14ac:dyDescent="0.3">
      <c r="A38" s="409" t="str">
        <f>'Quantification Tool R1'!B5</f>
        <v>Jones Reach 1</v>
      </c>
      <c r="B38" s="380">
        <f>'Quantification Tool R1'!B15</f>
        <v>3000</v>
      </c>
      <c r="C38" s="380">
        <f>'Quantification Tool R1'!B16</f>
        <v>3500</v>
      </c>
      <c r="D38" s="380">
        <f>'Quantification Tool R1'!F14</f>
        <v>0.32000000000000006</v>
      </c>
      <c r="E38" s="406"/>
      <c r="F38" s="410">
        <f>'Quantification Tool R1'!F20</f>
        <v>1225</v>
      </c>
    </row>
    <row r="39" spans="1:6" x14ac:dyDescent="0.3">
      <c r="A39" s="409">
        <f>'Quantification Tool R2'!B5</f>
        <v>0</v>
      </c>
      <c r="B39" s="380">
        <f>'Quantification Tool R2'!B15</f>
        <v>0</v>
      </c>
      <c r="C39" s="380">
        <f>'Quantification Tool R2'!B16</f>
        <v>0</v>
      </c>
      <c r="D39" s="380" t="str">
        <f>'Quantification Tool R2'!F14</f>
        <v/>
      </c>
      <c r="E39" s="406"/>
      <c r="F39" s="410" t="str">
        <f>'Quantification Tool R2'!F20</f>
        <v/>
      </c>
    </row>
    <row r="40" spans="1:6" x14ac:dyDescent="0.3">
      <c r="A40" s="409">
        <f>'Quantification Tool R3'!B5</f>
        <v>0</v>
      </c>
      <c r="B40" s="380">
        <f>'Quantification Tool R3'!B15</f>
        <v>0</v>
      </c>
      <c r="C40" s="380">
        <f>'Quantification Tool R3'!B16</f>
        <v>0</v>
      </c>
      <c r="D40" s="380" t="str">
        <f>'Quantification Tool R3'!F14</f>
        <v/>
      </c>
      <c r="E40" s="406"/>
      <c r="F40" s="410" t="str">
        <f>'Quantification Tool R3'!F20</f>
        <v/>
      </c>
    </row>
    <row r="41" spans="1:6" x14ac:dyDescent="0.3">
      <c r="A41" s="409">
        <f>'Quantification Tool R4'!B5</f>
        <v>0</v>
      </c>
      <c r="B41" s="380">
        <f>'Quantification Tool R4'!B15</f>
        <v>0</v>
      </c>
      <c r="C41" s="380">
        <f>'Quantification Tool R4'!B16</f>
        <v>0</v>
      </c>
      <c r="D41" s="380" t="str">
        <f>'Quantification Tool R4'!F14</f>
        <v/>
      </c>
      <c r="E41" s="406"/>
      <c r="F41" s="410" t="str">
        <f>'Quantification Tool R4'!F20</f>
        <v/>
      </c>
    </row>
    <row r="42" spans="1:6" x14ac:dyDescent="0.3">
      <c r="A42" s="409">
        <f>'Quantification Tool R5'!B5</f>
        <v>0</v>
      </c>
      <c r="B42" s="380">
        <f>'Quantification Tool R5'!B15</f>
        <v>0</v>
      </c>
      <c r="C42" s="380">
        <f>'Quantification Tool R5'!B16</f>
        <v>0</v>
      </c>
      <c r="D42" s="380" t="str">
        <f>'Quantification Tool R5'!F14</f>
        <v/>
      </c>
      <c r="E42" s="406"/>
      <c r="F42" s="410" t="str">
        <f>'Quantification Tool R5'!F20</f>
        <v/>
      </c>
    </row>
    <row r="43" spans="1:6" ht="15" thickBot="1" x14ac:dyDescent="0.35">
      <c r="A43" s="411" t="s">
        <v>455</v>
      </c>
      <c r="B43" s="412">
        <f>SUM(B38:B42)</f>
        <v>3000</v>
      </c>
      <c r="C43" s="412">
        <f t="shared" ref="C43:D43" si="0">SUM(C38:C42)</f>
        <v>3500</v>
      </c>
      <c r="D43" s="412">
        <f t="shared" si="0"/>
        <v>0.32000000000000006</v>
      </c>
      <c r="E43" s="413"/>
      <c r="F43" s="414">
        <f>SUM(F38:F42)</f>
        <v>1225</v>
      </c>
    </row>
    <row r="44" spans="1:6" ht="7.8" customHeight="1" x14ac:dyDescent="0.3"/>
    <row r="45" spans="1:6" ht="18" x14ac:dyDescent="0.3">
      <c r="A45" s="403" t="s">
        <v>456</v>
      </c>
      <c r="B45" s="404"/>
      <c r="C45" s="404"/>
      <c r="D45" s="402"/>
      <c r="E45" s="402"/>
      <c r="F45" s="402"/>
    </row>
    <row r="46" spans="1:6" ht="14.4" customHeight="1" x14ac:dyDescent="0.3">
      <c r="A46" s="419" t="s">
        <v>457</v>
      </c>
      <c r="B46" s="419"/>
      <c r="C46" s="419"/>
      <c r="D46" s="419"/>
      <c r="E46" s="419"/>
      <c r="F46" s="419"/>
    </row>
    <row r="47" spans="1:6" x14ac:dyDescent="0.3">
      <c r="A47" s="419"/>
      <c r="B47" s="419"/>
      <c r="C47" s="419"/>
      <c r="D47" s="419"/>
      <c r="E47" s="419"/>
      <c r="F47" s="419"/>
    </row>
    <row r="48" spans="1:6" s="376" customFormat="1" ht="4.8" customHeight="1" thickBot="1" x14ac:dyDescent="0.35">
      <c r="A48" s="415"/>
      <c r="B48" s="415"/>
      <c r="C48" s="415"/>
      <c r="D48" s="415"/>
      <c r="E48" s="415"/>
      <c r="F48" s="415"/>
    </row>
    <row r="49" spans="1:6" x14ac:dyDescent="0.3">
      <c r="A49" s="433" t="s">
        <v>496</v>
      </c>
      <c r="B49" s="434"/>
      <c r="C49" s="433" t="s">
        <v>497</v>
      </c>
      <c r="D49" s="434"/>
      <c r="E49" s="433" t="s">
        <v>493</v>
      </c>
      <c r="F49" s="440"/>
    </row>
    <row r="50" spans="1:6" x14ac:dyDescent="0.3">
      <c r="A50" s="435"/>
      <c r="B50" s="436"/>
      <c r="C50" s="435"/>
      <c r="D50" s="436"/>
      <c r="E50" s="439"/>
      <c r="F50" s="441"/>
    </row>
    <row r="51" spans="1:6" ht="14.4" customHeight="1" x14ac:dyDescent="0.3">
      <c r="A51" s="435"/>
      <c r="B51" s="436"/>
      <c r="C51" s="435"/>
      <c r="D51" s="436"/>
      <c r="E51" s="439"/>
      <c r="F51" s="441"/>
    </row>
    <row r="52" spans="1:6" x14ac:dyDescent="0.3">
      <c r="A52" s="435"/>
      <c r="B52" s="436"/>
      <c r="C52" s="435"/>
      <c r="D52" s="436"/>
      <c r="E52" s="439"/>
      <c r="F52" s="441"/>
    </row>
    <row r="53" spans="1:6" x14ac:dyDescent="0.3">
      <c r="A53" s="435"/>
      <c r="B53" s="436"/>
      <c r="C53" s="435"/>
      <c r="D53" s="436"/>
      <c r="E53" s="439"/>
      <c r="F53" s="441"/>
    </row>
    <row r="54" spans="1:6" x14ac:dyDescent="0.3">
      <c r="A54" s="435"/>
      <c r="B54" s="436"/>
      <c r="C54" s="435"/>
      <c r="D54" s="436"/>
      <c r="E54" s="439"/>
      <c r="F54" s="441"/>
    </row>
    <row r="55" spans="1:6" x14ac:dyDescent="0.3">
      <c r="A55" s="435"/>
      <c r="B55" s="436"/>
      <c r="C55" s="435"/>
      <c r="D55" s="436"/>
      <c r="E55" s="439"/>
      <c r="F55" s="441"/>
    </row>
    <row r="56" spans="1:6" ht="15" thickBot="1" x14ac:dyDescent="0.35">
      <c r="A56" s="437"/>
      <c r="B56" s="438"/>
      <c r="C56" s="437"/>
      <c r="D56" s="438"/>
      <c r="E56" s="439"/>
      <c r="F56" s="441"/>
    </row>
    <row r="57" spans="1:6" x14ac:dyDescent="0.3">
      <c r="A57" s="439" t="s">
        <v>495</v>
      </c>
      <c r="B57" s="436"/>
      <c r="C57" s="433" t="s">
        <v>494</v>
      </c>
      <c r="D57" s="434"/>
      <c r="E57" s="439"/>
      <c r="F57" s="441"/>
    </row>
    <row r="58" spans="1:6" x14ac:dyDescent="0.3">
      <c r="A58" s="435"/>
      <c r="B58" s="436"/>
      <c r="C58" s="435"/>
      <c r="D58" s="436"/>
      <c r="E58" s="439"/>
      <c r="F58" s="441"/>
    </row>
    <row r="59" spans="1:6" x14ac:dyDescent="0.3">
      <c r="A59" s="435"/>
      <c r="B59" s="436"/>
      <c r="C59" s="435"/>
      <c r="D59" s="436"/>
      <c r="E59" s="439"/>
      <c r="F59" s="441"/>
    </row>
    <row r="60" spans="1:6" x14ac:dyDescent="0.3">
      <c r="A60" s="435"/>
      <c r="B60" s="436"/>
      <c r="C60" s="435"/>
      <c r="D60" s="436"/>
      <c r="E60" s="439"/>
      <c r="F60" s="441"/>
    </row>
    <row r="61" spans="1:6" x14ac:dyDescent="0.3">
      <c r="A61" s="435"/>
      <c r="B61" s="436"/>
      <c r="C61" s="435"/>
      <c r="D61" s="436"/>
      <c r="E61" s="439"/>
      <c r="F61" s="441"/>
    </row>
    <row r="62" spans="1:6" x14ac:dyDescent="0.3">
      <c r="A62" s="435"/>
      <c r="B62" s="436"/>
      <c r="C62" s="435"/>
      <c r="D62" s="436"/>
      <c r="E62" s="439"/>
      <c r="F62" s="441"/>
    </row>
    <row r="63" spans="1:6" x14ac:dyDescent="0.3">
      <c r="A63" s="435"/>
      <c r="B63" s="436"/>
      <c r="C63" s="435"/>
      <c r="D63" s="436"/>
      <c r="E63" s="439"/>
      <c r="F63" s="441"/>
    </row>
    <row r="64" spans="1:6" ht="15" thickBot="1" x14ac:dyDescent="0.35">
      <c r="A64" s="437"/>
      <c r="B64" s="438"/>
      <c r="C64" s="437"/>
      <c r="D64" s="438"/>
      <c r="E64" s="442"/>
      <c r="F64" s="443"/>
    </row>
    <row r="65" spans="1:6" ht="21" x14ac:dyDescent="0.3">
      <c r="A65" s="420" t="s">
        <v>458</v>
      </c>
      <c r="B65" s="421"/>
      <c r="C65" s="421"/>
      <c r="D65" s="421"/>
      <c r="E65" s="421"/>
      <c r="F65" s="422"/>
    </row>
    <row r="66" spans="1:6" x14ac:dyDescent="0.3">
      <c r="A66" s="424"/>
      <c r="B66" s="425"/>
      <c r="C66" s="425"/>
      <c r="D66" s="425"/>
      <c r="E66" s="425"/>
      <c r="F66" s="426"/>
    </row>
    <row r="67" spans="1:6" x14ac:dyDescent="0.3">
      <c r="A67" s="424"/>
      <c r="B67" s="425"/>
      <c r="C67" s="425"/>
      <c r="D67" s="425"/>
      <c r="E67" s="425"/>
      <c r="F67" s="426"/>
    </row>
    <row r="68" spans="1:6" x14ac:dyDescent="0.3">
      <c r="A68" s="424"/>
      <c r="B68" s="425"/>
      <c r="C68" s="425"/>
      <c r="D68" s="425"/>
      <c r="E68" s="425"/>
      <c r="F68" s="426"/>
    </row>
    <row r="69" spans="1:6" x14ac:dyDescent="0.3">
      <c r="A69" s="424"/>
      <c r="B69" s="425"/>
      <c r="C69" s="425"/>
      <c r="D69" s="425"/>
      <c r="E69" s="425"/>
      <c r="F69" s="426"/>
    </row>
    <row r="70" spans="1:6" x14ac:dyDescent="0.3">
      <c r="A70" s="424"/>
      <c r="B70" s="425"/>
      <c r="C70" s="425"/>
      <c r="D70" s="425"/>
      <c r="E70" s="425"/>
      <c r="F70" s="426"/>
    </row>
    <row r="71" spans="1:6" x14ac:dyDescent="0.3">
      <c r="A71" s="424"/>
      <c r="B71" s="425"/>
      <c r="C71" s="425"/>
      <c r="D71" s="425"/>
      <c r="E71" s="425"/>
      <c r="F71" s="426"/>
    </row>
    <row r="72" spans="1:6" x14ac:dyDescent="0.3">
      <c r="A72" s="424"/>
      <c r="B72" s="425"/>
      <c r="C72" s="425"/>
      <c r="D72" s="425"/>
      <c r="E72" s="425"/>
      <c r="F72" s="426"/>
    </row>
    <row r="73" spans="1:6" x14ac:dyDescent="0.3">
      <c r="A73" s="424"/>
      <c r="B73" s="425"/>
      <c r="C73" s="425"/>
      <c r="D73" s="425"/>
      <c r="E73" s="425"/>
      <c r="F73" s="426"/>
    </row>
    <row r="74" spans="1:6" x14ac:dyDescent="0.3">
      <c r="A74" s="424"/>
      <c r="B74" s="425"/>
      <c r="C74" s="425"/>
      <c r="D74" s="425"/>
      <c r="E74" s="425"/>
      <c r="F74" s="426"/>
    </row>
    <row r="75" spans="1:6" x14ac:dyDescent="0.3">
      <c r="A75" s="424"/>
      <c r="B75" s="425"/>
      <c r="C75" s="425"/>
      <c r="D75" s="425"/>
      <c r="E75" s="425"/>
      <c r="F75" s="426"/>
    </row>
    <row r="76" spans="1:6" x14ac:dyDescent="0.3">
      <c r="A76" s="424"/>
      <c r="B76" s="425"/>
      <c r="C76" s="425"/>
      <c r="D76" s="425"/>
      <c r="E76" s="425"/>
      <c r="F76" s="426"/>
    </row>
    <row r="77" spans="1:6" x14ac:dyDescent="0.3">
      <c r="A77" s="424"/>
      <c r="B77" s="425"/>
      <c r="C77" s="425"/>
      <c r="D77" s="425"/>
      <c r="E77" s="425"/>
      <c r="F77" s="426"/>
    </row>
    <row r="78" spans="1:6" x14ac:dyDescent="0.3">
      <c r="A78" s="424"/>
      <c r="B78" s="425"/>
      <c r="C78" s="425"/>
      <c r="D78" s="425"/>
      <c r="E78" s="425"/>
      <c r="F78" s="426"/>
    </row>
    <row r="79" spans="1:6" x14ac:dyDescent="0.3">
      <c r="A79" s="424"/>
      <c r="B79" s="425"/>
      <c r="C79" s="425"/>
      <c r="D79" s="425"/>
      <c r="E79" s="425"/>
      <c r="F79" s="426"/>
    </row>
    <row r="80" spans="1:6" x14ac:dyDescent="0.3">
      <c r="A80" s="424"/>
      <c r="B80" s="425"/>
      <c r="C80" s="425"/>
      <c r="D80" s="425"/>
      <c r="E80" s="425"/>
      <c r="F80" s="426"/>
    </row>
    <row r="81" spans="1:6" x14ac:dyDescent="0.3">
      <c r="A81" s="424"/>
      <c r="B81" s="425"/>
      <c r="C81" s="425"/>
      <c r="D81" s="425"/>
      <c r="E81" s="425"/>
      <c r="F81" s="426"/>
    </row>
    <row r="82" spans="1:6" ht="15" thickBot="1" x14ac:dyDescent="0.35">
      <c r="A82" s="427"/>
      <c r="B82" s="428"/>
      <c r="C82" s="428"/>
      <c r="D82" s="428"/>
      <c r="E82" s="428"/>
      <c r="F82" s="429"/>
    </row>
    <row r="83" spans="1:6" x14ac:dyDescent="0.3">
      <c r="A83" s="376"/>
      <c r="B83" s="376"/>
      <c r="C83" s="376"/>
      <c r="D83" s="376"/>
      <c r="F83" s="376"/>
    </row>
    <row r="84" spans="1:6" x14ac:dyDescent="0.3">
      <c r="A84" s="15" t="s">
        <v>459</v>
      </c>
      <c r="B84" s="376"/>
      <c r="C84" s="376"/>
      <c r="D84" s="376"/>
      <c r="F84" s="376"/>
    </row>
    <row r="85" spans="1:6" x14ac:dyDescent="0.3">
      <c r="A85" s="376" t="s">
        <v>460</v>
      </c>
      <c r="B85" s="376"/>
      <c r="C85" s="376"/>
      <c r="D85" s="376"/>
      <c r="F85" s="376"/>
    </row>
    <row r="86" spans="1:6" x14ac:dyDescent="0.3">
      <c r="A86" s="104" t="s">
        <v>461</v>
      </c>
      <c r="B86" s="13" t="s">
        <v>462</v>
      </c>
      <c r="C86" s="376"/>
      <c r="D86" s="13"/>
      <c r="E86" s="13"/>
      <c r="F86" s="376"/>
    </row>
    <row r="87" spans="1:6" x14ac:dyDescent="0.3">
      <c r="A87" s="13"/>
      <c r="B87" s="13" t="s">
        <v>463</v>
      </c>
      <c r="C87" s="376"/>
      <c r="D87" s="13"/>
      <c r="E87" s="13"/>
      <c r="F87" s="376"/>
    </row>
    <row r="88" spans="1:6" x14ac:dyDescent="0.3">
      <c r="A88" s="13"/>
      <c r="B88" s="13" t="s">
        <v>464</v>
      </c>
      <c r="C88" s="376"/>
      <c r="D88" s="13"/>
      <c r="E88" s="13"/>
      <c r="F88" s="376"/>
    </row>
    <row r="89" spans="1:6" x14ac:dyDescent="0.3">
      <c r="A89" s="104" t="s">
        <v>465</v>
      </c>
      <c r="B89" s="13"/>
      <c r="C89" s="13"/>
      <c r="D89" s="13"/>
      <c r="E89" s="13"/>
      <c r="F89" s="376"/>
    </row>
    <row r="90" spans="1:6" x14ac:dyDescent="0.3">
      <c r="A90" s="13" t="s">
        <v>466</v>
      </c>
      <c r="B90" s="376"/>
      <c r="C90" s="376"/>
      <c r="D90" s="376"/>
      <c r="F90" s="376"/>
    </row>
    <row r="91" spans="1:6" x14ac:dyDescent="0.3">
      <c r="A91" s="13" t="s">
        <v>467</v>
      </c>
      <c r="B91" s="13"/>
      <c r="C91" s="13"/>
      <c r="D91" s="13"/>
      <c r="E91" s="13"/>
      <c r="F91" s="376"/>
    </row>
    <row r="92" spans="1:6" x14ac:dyDescent="0.3">
      <c r="A92" s="376"/>
      <c r="B92" s="376"/>
      <c r="C92" s="376"/>
      <c r="D92" s="376"/>
      <c r="F92" s="376"/>
    </row>
    <row r="93" spans="1:6" ht="21" x14ac:dyDescent="0.4">
      <c r="A93" s="416" t="s">
        <v>468</v>
      </c>
      <c r="B93" s="417"/>
      <c r="C93" s="13"/>
      <c r="D93" s="376"/>
      <c r="F93" s="376"/>
    </row>
    <row r="94" spans="1:6" ht="21" x14ac:dyDescent="0.4">
      <c r="A94" s="416" t="s">
        <v>469</v>
      </c>
      <c r="B94" s="418">
        <v>43405</v>
      </c>
      <c r="C94" s="389"/>
      <c r="D94" s="376"/>
      <c r="F94" s="376"/>
    </row>
    <row r="95" spans="1:6" x14ac:dyDescent="0.3">
      <c r="A95" s="376"/>
      <c r="B95" s="376"/>
      <c r="C95" s="376"/>
      <c r="D95" s="376"/>
      <c r="F95" s="376"/>
    </row>
    <row r="96" spans="1:6" ht="17.399999999999999" x14ac:dyDescent="0.35">
      <c r="A96" s="423" t="s">
        <v>470</v>
      </c>
      <c r="B96" s="423"/>
      <c r="C96" s="423"/>
      <c r="D96" s="423"/>
      <c r="E96" s="423"/>
      <c r="F96" s="423"/>
    </row>
  </sheetData>
  <sheetProtection selectLockedCells="1"/>
  <mergeCells count="20">
    <mergeCell ref="B33:F33"/>
    <mergeCell ref="B34:F34"/>
    <mergeCell ref="B1:F1"/>
    <mergeCell ref="B2:F2"/>
    <mergeCell ref="B3:F3"/>
    <mergeCell ref="A15:B32"/>
    <mergeCell ref="C15:F32"/>
    <mergeCell ref="A4:F4"/>
    <mergeCell ref="A5:F9"/>
    <mergeCell ref="A10:F14"/>
    <mergeCell ref="A46:F47"/>
    <mergeCell ref="A65:F65"/>
    <mergeCell ref="A96:F96"/>
    <mergeCell ref="A66:F82"/>
    <mergeCell ref="A36:F36"/>
    <mergeCell ref="A49:B56"/>
    <mergeCell ref="C49:D56"/>
    <mergeCell ref="A57:B64"/>
    <mergeCell ref="C57:D64"/>
    <mergeCell ref="E49:F64"/>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2"/>
  <sheetViews>
    <sheetView topLeftCell="A4" zoomScale="70" zoomScaleNormal="70" zoomScalePageLayoutView="70" workbookViewId="0">
      <selection activeCell="E46" sqref="E46"/>
    </sheetView>
  </sheetViews>
  <sheetFormatPr defaultColWidth="9.109375" defaultRowHeight="14.4" x14ac:dyDescent="0.3"/>
  <cols>
    <col min="1" max="1" width="30.6640625" style="14" customWidth="1"/>
    <col min="2" max="2" width="30.88671875" style="14" customWidth="1"/>
    <col min="3" max="4" width="24" style="14" customWidth="1"/>
    <col min="5" max="5" width="21.6640625" style="14" customWidth="1"/>
    <col min="6" max="7" width="14" style="14" customWidth="1"/>
    <col min="8" max="8" width="13.109375" style="14" customWidth="1"/>
    <col min="9" max="9" width="13.109375" style="316" customWidth="1"/>
    <col min="10" max="10" width="9.6640625" style="14" customWidth="1"/>
    <col min="11" max="11" width="12.44140625" style="316" customWidth="1"/>
    <col min="12" max="12" width="18.5546875" style="14" customWidth="1"/>
    <col min="13" max="13" width="13.6640625" style="14" customWidth="1"/>
    <col min="14" max="16384" width="9.109375" style="14"/>
  </cols>
  <sheetData>
    <row r="1" spans="1:11" ht="21" x14ac:dyDescent="0.4">
      <c r="A1" s="669" t="s">
        <v>438</v>
      </c>
      <c r="B1" s="669"/>
      <c r="D1" s="544" t="s">
        <v>64</v>
      </c>
      <c r="E1" s="545"/>
      <c r="F1" s="545"/>
      <c r="G1" s="545"/>
      <c r="H1" s="545"/>
      <c r="I1" s="545"/>
      <c r="J1" s="546"/>
    </row>
    <row r="2" spans="1:11" ht="15.6" x14ac:dyDescent="0.3">
      <c r="A2" s="669"/>
      <c r="B2" s="669"/>
      <c r="D2" s="613" t="s">
        <v>65</v>
      </c>
      <c r="E2" s="614"/>
      <c r="F2" s="614"/>
      <c r="G2" s="614"/>
      <c r="H2" s="614"/>
      <c r="I2" s="614"/>
      <c r="J2" s="615"/>
    </row>
    <row r="3" spans="1:11" ht="15.75" customHeight="1" x14ac:dyDescent="0.3">
      <c r="A3" s="670"/>
      <c r="B3" s="670"/>
      <c r="D3" s="619" t="s">
        <v>138</v>
      </c>
      <c r="E3" s="620"/>
      <c r="F3" s="620"/>
      <c r="G3" s="620"/>
      <c r="H3" s="620"/>
      <c r="I3" s="620"/>
      <c r="J3" s="621"/>
    </row>
    <row r="4" spans="1:11" ht="15.6" x14ac:dyDescent="0.3">
      <c r="A4" s="42" t="s">
        <v>109</v>
      </c>
      <c r="B4" s="43"/>
      <c r="D4" s="622" t="s">
        <v>137</v>
      </c>
      <c r="E4" s="623"/>
      <c r="F4" s="623"/>
      <c r="G4" s="623"/>
      <c r="H4" s="623"/>
      <c r="I4" s="623"/>
      <c r="J4" s="624"/>
    </row>
    <row r="5" spans="1:11" ht="15.6" x14ac:dyDescent="0.3">
      <c r="A5" s="42" t="s">
        <v>100</v>
      </c>
      <c r="B5" s="43"/>
      <c r="D5" s="616" t="s">
        <v>390</v>
      </c>
      <c r="E5" s="617"/>
      <c r="F5" s="617"/>
      <c r="G5" s="617"/>
      <c r="H5" s="617"/>
      <c r="I5" s="617"/>
      <c r="J5" s="618"/>
    </row>
    <row r="6" spans="1:11" ht="15.6" x14ac:dyDescent="0.3">
      <c r="A6" s="335" t="s">
        <v>434</v>
      </c>
      <c r="B6" s="43"/>
      <c r="D6" s="362"/>
      <c r="E6" s="362"/>
      <c r="F6" s="362"/>
      <c r="G6" s="362"/>
      <c r="H6" s="362"/>
      <c r="I6" s="362"/>
      <c r="J6" s="362"/>
    </row>
    <row r="7" spans="1:11" ht="15.6" x14ac:dyDescent="0.3">
      <c r="A7" s="335" t="s">
        <v>435</v>
      </c>
      <c r="B7" s="43"/>
      <c r="D7" s="362"/>
      <c r="E7" s="362"/>
      <c r="F7" s="362"/>
      <c r="G7" s="362"/>
      <c r="H7" s="362"/>
      <c r="I7" s="362"/>
      <c r="J7" s="362"/>
    </row>
    <row r="8" spans="1:11" ht="15.6" x14ac:dyDescent="0.3">
      <c r="A8" s="335" t="s">
        <v>436</v>
      </c>
      <c r="B8" s="43"/>
      <c r="D8" s="362"/>
      <c r="E8" s="362"/>
      <c r="F8" s="362"/>
      <c r="G8" s="362"/>
      <c r="H8" s="362"/>
      <c r="I8" s="362"/>
      <c r="J8" s="362"/>
    </row>
    <row r="9" spans="1:11" ht="15.6" x14ac:dyDescent="0.3">
      <c r="A9" s="335" t="s">
        <v>437</v>
      </c>
      <c r="B9" s="43"/>
      <c r="D9" s="362"/>
      <c r="E9" s="362"/>
      <c r="F9" s="362"/>
      <c r="G9" s="362"/>
      <c r="H9" s="362"/>
      <c r="I9" s="362"/>
      <c r="J9" s="362"/>
    </row>
    <row r="10" spans="1:11" ht="16.2" thickBot="1" x14ac:dyDescent="0.35">
      <c r="A10" s="42" t="s">
        <v>101</v>
      </c>
      <c r="B10" s="336"/>
      <c r="C10" s="13"/>
      <c r="D10" s="13"/>
      <c r="E10" s="13"/>
      <c r="F10" s="13"/>
      <c r="G10" s="13"/>
      <c r="H10" s="13"/>
      <c r="I10" s="317"/>
      <c r="J10" s="13"/>
    </row>
    <row r="11" spans="1:11" ht="19.95" customHeight="1" x14ac:dyDescent="0.4">
      <c r="A11" s="42" t="s">
        <v>329</v>
      </c>
      <c r="B11" s="336"/>
      <c r="C11" s="13"/>
      <c r="D11" s="544" t="s">
        <v>63</v>
      </c>
      <c r="E11" s="545"/>
      <c r="F11" s="546"/>
      <c r="H11" s="605" t="s">
        <v>400</v>
      </c>
      <c r="I11" s="606"/>
      <c r="J11" s="607"/>
      <c r="K11" s="318"/>
    </row>
    <row r="12" spans="1:11" ht="21.6" thickBot="1" x14ac:dyDescent="0.45">
      <c r="A12" s="42" t="s">
        <v>363</v>
      </c>
      <c r="B12" s="336"/>
      <c r="C12" s="40"/>
      <c r="D12" s="88" t="s">
        <v>116</v>
      </c>
      <c r="E12" s="89"/>
      <c r="F12" s="303" t="str">
        <f>IFERROR(ROUND(J46,2),"")</f>
        <v/>
      </c>
      <c r="G12" s="114"/>
      <c r="H12" s="331" t="str">
        <f>F20</f>
        <v/>
      </c>
      <c r="I12" s="666" t="s">
        <v>401</v>
      </c>
      <c r="J12" s="667"/>
      <c r="K12" s="319"/>
    </row>
    <row r="13" spans="1:11" ht="15.6" x14ac:dyDescent="0.3">
      <c r="A13" s="42" t="s">
        <v>17</v>
      </c>
      <c r="B13" s="43"/>
      <c r="C13" s="40"/>
      <c r="D13" s="90" t="s">
        <v>117</v>
      </c>
      <c r="E13" s="91"/>
      <c r="F13" s="303" t="str">
        <f>IFERROR(ROUND(J86,2),"")</f>
        <v/>
      </c>
      <c r="G13" s="117"/>
      <c r="H13" s="176"/>
      <c r="I13" s="321"/>
      <c r="J13" s="21"/>
      <c r="K13" s="319"/>
    </row>
    <row r="14" spans="1:11" ht="15.6" x14ac:dyDescent="0.3">
      <c r="A14" s="42" t="s">
        <v>85</v>
      </c>
      <c r="B14" s="336"/>
      <c r="C14" s="40"/>
      <c r="D14" s="603" t="s">
        <v>396</v>
      </c>
      <c r="E14" s="604"/>
      <c r="F14" s="113" t="str">
        <f>IFERROR(F13-F12,"")</f>
        <v/>
      </c>
      <c r="G14" s="117"/>
      <c r="H14" s="176"/>
      <c r="I14" s="321"/>
      <c r="J14" s="21"/>
      <c r="K14" s="319"/>
    </row>
    <row r="15" spans="1:11" ht="15.6" x14ac:dyDescent="0.3">
      <c r="A15" s="42" t="s">
        <v>341</v>
      </c>
      <c r="B15" s="43"/>
      <c r="C15" s="41"/>
      <c r="D15" s="88" t="s">
        <v>343</v>
      </c>
      <c r="E15" s="89"/>
      <c r="F15" s="46" t="str">
        <f>IF(B15="","",B15)</f>
        <v/>
      </c>
      <c r="G15" s="118"/>
      <c r="H15" s="178"/>
      <c r="I15" s="323"/>
      <c r="J15" s="178"/>
      <c r="K15" s="320"/>
    </row>
    <row r="16" spans="1:11" ht="15.6" x14ac:dyDescent="0.3">
      <c r="A16" s="42" t="s">
        <v>342</v>
      </c>
      <c r="B16" s="43"/>
      <c r="C16" s="40"/>
      <c r="D16" s="88" t="s">
        <v>344</v>
      </c>
      <c r="E16" s="89"/>
      <c r="F16" s="46" t="str">
        <f>IF(B16="","",B16)</f>
        <v/>
      </c>
      <c r="G16" s="117"/>
      <c r="H16" s="21"/>
      <c r="I16" s="321"/>
      <c r="J16" s="21"/>
      <c r="K16" s="321"/>
    </row>
    <row r="17" spans="1:12" ht="15.6" x14ac:dyDescent="0.3">
      <c r="A17" s="42" t="s">
        <v>209</v>
      </c>
      <c r="B17" s="43"/>
      <c r="C17" s="41"/>
      <c r="D17" s="80" t="s">
        <v>345</v>
      </c>
      <c r="E17" s="81"/>
      <c r="F17" s="46" t="str">
        <f>IFERROR(F16-F15,"")</f>
        <v/>
      </c>
      <c r="G17" s="117"/>
      <c r="H17" s="21"/>
      <c r="I17" s="321"/>
      <c r="J17" s="21"/>
      <c r="K17" s="321"/>
    </row>
    <row r="18" spans="1:12" ht="16.2" customHeight="1" x14ac:dyDescent="0.4">
      <c r="A18" s="42" t="s">
        <v>403</v>
      </c>
      <c r="B18" s="336"/>
      <c r="C18" s="41"/>
      <c r="D18" s="80" t="s">
        <v>397</v>
      </c>
      <c r="E18" s="81"/>
      <c r="F18" s="47" t="str">
        <f>IFERROR(F12*F15,"")</f>
        <v/>
      </c>
      <c r="G18" s="117"/>
      <c r="H18" s="114"/>
      <c r="I18" s="318"/>
      <c r="J18" s="114"/>
      <c r="K18" s="318"/>
    </row>
    <row r="19" spans="1:12" ht="16.2" thickBot="1" x14ac:dyDescent="0.35">
      <c r="A19" s="44" t="s">
        <v>119</v>
      </c>
      <c r="B19" s="336"/>
      <c r="C19" s="40"/>
      <c r="D19" s="92" t="s">
        <v>398</v>
      </c>
      <c r="E19" s="93"/>
      <c r="F19" s="328" t="str">
        <f>IFERROR(F16*F13,"")</f>
        <v/>
      </c>
      <c r="G19" s="116"/>
      <c r="H19" s="176"/>
      <c r="I19" s="321"/>
      <c r="J19" s="21"/>
      <c r="K19" s="319"/>
    </row>
    <row r="20" spans="1:12" ht="16.2" thickBot="1" x14ac:dyDescent="0.35">
      <c r="A20" s="181" t="s">
        <v>186</v>
      </c>
      <c r="B20" s="336"/>
      <c r="C20" s="41"/>
      <c r="D20" s="327" t="s">
        <v>399</v>
      </c>
      <c r="E20" s="329"/>
      <c r="F20" s="330" t="str">
        <f>IFERROR(F19-F18,"")</f>
        <v/>
      </c>
      <c r="G20" s="116"/>
      <c r="H20" s="176"/>
      <c r="I20" s="321"/>
      <c r="J20" s="21"/>
      <c r="K20" s="319"/>
    </row>
    <row r="21" spans="1:12" ht="15.6" x14ac:dyDescent="0.3">
      <c r="A21" s="42" t="s">
        <v>316</v>
      </c>
      <c r="B21" s="336"/>
      <c r="C21" s="41"/>
      <c r="G21" s="116"/>
      <c r="H21" s="118"/>
      <c r="I21" s="321"/>
      <c r="J21" s="21"/>
      <c r="K21" s="319"/>
    </row>
    <row r="22" spans="1:12" ht="23.4" x14ac:dyDescent="0.45">
      <c r="C22" s="41"/>
      <c r="D22" s="628" t="str">
        <f>IF(OR(C29="",C31="",C32="",C34="",D29="",D31="",D32="",D34=""),"WARNING: Sufficient data are not provided.","")</f>
        <v>WARNING: Sufficient data are not provided.</v>
      </c>
      <c r="E22" s="628"/>
      <c r="F22" s="628"/>
      <c r="G22" s="628"/>
      <c r="H22" s="628"/>
      <c r="I22" s="628"/>
      <c r="J22" s="628"/>
      <c r="K22" s="628"/>
      <c r="L22" s="21"/>
    </row>
    <row r="23" spans="1:12" x14ac:dyDescent="0.3">
      <c r="A23" s="1"/>
      <c r="B23" s="13"/>
      <c r="C23" s="13"/>
      <c r="D23" s="13"/>
      <c r="E23" s="13"/>
      <c r="F23" s="13"/>
      <c r="G23" s="13"/>
      <c r="H23" s="36"/>
      <c r="I23" s="322"/>
      <c r="J23" s="36"/>
      <c r="K23" s="322"/>
      <c r="L23" s="21"/>
    </row>
    <row r="24" spans="1:12" ht="30.75" customHeight="1" x14ac:dyDescent="0.3">
      <c r="A24" s="625" t="s">
        <v>118</v>
      </c>
      <c r="B24" s="626"/>
      <c r="C24" s="626"/>
      <c r="D24" s="627"/>
      <c r="E24" s="120"/>
      <c r="F24" s="629" t="s">
        <v>102</v>
      </c>
      <c r="G24" s="629"/>
      <c r="H24" s="629"/>
      <c r="I24" s="629"/>
      <c r="J24" s="629"/>
      <c r="K24" s="629"/>
    </row>
    <row r="25" spans="1:12" ht="15" customHeight="1" x14ac:dyDescent="0.3">
      <c r="A25" s="532" t="s">
        <v>1</v>
      </c>
      <c r="B25" s="532" t="s">
        <v>2</v>
      </c>
      <c r="C25" s="642" t="s">
        <v>66</v>
      </c>
      <c r="D25" s="642" t="s">
        <v>67</v>
      </c>
      <c r="E25" s="121"/>
      <c r="F25" s="527" t="s">
        <v>103</v>
      </c>
      <c r="G25" s="527"/>
      <c r="H25" s="527" t="s">
        <v>104</v>
      </c>
      <c r="I25" s="671" t="s">
        <v>105</v>
      </c>
      <c r="J25" s="527" t="s">
        <v>106</v>
      </c>
      <c r="K25" s="527"/>
    </row>
    <row r="26" spans="1:12" ht="15" customHeight="1" x14ac:dyDescent="0.3">
      <c r="A26" s="533"/>
      <c r="B26" s="533"/>
      <c r="C26" s="643"/>
      <c r="D26" s="643"/>
      <c r="E26" s="121"/>
      <c r="F26" s="527"/>
      <c r="G26" s="527"/>
      <c r="H26" s="527"/>
      <c r="I26" s="671"/>
      <c r="J26" s="527"/>
      <c r="K26" s="527"/>
    </row>
    <row r="27" spans="1:12" ht="15.75" customHeight="1" x14ac:dyDescent="0.3">
      <c r="A27" s="540" t="s">
        <v>60</v>
      </c>
      <c r="B27" s="75" t="s">
        <v>86</v>
      </c>
      <c r="C27" s="48" t="str">
        <f>G46</f>
        <v/>
      </c>
      <c r="D27" s="48" t="str">
        <f>G86</f>
        <v/>
      </c>
      <c r="E27" s="122"/>
      <c r="F27" s="601" t="s">
        <v>60</v>
      </c>
      <c r="G27" s="601"/>
      <c r="H27" s="591" t="str">
        <f>H46</f>
        <v/>
      </c>
      <c r="I27" s="668" t="str">
        <f>H86</f>
        <v/>
      </c>
      <c r="J27" s="591" t="str">
        <f>IFERROR(ROUND(I27-H27,2),"")</f>
        <v/>
      </c>
      <c r="K27" s="591"/>
    </row>
    <row r="28" spans="1:12" ht="17.25" customHeight="1" x14ac:dyDescent="0.3">
      <c r="A28" s="571"/>
      <c r="B28" s="75" t="s">
        <v>128</v>
      </c>
      <c r="C28" s="48" t="str">
        <f>G47</f>
        <v/>
      </c>
      <c r="D28" s="48" t="str">
        <f>G87</f>
        <v/>
      </c>
      <c r="E28" s="122"/>
      <c r="F28" s="601"/>
      <c r="G28" s="601"/>
      <c r="H28" s="591"/>
      <c r="I28" s="668"/>
      <c r="J28" s="591"/>
      <c r="K28" s="591"/>
    </row>
    <row r="29" spans="1:12" ht="15.75" customHeight="1" x14ac:dyDescent="0.3">
      <c r="A29" s="76" t="s">
        <v>6</v>
      </c>
      <c r="B29" s="76" t="s">
        <v>7</v>
      </c>
      <c r="C29" s="48" t="str">
        <f>G48</f>
        <v/>
      </c>
      <c r="D29" s="48" t="str">
        <f>G88</f>
        <v/>
      </c>
      <c r="E29" s="122"/>
      <c r="F29" s="601"/>
      <c r="G29" s="601"/>
      <c r="H29" s="591"/>
      <c r="I29" s="668"/>
      <c r="J29" s="591"/>
      <c r="K29" s="591"/>
    </row>
    <row r="30" spans="1:12" ht="15.75" customHeight="1" x14ac:dyDescent="0.3">
      <c r="A30" s="526" t="s">
        <v>26</v>
      </c>
      <c r="B30" s="77" t="s">
        <v>27</v>
      </c>
      <c r="C30" s="48" t="str">
        <f>G50</f>
        <v/>
      </c>
      <c r="D30" s="48" t="str">
        <f>G90</f>
        <v/>
      </c>
      <c r="E30" s="122"/>
      <c r="F30" s="602" t="s">
        <v>6</v>
      </c>
      <c r="G30" s="602"/>
      <c r="H30" s="591" t="str">
        <f>H48</f>
        <v/>
      </c>
      <c r="I30" s="668" t="str">
        <f>H88</f>
        <v/>
      </c>
      <c r="J30" s="591" t="str">
        <f>IFERROR(ROUND(I30-H30,2),"")</f>
        <v/>
      </c>
      <c r="K30" s="591"/>
    </row>
    <row r="31" spans="1:12" ht="15.75" customHeight="1" x14ac:dyDescent="0.3">
      <c r="A31" s="520"/>
      <c r="B31" s="77" t="s">
        <v>395</v>
      </c>
      <c r="C31" s="48" t="str">
        <f>G52</f>
        <v/>
      </c>
      <c r="D31" s="48" t="str">
        <f>G92</f>
        <v/>
      </c>
      <c r="E31" s="122"/>
      <c r="F31" s="602"/>
      <c r="G31" s="602"/>
      <c r="H31" s="591"/>
      <c r="I31" s="668"/>
      <c r="J31" s="591"/>
      <c r="K31" s="591"/>
    </row>
    <row r="32" spans="1:12" ht="15.75" customHeight="1" x14ac:dyDescent="0.3">
      <c r="A32" s="520"/>
      <c r="B32" s="77" t="s">
        <v>50</v>
      </c>
      <c r="C32" s="48" t="str">
        <f>G56</f>
        <v/>
      </c>
      <c r="D32" s="48" t="str">
        <f>G96</f>
        <v/>
      </c>
      <c r="E32" s="122"/>
      <c r="F32" s="602"/>
      <c r="G32" s="602"/>
      <c r="H32" s="591"/>
      <c r="I32" s="668"/>
      <c r="J32" s="591"/>
      <c r="K32" s="591"/>
    </row>
    <row r="33" spans="1:15" ht="15.75" customHeight="1" x14ac:dyDescent="0.3">
      <c r="A33" s="520"/>
      <c r="B33" s="77" t="s">
        <v>107</v>
      </c>
      <c r="C33" s="48" t="str">
        <f>G66</f>
        <v/>
      </c>
      <c r="D33" s="48" t="str">
        <f>G106</f>
        <v/>
      </c>
      <c r="E33" s="122"/>
      <c r="F33" s="592" t="s">
        <v>26</v>
      </c>
      <c r="G33" s="593"/>
      <c r="H33" s="598" t="str">
        <f>H50</f>
        <v/>
      </c>
      <c r="I33" s="663" t="str">
        <f>H90</f>
        <v/>
      </c>
      <c r="J33" s="585" t="str">
        <f>IFERROR(ROUND(I33-H33,2),"")</f>
        <v/>
      </c>
      <c r="K33" s="586"/>
    </row>
    <row r="34" spans="1:15" ht="15.75" customHeight="1" x14ac:dyDescent="0.3">
      <c r="A34" s="520"/>
      <c r="B34" s="77" t="s">
        <v>51</v>
      </c>
      <c r="C34" s="48" t="str">
        <f>G67</f>
        <v/>
      </c>
      <c r="D34" s="48" t="str">
        <f>G107</f>
        <v/>
      </c>
      <c r="E34" s="122"/>
      <c r="F34" s="594"/>
      <c r="G34" s="595"/>
      <c r="H34" s="599"/>
      <c r="I34" s="664"/>
      <c r="J34" s="587"/>
      <c r="K34" s="588"/>
    </row>
    <row r="35" spans="1:15" ht="15.75" customHeight="1" x14ac:dyDescent="0.3">
      <c r="A35" s="521"/>
      <c r="B35" s="77" t="s">
        <v>54</v>
      </c>
      <c r="C35" s="48" t="str">
        <f t="shared" ref="C35:C36" si="0">G71</f>
        <v/>
      </c>
      <c r="D35" s="48" t="str">
        <f t="shared" ref="D35:D36" si="1">G111</f>
        <v/>
      </c>
      <c r="E35" s="122"/>
      <c r="F35" s="596"/>
      <c r="G35" s="597"/>
      <c r="H35" s="600"/>
      <c r="I35" s="665"/>
      <c r="J35" s="589"/>
      <c r="K35" s="590"/>
    </row>
    <row r="36" spans="1:15" ht="15.75" customHeight="1" x14ac:dyDescent="0.3">
      <c r="A36" s="537" t="s">
        <v>58</v>
      </c>
      <c r="B36" s="290" t="s">
        <v>88</v>
      </c>
      <c r="C36" s="48" t="str">
        <f t="shared" si="0"/>
        <v/>
      </c>
      <c r="D36" s="48" t="str">
        <f t="shared" si="1"/>
        <v/>
      </c>
      <c r="E36" s="122"/>
      <c r="F36" s="630" t="s">
        <v>58</v>
      </c>
      <c r="G36" s="631"/>
      <c r="H36" s="598" t="str">
        <f>H72</f>
        <v/>
      </c>
      <c r="I36" s="663" t="str">
        <f>H112</f>
        <v/>
      </c>
      <c r="J36" s="585" t="str">
        <f>IFERROR(ROUND(I36-H36,2),"")</f>
        <v/>
      </c>
      <c r="K36" s="586"/>
    </row>
    <row r="37" spans="1:15" ht="15.75" customHeight="1" x14ac:dyDescent="0.3">
      <c r="A37" s="538"/>
      <c r="B37" s="297" t="s">
        <v>362</v>
      </c>
      <c r="C37" s="48" t="str">
        <f>G73</f>
        <v/>
      </c>
      <c r="D37" s="48" t="str">
        <f>G113</f>
        <v/>
      </c>
      <c r="E37" s="122"/>
      <c r="F37" s="632"/>
      <c r="G37" s="633"/>
      <c r="H37" s="599"/>
      <c r="I37" s="664"/>
      <c r="J37" s="587"/>
      <c r="K37" s="588"/>
    </row>
    <row r="38" spans="1:15" ht="15.75" customHeight="1" x14ac:dyDescent="0.3">
      <c r="A38" s="538"/>
      <c r="B38" s="290" t="s">
        <v>81</v>
      </c>
      <c r="C38" s="48" t="str">
        <f>G74</f>
        <v/>
      </c>
      <c r="D38" s="48" t="str">
        <f>G114</f>
        <v/>
      </c>
      <c r="E38" s="122"/>
      <c r="F38" s="634"/>
      <c r="G38" s="635"/>
      <c r="H38" s="600"/>
      <c r="I38" s="665"/>
      <c r="J38" s="589"/>
      <c r="K38" s="590"/>
      <c r="L38" s="18"/>
    </row>
    <row r="39" spans="1:15" ht="15.75" customHeight="1" x14ac:dyDescent="0.3">
      <c r="A39" s="539"/>
      <c r="B39" s="290" t="s">
        <v>82</v>
      </c>
      <c r="C39" s="48" t="str">
        <f>G75</f>
        <v/>
      </c>
      <c r="D39" s="48" t="str">
        <f>G115</f>
        <v/>
      </c>
      <c r="E39" s="122"/>
      <c r="F39" s="636" t="s">
        <v>59</v>
      </c>
      <c r="G39" s="637"/>
      <c r="H39" s="598" t="str">
        <f>H76</f>
        <v/>
      </c>
      <c r="I39" s="663" t="str">
        <f>H116</f>
        <v/>
      </c>
      <c r="J39" s="585" t="str">
        <f>IFERROR(I39-H39,"")</f>
        <v/>
      </c>
      <c r="K39" s="586"/>
      <c r="L39" s="21"/>
    </row>
    <row r="40" spans="1:15" ht="15.75" customHeight="1" x14ac:dyDescent="0.3">
      <c r="A40" s="550" t="s">
        <v>59</v>
      </c>
      <c r="B40" s="78" t="s">
        <v>340</v>
      </c>
      <c r="C40" s="48" t="str">
        <f>G76</f>
        <v/>
      </c>
      <c r="D40" s="48" t="str">
        <f>G116</f>
        <v/>
      </c>
      <c r="E40" s="122"/>
      <c r="F40" s="638"/>
      <c r="G40" s="639"/>
      <c r="H40" s="599"/>
      <c r="I40" s="664"/>
      <c r="J40" s="587"/>
      <c r="K40" s="588"/>
    </row>
    <row r="41" spans="1:15" ht="15.6" customHeight="1" x14ac:dyDescent="0.3">
      <c r="A41" s="551"/>
      <c r="B41" s="78" t="s">
        <v>74</v>
      </c>
      <c r="C41" s="48" t="str">
        <f>G80</f>
        <v/>
      </c>
      <c r="D41" s="48" t="str">
        <f>G120</f>
        <v/>
      </c>
      <c r="E41" s="122"/>
      <c r="F41" s="640"/>
      <c r="G41" s="641"/>
      <c r="H41" s="600"/>
      <c r="I41" s="665"/>
      <c r="J41" s="589"/>
      <c r="K41" s="590"/>
    </row>
    <row r="42" spans="1:15" ht="15" customHeight="1" x14ac:dyDescent="0.3">
      <c r="A42" s="1"/>
      <c r="B42" s="13"/>
      <c r="C42" s="13"/>
      <c r="D42" s="13"/>
      <c r="E42" s="13"/>
      <c r="F42" s="13"/>
      <c r="G42" s="13"/>
      <c r="H42" s="36"/>
      <c r="I42" s="322"/>
      <c r="J42" s="36"/>
      <c r="K42" s="322"/>
      <c r="L42" s="21"/>
    </row>
    <row r="43" spans="1:15" ht="15" customHeight="1" x14ac:dyDescent="0.3">
      <c r="A43" s="1"/>
      <c r="B43" s="13"/>
      <c r="C43" s="13"/>
      <c r="D43" s="13"/>
      <c r="E43" s="13"/>
      <c r="F43" s="13"/>
      <c r="G43" s="13"/>
      <c r="H43" s="36"/>
      <c r="I43" s="322"/>
      <c r="J43" s="36"/>
      <c r="K43" s="322"/>
      <c r="L43" s="21"/>
    </row>
    <row r="44" spans="1:15" ht="21" x14ac:dyDescent="0.4">
      <c r="A44" s="544" t="s">
        <v>56</v>
      </c>
      <c r="B44" s="545"/>
      <c r="C44" s="545"/>
      <c r="D44" s="545"/>
      <c r="E44" s="545"/>
      <c r="F44" s="546"/>
      <c r="G44" s="544" t="s">
        <v>18</v>
      </c>
      <c r="H44" s="545"/>
      <c r="I44" s="545"/>
      <c r="J44" s="545"/>
      <c r="K44" s="546"/>
      <c r="L44" s="21"/>
    </row>
    <row r="45" spans="1:15" ht="15.6" x14ac:dyDescent="0.3">
      <c r="A45" s="158" t="s">
        <v>1</v>
      </c>
      <c r="B45" s="158" t="s">
        <v>2</v>
      </c>
      <c r="C45" s="542" t="s">
        <v>3</v>
      </c>
      <c r="D45" s="543"/>
      <c r="E45" s="158" t="s">
        <v>15</v>
      </c>
      <c r="F45" s="302" t="s">
        <v>16</v>
      </c>
      <c r="G45" s="158" t="s">
        <v>19</v>
      </c>
      <c r="H45" s="158" t="s">
        <v>20</v>
      </c>
      <c r="I45" s="314" t="s">
        <v>20</v>
      </c>
      <c r="J45" s="158" t="s">
        <v>104</v>
      </c>
      <c r="K45" s="315" t="s">
        <v>104</v>
      </c>
      <c r="L45" s="21"/>
    </row>
    <row r="46" spans="1:15" ht="15.6" x14ac:dyDescent="0.3">
      <c r="A46" s="540" t="s">
        <v>60</v>
      </c>
      <c r="B46" s="299" t="s">
        <v>86</v>
      </c>
      <c r="C46" s="52" t="s">
        <v>388</v>
      </c>
      <c r="D46" s="52"/>
      <c r="E46" s="162"/>
      <c r="F46" s="338" t="str">
        <f>IF(E46="","",IF(E46&lt;=0,0,IF(E46&gt;=0.95,1,ROUND('Reference Standards'!C$14*E46+'Reference Standards'!C$15,2))))</f>
        <v/>
      </c>
      <c r="G46" s="83" t="str">
        <f>IFERROR(AVERAGE(F46),"")</f>
        <v/>
      </c>
      <c r="H46" s="522" t="str">
        <f>IFERROR(ROUND(AVERAGE(G46:G47),2),"")</f>
        <v/>
      </c>
      <c r="I46" s="519" t="str">
        <f>IF(H46="","",IF(H46&gt;0.69,"Functioning",IF(H46&gt;0.29,"Functioning At Risk",IF(H46&gt;-1,"Not Functioning"))))</f>
        <v/>
      </c>
      <c r="J46" s="559" t="str">
        <f>IF(AND(H46="",H48="",H50="",H72="",H76=""),"",ROUND((IF(H46="",0,H46)*0.2)+(IF(H48="",0,H48)*0.2)+(IF(H50="",0,H50)*0.2)+(IF(H72="",0,H72)*0.2)+(IF(H76="",0,H76)*0.2),2))</f>
        <v/>
      </c>
      <c r="K46" s="555" t="str">
        <f>IF(J46="","",IF(J46&lt;0.3, "Not Functioning",IF(OR(H46&lt;0.7,H48&lt;0.7,H50&lt;0.7,H72&lt;0.7,H76&lt;0.7),"Functioning At Risk",IF(J46&lt;0.7,"Functioning At Risk","Functioning"))))</f>
        <v/>
      </c>
      <c r="L46" s="21"/>
      <c r="N46" s="19"/>
    </row>
    <row r="47" spans="1:15" ht="15.6" x14ac:dyDescent="0.3">
      <c r="A47" s="541"/>
      <c r="B47" s="371" t="s">
        <v>128</v>
      </c>
      <c r="C47" s="373" t="s">
        <v>161</v>
      </c>
      <c r="D47" s="374"/>
      <c r="E47" s="43"/>
      <c r="F47" s="372" t="str">
        <f>IF(E47="","",IF(E47&gt;=1,1,IF(E47&lt;=0,0,ROUND(E47,2))))</f>
        <v/>
      </c>
      <c r="G47" s="367" t="str">
        <f>IFERROR(AVERAGE(F47:F47),"")</f>
        <v/>
      </c>
      <c r="H47" s="523"/>
      <c r="I47" s="519"/>
      <c r="J47" s="559"/>
      <c r="K47" s="555"/>
      <c r="L47" s="21"/>
      <c r="N47" s="19"/>
    </row>
    <row r="48" spans="1:15" ht="15.6" x14ac:dyDescent="0.3">
      <c r="A48" s="524" t="s">
        <v>6</v>
      </c>
      <c r="B48" s="572" t="s">
        <v>7</v>
      </c>
      <c r="C48" s="54" t="s">
        <v>8</v>
      </c>
      <c r="D48" s="54"/>
      <c r="E48" s="162"/>
      <c r="F48" s="339" t="str">
        <f>IF(E48="","",ROUND(IF(E48&gt;1.6,0,IF(E48&lt;=1,1,E48^2*'Reference Standards'!K$14+E48*'Reference Standards'!K$15+'Reference Standards'!K$16)),2))</f>
        <v/>
      </c>
      <c r="G48" s="579" t="str">
        <f>IFERROR(AVERAGE(F48:F49),"")</f>
        <v/>
      </c>
      <c r="H48" s="579" t="str">
        <f>IFERROR(ROUND(AVERAGE(G48),2),"")</f>
        <v/>
      </c>
      <c r="I48" s="569" t="str">
        <f>IF(H48="","",IF(H48&gt;0.69,"Functioning",IF(H48&gt;0.29,"Functioning At Risk",IF(H48&gt;-1,"Not Functioning"))))</f>
        <v/>
      </c>
      <c r="J48" s="559"/>
      <c r="K48" s="555"/>
      <c r="L48" s="21"/>
      <c r="N48" s="19"/>
      <c r="O48" s="19"/>
    </row>
    <row r="49" spans="1:15" ht="15.6" x14ac:dyDescent="0.3">
      <c r="A49" s="525"/>
      <c r="B49" s="572"/>
      <c r="C49" s="54" t="s">
        <v>9</v>
      </c>
      <c r="D49" s="54"/>
      <c r="E49" s="162"/>
      <c r="F49" s="339" t="str">
        <f>IF(E49="","",(IF(OR(B$11="A",B$11="B",$B$11="Bc"),IF(E49&lt;1.2,0,IF(E49&gt;=2.2,1,ROUND(IF(E49&lt;1.4,E49*'Reference Standards'!$K$84+'Reference Standards'!$K$85,E49*'Reference Standards'!$L$84+'Reference Standards'!$L$85),2))),IF(OR(B$11="C",B$11="E"),IF(E49&lt;2,0,IF(E49&gt;=5,1,ROUND(IF(E49&lt;2.4,E49*'Reference Standards'!$L$49+'Reference Standards'!$L$50,E49*'Reference Standards'!$K$49+'Reference Standards'!$K$50),2)))))))</f>
        <v/>
      </c>
      <c r="G49" s="581"/>
      <c r="H49" s="580"/>
      <c r="I49" s="570"/>
      <c r="J49" s="559"/>
      <c r="K49" s="555"/>
      <c r="L49" s="21"/>
      <c r="N49" s="19"/>
      <c r="O49" s="19"/>
    </row>
    <row r="50" spans="1:15" ht="15.6" x14ac:dyDescent="0.3">
      <c r="A50" s="526" t="s">
        <v>26</v>
      </c>
      <c r="B50" s="557" t="s">
        <v>27</v>
      </c>
      <c r="C50" s="60" t="s">
        <v>333</v>
      </c>
      <c r="D50" s="244"/>
      <c r="E50" s="61"/>
      <c r="F50" s="340" t="str">
        <f>IF(E50="","",IF(OR(LEFT('Quantification Tool R3'!$B$12,2)="65",LEFT('Quantification Tool R3'!$B$12,2)="66",LEFT('Quantification Tool R3'!$B$12,2)="71"),IF(E50&gt;=850,1,IF(E50&lt;250,ROUND('Reference Standards'!$S$17*(E50)+'Reference Standards'!$S$18,2),ROUND('Reference Standards'!$T$17*E50+'Reference Standards'!$T$18,2))),  IF(E50&gt;=345,1,IF(E50&lt;=180,ROUND('Reference Standards'!$U$17*(E50)+'Reference Standards'!$U$18,2),ROUND('Reference Standards'!$V$17*E50+'Reference Standards'!$V$18,2))))    )</f>
        <v/>
      </c>
      <c r="G50" s="528" t="str">
        <f>IFERROR(AVERAGE(F50:F51),"")</f>
        <v/>
      </c>
      <c r="H50" s="566" t="str">
        <f>IFERROR(ROUND(AVERAGE(G50:G71),2),"")</f>
        <v/>
      </c>
      <c r="I50" s="555" t="str">
        <f>IF(H50="","",IF(H50&gt;0.69,"Functioning",IF(H50&gt;0.29,"Functioning At Risk",IF(H50&gt;-1,"Not Functioning"))))</f>
        <v/>
      </c>
      <c r="J50" s="559"/>
      <c r="K50" s="555"/>
      <c r="L50" s="21"/>
      <c r="N50" s="19"/>
      <c r="O50" s="19"/>
    </row>
    <row r="51" spans="1:15" ht="15.6" x14ac:dyDescent="0.3">
      <c r="A51" s="520"/>
      <c r="B51" s="558"/>
      <c r="C51" s="63" t="s">
        <v>323</v>
      </c>
      <c r="D51" s="245"/>
      <c r="E51" s="53"/>
      <c r="F51" s="341" t="str">
        <f>IF(E51="","",IF(OR(LEFT('Quantification Tool R3'!$B$12,2)="65",LEFT('Quantification Tool R3'!$B$12,2)="66",LEFT('Quantification Tool R3'!$B$12,2)="71"),IF(E51&gt;=30,1,IF(E51&lt;13,ROUND('Reference Standards'!$S$53*(E51)+'Reference Standards'!$S$54,2),ROUND('Reference Standards'!$T$53*E51+'Reference Standards'!$T$54,2))),  IF(E51&gt;=16,1,IF(E51&lt;=9,ROUND('Reference Standards'!$U$53*(E51)+'Reference Standards'!$U$54,2),ROUND('Reference Standards'!$V$53*E51+'Reference Standards'!$V$54,2))))    )</f>
        <v/>
      </c>
      <c r="G51" s="530"/>
      <c r="H51" s="566"/>
      <c r="I51" s="555"/>
      <c r="J51" s="559"/>
      <c r="K51" s="555"/>
      <c r="L51" s="21"/>
      <c r="N51" s="19"/>
      <c r="O51" s="19"/>
    </row>
    <row r="52" spans="1:15" ht="15.6" x14ac:dyDescent="0.3">
      <c r="A52" s="520"/>
      <c r="B52" s="520" t="s">
        <v>395</v>
      </c>
      <c r="C52" s="58" t="s">
        <v>80</v>
      </c>
      <c r="D52" s="58"/>
      <c r="E52" s="165"/>
      <c r="F52" s="340" t="str">
        <f>IF(E52="","",ROUND(IF(E52&gt;0.7,0,IF(E52&lt;=0.1,1,E52^3*'Reference Standards'!S$87+E52^2*'Reference Standards'!S$88+E52*'Reference Standards'!S$89+'Reference Standards'!S$90)),2))</f>
        <v/>
      </c>
      <c r="G52" s="528" t="str">
        <f>IFERROR(ROUND(AVERAGE(F52:F55),2),"")</f>
        <v/>
      </c>
      <c r="H52" s="567"/>
      <c r="I52" s="555"/>
      <c r="J52" s="559"/>
      <c r="K52" s="555"/>
      <c r="L52" s="21"/>
      <c r="N52" s="19"/>
      <c r="O52" s="19"/>
    </row>
    <row r="53" spans="1:15" ht="15.6" x14ac:dyDescent="0.3">
      <c r="A53" s="520"/>
      <c r="B53" s="520"/>
      <c r="C53" s="58" t="s">
        <v>49</v>
      </c>
      <c r="D53" s="58"/>
      <c r="E53" s="165"/>
      <c r="F53" s="84" t="str">
        <f>IF(E53="","",IF(OR(E53="Ex/Ex",E53="Ex/VH"),0, IF(OR(E53="Ex/H",E53="VH/Ex",E53="VH/VH", E53="H/Ex",E53="H/VH",E53="M/Ex"),0.1,IF(OR(E53="Ex/M",E53="VH/H",E53="H/H", E53="M/VH"),0.2, IF(OR(E53="Ex/L",E53="VH/M",E53="H/M", E53="M/H",E53="L/Ex"),0.3, IF(OR(E53="Ex/VL",E53="VH/L",E53="H/L"),0.4, IF(OR(E53="VH/VL",E53="H/VL",E53="M/M", E53="L/VH"),0.5, IF(OR(E53="M/L",E53="L/H"),0.6, IF(OR(E53="M/VL",E53="L/M"),0.7, IF(OR(E53="L/L",E53="L/VL"),1))))))))))</f>
        <v/>
      </c>
      <c r="G53" s="529"/>
      <c r="H53" s="567"/>
      <c r="I53" s="555"/>
      <c r="J53" s="559"/>
      <c r="K53" s="555"/>
      <c r="L53" s="21"/>
      <c r="N53" s="19"/>
      <c r="O53" s="19"/>
    </row>
    <row r="54" spans="1:15" ht="15.6" x14ac:dyDescent="0.3">
      <c r="A54" s="520"/>
      <c r="B54" s="520"/>
      <c r="C54" s="58" t="s">
        <v>87</v>
      </c>
      <c r="D54" s="58"/>
      <c r="E54" s="165"/>
      <c r="F54" s="84" t="str">
        <f>IF(E54="","",ROUND(IF(E54&gt;40,0,IF(E54&lt;5,1,E54^3*'Reference Standards'!S$122+E54^2*'Reference Standards'!S$123+E54*'Reference Standards'!S$124+'Reference Standards'!S$125)),2))</f>
        <v/>
      </c>
      <c r="G54" s="529"/>
      <c r="H54" s="567"/>
      <c r="I54" s="555"/>
      <c r="J54" s="559"/>
      <c r="K54" s="555"/>
      <c r="L54" s="21"/>
      <c r="N54" s="19"/>
      <c r="O54" s="19"/>
    </row>
    <row r="55" spans="1:15" ht="15.6" x14ac:dyDescent="0.3">
      <c r="A55" s="520"/>
      <c r="B55" s="521"/>
      <c r="C55" s="59" t="s">
        <v>394</v>
      </c>
      <c r="D55" s="59"/>
      <c r="E55" s="167"/>
      <c r="F55" s="341" t="str">
        <f>IF(E55="","",ROUND(IF(E55&gt;=30,0,IF(E55&lt;=0,1,E55*'Reference Standards'!S$156+'Reference Standards'!S$157)),2))</f>
        <v/>
      </c>
      <c r="G55" s="530"/>
      <c r="H55" s="567"/>
      <c r="I55" s="555"/>
      <c r="J55" s="559"/>
      <c r="K55" s="555"/>
      <c r="L55" s="21"/>
      <c r="N55" s="19"/>
      <c r="O55" s="19"/>
    </row>
    <row r="56" spans="1:15" ht="15.6" x14ac:dyDescent="0.3">
      <c r="A56" s="520"/>
      <c r="B56" s="520" t="s">
        <v>50</v>
      </c>
      <c r="C56" s="60" t="s">
        <v>377</v>
      </c>
      <c r="D56" s="64"/>
      <c r="E56" s="136"/>
      <c r="F56" s="294" t="str">
        <f>IF(E56="","",ROUND(IF(E56&gt;9.2,1,E56*'Reference Standards'!$S$189+'Reference Standards'!$S$190),2))</f>
        <v/>
      </c>
      <c r="G56" s="552" t="str">
        <f>IFERROR(ROUND(AVERAGE(F56:F65),2),"")</f>
        <v/>
      </c>
      <c r="H56" s="567"/>
      <c r="I56" s="555"/>
      <c r="J56" s="559"/>
      <c r="K56" s="555"/>
      <c r="L56" s="21"/>
      <c r="N56" s="19"/>
      <c r="O56" s="19"/>
    </row>
    <row r="57" spans="1:15" ht="15.6" x14ac:dyDescent="0.3">
      <c r="A57" s="520"/>
      <c r="B57" s="520"/>
      <c r="C57" s="62" t="s">
        <v>378</v>
      </c>
      <c r="D57" s="58"/>
      <c r="E57" s="162"/>
      <c r="F57" s="294" t="str">
        <f>IF(E57="","",ROUND(IF(E57&gt;9.2,1,E57*'Reference Standards'!$S$189+'Reference Standards'!$S$190),2))</f>
        <v/>
      </c>
      <c r="G57" s="553"/>
      <c r="H57" s="567"/>
      <c r="I57" s="555"/>
      <c r="J57" s="559"/>
      <c r="K57" s="555"/>
      <c r="L57" s="21"/>
      <c r="N57" s="19"/>
      <c r="O57" s="19"/>
    </row>
    <row r="58" spans="1:15" ht="15.6" x14ac:dyDescent="0.3">
      <c r="A58" s="520"/>
      <c r="B58" s="520"/>
      <c r="C58" s="62" t="s">
        <v>379</v>
      </c>
      <c r="D58" s="58"/>
      <c r="E58" s="162"/>
      <c r="F58" s="294" t="str">
        <f>IF(E58="","",ROUND( IF(E58&gt;=200,1,IF(E58&lt;50, E58^2*'Reference Standards'!S$224+E58*'Reference Standards'!S$225+'Reference Standards'!S$226, E58*'Reference Standards'!T$224+'Reference Standards'!T$225)),2))</f>
        <v/>
      </c>
      <c r="G58" s="553"/>
      <c r="H58" s="567"/>
      <c r="I58" s="555"/>
      <c r="J58" s="559"/>
      <c r="K58" s="555"/>
      <c r="L58" s="21"/>
      <c r="N58" s="19"/>
      <c r="O58" s="19"/>
    </row>
    <row r="59" spans="1:15" ht="15.6" x14ac:dyDescent="0.3">
      <c r="A59" s="520"/>
      <c r="B59" s="520"/>
      <c r="C59" s="62" t="s">
        <v>380</v>
      </c>
      <c r="D59" s="58"/>
      <c r="E59" s="162"/>
      <c r="F59" s="294" t="str">
        <f>IF(E59="","",ROUND( IF(E59&gt;=200,1,IF(E59&lt;50, E59^2*'Reference Standards'!S$224+E59*'Reference Standards'!S$225+'Reference Standards'!S$226, E59*'Reference Standards'!T$224+'Reference Standards'!T$225)),2))</f>
        <v/>
      </c>
      <c r="G59" s="553"/>
      <c r="H59" s="567"/>
      <c r="I59" s="555"/>
      <c r="J59" s="559"/>
      <c r="K59" s="555"/>
      <c r="L59" s="21"/>
      <c r="N59" s="19"/>
      <c r="O59" s="19"/>
    </row>
    <row r="60" spans="1:15" ht="15.6" x14ac:dyDescent="0.3">
      <c r="A60" s="520"/>
      <c r="B60" s="520"/>
      <c r="C60" s="58" t="s">
        <v>381</v>
      </c>
      <c r="D60" s="58"/>
      <c r="E60" s="162"/>
      <c r="F60" s="294" t="str">
        <f>IF(E60="","",ROUND(IF(AND(E60&gt;=135,E60&lt;=262),1,IF(  E60&gt;=366,0.5, IF(E60&lt;135,E60*'Reference Standards'!S$259+'Reference Standards'!S$260, E60*'Reference Standards'!T$259+'Reference Standards'!T$260))),2))</f>
        <v/>
      </c>
      <c r="G60" s="553"/>
      <c r="H60" s="567"/>
      <c r="I60" s="555"/>
      <c r="J60" s="559"/>
      <c r="K60" s="555"/>
      <c r="L60" s="21"/>
      <c r="N60" s="19"/>
      <c r="O60" s="19"/>
    </row>
    <row r="61" spans="1:15" ht="15.6" x14ac:dyDescent="0.3">
      <c r="A61" s="520"/>
      <c r="B61" s="520"/>
      <c r="C61" s="58" t="s">
        <v>382</v>
      </c>
      <c r="D61" s="58"/>
      <c r="E61" s="162"/>
      <c r="F61" s="294" t="str">
        <f>IF(E61="","",ROUND(IF(AND(E61&gt;=135,E61&lt;=262),1,IF(  E61&gt;=366,0.5, IF(E61&lt;135,E61*'Reference Standards'!S$259+'Reference Standards'!S$260, E61*'Reference Standards'!T$259+'Reference Standards'!T$260))),2))</f>
        <v/>
      </c>
      <c r="G61" s="553"/>
      <c r="H61" s="567"/>
      <c r="I61" s="555"/>
      <c r="J61" s="559"/>
      <c r="K61" s="555"/>
      <c r="L61" s="21"/>
      <c r="N61" s="19"/>
      <c r="O61" s="19"/>
    </row>
    <row r="62" spans="1:15" ht="15.6" x14ac:dyDescent="0.3">
      <c r="A62" s="520"/>
      <c r="B62" s="520"/>
      <c r="C62" s="58" t="s">
        <v>383</v>
      </c>
      <c r="D62" s="58"/>
      <c r="E62" s="162"/>
      <c r="F62" s="84" t="str">
        <f>IF(E62="","",ROUND(IF(E62&gt;=75,1,IF(E62&lt;=0,0,E62*'Reference Standards'!S$330)),2))</f>
        <v/>
      </c>
      <c r="G62" s="553"/>
      <c r="H62" s="567"/>
      <c r="I62" s="555"/>
      <c r="J62" s="559"/>
      <c r="K62" s="555"/>
      <c r="L62" s="21"/>
      <c r="N62" s="19"/>
      <c r="O62" s="19"/>
    </row>
    <row r="63" spans="1:15" ht="15.6" x14ac:dyDescent="0.3">
      <c r="A63" s="520"/>
      <c r="B63" s="520"/>
      <c r="C63" s="58" t="s">
        <v>384</v>
      </c>
      <c r="D63" s="58"/>
      <c r="E63" s="162"/>
      <c r="F63" s="84" t="str">
        <f>IF(E63="","",ROUND(IF(E63&gt;=75,1,IF(E63&lt;=0,0,E63*'Reference Standards'!S$330)),2))</f>
        <v/>
      </c>
      <c r="G63" s="553"/>
      <c r="H63" s="567"/>
      <c r="I63" s="555"/>
      <c r="J63" s="559"/>
      <c r="K63" s="555"/>
      <c r="L63" s="21"/>
      <c r="N63" s="19"/>
      <c r="O63" s="19"/>
    </row>
    <row r="64" spans="1:15" ht="15.6" x14ac:dyDescent="0.3">
      <c r="A64" s="520"/>
      <c r="B64" s="520"/>
      <c r="C64" s="58" t="s">
        <v>385</v>
      </c>
      <c r="D64" s="58"/>
      <c r="E64" s="162"/>
      <c r="F64" s="294" t="str">
        <f>IF(E64="","",ROUND(IF(AND(E64&gt;=36.3,E64&lt;=68),1,IF(E64&gt;100,0,IF(E64&lt;36.3,(('Reference Standards'!S$297*(E64^2))+('Reference Standards'!S$298*E64)+'Reference Standards'!S$299),IF(E64&gt;68,(('Reference Standards'!T$297*(E64^2))+('Reference Standards'!T$298*E64)+'Reference Standards'!T$299))))),2))</f>
        <v/>
      </c>
      <c r="G64" s="553"/>
      <c r="H64" s="567"/>
      <c r="I64" s="555"/>
      <c r="J64" s="559"/>
      <c r="K64" s="555"/>
      <c r="L64" s="21"/>
      <c r="N64" s="19"/>
      <c r="O64" s="19"/>
    </row>
    <row r="65" spans="1:15" ht="15.6" x14ac:dyDescent="0.3">
      <c r="A65" s="520"/>
      <c r="B65" s="521"/>
      <c r="C65" s="58" t="s">
        <v>386</v>
      </c>
      <c r="D65" s="65"/>
      <c r="E65" s="162"/>
      <c r="F65" s="294" t="str">
        <f>IF(E65="","",ROUND(IF(AND(E65&gt;=36.3,E65&lt;=68),1,IF(E65&gt;100,0,IF(E65&lt;36.3,(('Reference Standards'!S$297*(E65^2))+('Reference Standards'!S$298*E65)+'Reference Standards'!S$299),IF(E65&gt;68,(('Reference Standards'!T$297*(E65^2))+('Reference Standards'!T$298*E65)+'Reference Standards'!T$299))))),2))</f>
        <v/>
      </c>
      <c r="G65" s="554"/>
      <c r="H65" s="567"/>
      <c r="I65" s="555"/>
      <c r="J65" s="559"/>
      <c r="K65" s="555"/>
      <c r="L65" s="21"/>
      <c r="N65" s="19"/>
      <c r="O65" s="19"/>
    </row>
    <row r="66" spans="1:15" ht="15.6" x14ac:dyDescent="0.3">
      <c r="A66" s="520"/>
      <c r="B66" s="56" t="s">
        <v>108</v>
      </c>
      <c r="C66" s="72" t="s">
        <v>130</v>
      </c>
      <c r="D66" s="58"/>
      <c r="E66" s="43"/>
      <c r="F66" s="82" t="str">
        <f>IF(E66="","",IF(OR(B$14="Gravel",B$14="Cobble"),IF(E66&gt;0.1,1,IF(E66&lt;=0.01,0,ROUND(E66*'Reference Standards'!$S$362+'Reference Standards'!$S$363,2)))))</f>
        <v/>
      </c>
      <c r="G66" s="82" t="str">
        <f>IFERROR(AVERAGE(F66),"")</f>
        <v/>
      </c>
      <c r="H66" s="567"/>
      <c r="I66" s="555"/>
      <c r="J66" s="559"/>
      <c r="K66" s="555"/>
      <c r="L66" s="21"/>
      <c r="N66" s="19"/>
      <c r="O66" s="19"/>
    </row>
    <row r="67" spans="1:15" ht="15.6" x14ac:dyDescent="0.3">
      <c r="A67" s="520"/>
      <c r="B67" s="526" t="s">
        <v>51</v>
      </c>
      <c r="C67" s="64" t="s">
        <v>52</v>
      </c>
      <c r="D67" s="64"/>
      <c r="E67" s="166"/>
      <c r="F67" s="337" t="str">
        <f>IF(E67="","",IF(ISNUMBER($B$17),IF($B$17&lt;=2,IF(AND(E67&gt;=3,E67&lt;=5),1,IF(OR(E67&lt;=1,E67&gt;=7),0,ROUND(IF(E67&lt;3,E67*'Reference Standards'!S$398+'Reference Standards'!S$399,E67*'Reference Standards'!T$398+'Reference Standards'!T$399),2))),IF(E67&lt;=2.5,1,IF(E67&gt;=5.8,0,E67*'Reference Standards'!S$430+'Reference Standards'!S$431)))))</f>
        <v/>
      </c>
      <c r="G67" s="528" t="str">
        <f>IFERROR(AVERAGE(F67:F70),"")</f>
        <v/>
      </c>
      <c r="H67" s="567"/>
      <c r="I67" s="555"/>
      <c r="J67" s="559"/>
      <c r="K67" s="555"/>
      <c r="L67" s="21"/>
      <c r="N67" s="19"/>
      <c r="O67" s="19"/>
    </row>
    <row r="68" spans="1:15" ht="15.6" x14ac:dyDescent="0.3">
      <c r="A68" s="520"/>
      <c r="B68" s="520"/>
      <c r="C68" s="58" t="s">
        <v>53</v>
      </c>
      <c r="D68" s="58"/>
      <c r="E68" s="165"/>
      <c r="F68" s="84" t="str">
        <f>IF(E68="","", IF( E68&gt;=2.4,1, IF(E68&lt;=1,0,  ROUND(IF(E68&lt;2.4, E68*'Reference Standards'!$S$464+'Reference Standards'!$S$465  ),2))))</f>
        <v/>
      </c>
      <c r="G68" s="529"/>
      <c r="H68" s="567"/>
      <c r="I68" s="555"/>
      <c r="J68" s="559"/>
      <c r="K68" s="555"/>
      <c r="L68" s="21"/>
      <c r="N68" s="19"/>
      <c r="O68" s="19"/>
    </row>
    <row r="69" spans="1:15" ht="15.6" x14ac:dyDescent="0.3">
      <c r="A69" s="520"/>
      <c r="B69" s="520"/>
      <c r="C69" s="58" t="s">
        <v>334</v>
      </c>
      <c r="D69" s="58"/>
      <c r="E69" s="165"/>
      <c r="F69" s="390" t="str">
        <f>IF(E69="","", IF(LEFT($B$12,2)="67",  IF( AND(E69&gt;=45,E69&lt;=65),1, IF(OR(E69&lt;=20,E69&gt;=90),0, ROUND(  IF(E69&lt;45, E69*'Reference Standards'!$S$498+'Reference Standards'!$S$499,E69*'Reference Standards'!$T$498+'Reference Standards'!$T$499),2))), IF(OR(  LEFT($B$12,2)="68", LEFT($B$12,2)="69",LEFT($B$12,2)="71"),  IF( AND(E69&gt;=30,E69&lt;=50),1, IF(OR(E69&lt;=10,E69&gt;=70),0, ROUND(  IF(E69&lt;30, E69*'Reference Standards'!$S$533+'Reference Standards'!$S$534,E69*'Reference Standards'!$T$533+'Reference Standards'!$T$534),2))), IF(LEFT($B$12,2)="66",  IF( AND(E69&gt;=20,E69&lt;=45),1, IF(OR(E69&lt;=0,E69&gt;=90),0, ROUND(  IF(E69&lt;20, E69*'Reference Standards'!$S$567+'Reference Standards'!$S$568,E69*'Reference Standards'!$T$567+'Reference Standards'!$T$568),2))), IF(OR(  LEFT($B$12,2)="65", LEFT($B$12,2)="74", LEFT($B$12,2)="73"),  IF( AND(E69&gt;=20,E69&lt;=30),1, IF(OR(E69&lt;=0,E69&gt;=50),0, ROUND(  IF(E69&lt;20, E69*'Reference Standards'!$S$601+'Reference Standards'!$S$602,E69*'Reference Standards'!$T$601+'Reference Standards'!$T$602),2))))))))</f>
        <v/>
      </c>
      <c r="G69" s="529"/>
      <c r="H69" s="567"/>
      <c r="I69" s="555"/>
      <c r="J69" s="559"/>
      <c r="K69" s="555"/>
      <c r="L69" s="21"/>
      <c r="N69" s="19"/>
      <c r="O69" s="19"/>
    </row>
    <row r="70" spans="1:15" ht="15.6" x14ac:dyDescent="0.3">
      <c r="A70" s="520"/>
      <c r="B70" s="521"/>
      <c r="C70" s="62" t="s">
        <v>210</v>
      </c>
      <c r="D70" s="58"/>
      <c r="E70" s="167"/>
      <c r="F70" s="391" t="str">
        <f>IF(E70="","",IF(E70&gt;=1.6,0,IF(E70&lt;=1,1,ROUND('Reference Standards'!$S$633*E70^3+'Reference Standards'!$S$634*E70^2+'Reference Standards'!$S$635*E70+'Reference Standards'!$S$636,2))))</f>
        <v/>
      </c>
      <c r="G70" s="530"/>
      <c r="H70" s="567"/>
      <c r="I70" s="555"/>
      <c r="J70" s="559"/>
      <c r="K70" s="555"/>
      <c r="L70" s="21"/>
      <c r="N70" s="19"/>
      <c r="O70" s="19"/>
    </row>
    <row r="71" spans="1:15" ht="15.6" x14ac:dyDescent="0.3">
      <c r="A71" s="521"/>
      <c r="B71" s="296" t="s">
        <v>55</v>
      </c>
      <c r="C71" s="242" t="s">
        <v>54</v>
      </c>
      <c r="D71" s="243"/>
      <c r="E71" s="241"/>
      <c r="F71" s="342" t="str">
        <f>IF(E71="","",IF(AND(B$11="E",$B$14="Sand",$B$21="Unconfined Alluvial"),ROUND(IF(OR(E71&gt;1.8,E71&lt;1.3),0,IF(E71&lt;=1.6,1,E71*'Reference Standards'!S$667+'Reference Standards'!S$668)),2),    IF($B$21="Unconfined Alluvial",ROUND(IF(OR(E71&lt;1.2, E71&gt;1.5),0,IF(E71&lt;=1.4,1,E71*'Reference Standards'!$S$700+'Reference Standards'!$S$701)),2), IF($B$21="Confined Alluvial",ROUND(IF(E71&lt;1.15,0,IF(E71&lt;=1.4,E71*'Reference Standards'!$S$729+'Reference Standards'!$S$730,1)),2),  IF($B$21="Colluvial",ROUND(IF(E71&gt;1.3,0,IF(E71&gt;1.2,E71*'Reference Standards'!$S$760+'Reference Standards'!$S$761,1)),2) )))))</f>
        <v/>
      </c>
      <c r="G71" s="84" t="str">
        <f>IFERROR(AVERAGE(F71),"")</f>
        <v/>
      </c>
      <c r="H71" s="567"/>
      <c r="I71" s="555"/>
      <c r="J71" s="559"/>
      <c r="K71" s="555"/>
      <c r="L71" s="21"/>
      <c r="N71" s="19"/>
      <c r="O71" s="19"/>
    </row>
    <row r="72" spans="1:15" ht="15.6" x14ac:dyDescent="0.3">
      <c r="A72" s="537" t="s">
        <v>58</v>
      </c>
      <c r="B72" s="67" t="s">
        <v>88</v>
      </c>
      <c r="C72" s="70" t="s">
        <v>338</v>
      </c>
      <c r="D72" s="70"/>
      <c r="E72" s="43"/>
      <c r="F72" s="343" t="str">
        <f>IF(E72="","",ROUND(IF(E72&gt;=942,0,IF(E72&lt;=487,E72*'Reference Standards'!AB$15+'Reference Standards'!AB$16,E72*'Reference Standards'!$AC$15+'Reference Standards'!$AC$16)),2))</f>
        <v/>
      </c>
      <c r="G72" s="85" t="str">
        <f>IFERROR(AVERAGE(F72),"")</f>
        <v/>
      </c>
      <c r="H72" s="547" t="str">
        <f>IFERROR(ROUND(AVERAGE(G72:G75),2),"")</f>
        <v/>
      </c>
      <c r="I72" s="534" t="str">
        <f>IF(H72="","",IF(H72&gt;0.69,"Functioning",IF(H72&gt;0.29,"Functioning At Risk",IF(H72&gt;-1,"Not Functioning"))))</f>
        <v/>
      </c>
      <c r="J72" s="559"/>
      <c r="K72" s="555"/>
      <c r="L72" s="21"/>
      <c r="O72" s="19"/>
    </row>
    <row r="73" spans="1:15" ht="15.6" x14ac:dyDescent="0.3">
      <c r="A73" s="538"/>
      <c r="B73" s="297" t="s">
        <v>362</v>
      </c>
      <c r="C73" s="66" t="s">
        <v>354</v>
      </c>
      <c r="D73" s="66"/>
      <c r="E73" s="163"/>
      <c r="F73" s="344" t="str">
        <f>IF(E73="","",IF(OR($B$12="65abei", $B$12="65j", $B$12="66d", $B$12="66e", $B$12="66ik", $B$12="66f", $B$12="66g", $B$12="66j", $B$12="68a", $B$12="69de", $B$12="74b",AND(OR($B$12="67fhi", $B$12="67g"),$B$13&lt;=2),AND(OR($B$12="68c", $B$12="68d"),$B$19="January - June")),IF(E73&gt;93,0,IF(E73&lt;13,1,ROUND('Reference Standards'!$AB$53*E73^2+'Reference Standards'!$AB$54*E73+'Reference Standards'!$AB$55,2))),   IF(OR(AND(OR($B$12="67fhi", $B$12="67g",$B$12="71f",$B$12="71g",$B$12="71h"),$B$13&gt;2),AND(OR($B$12="68c", $B$12="68d"),$B$19="July - December"),$B$12="73a",$B$12="73b"),IF(E73&gt;94,0,IF(E73&lt;17,1,ROUND('Reference Standards'!$AC$53*E73^2+'Reference Standards'!$AC$54*E73+'Reference Standards'!$AC$55,2))),    IF(OR(AND(OR($B$12="68b",$B$12="71i"),$B$13&gt;2), $B$12="71e"),IF(E73&gt;91,0,IF(E73&lt;24,1,ROUND('Reference Standards'!$AD$53*E73^2+'Reference Standards'!$AD$54*E73+'Reference Standards'!$AD$55,2))),  IF(OR(AND(OR($B$12="71f",$B$12="71g",$B$12="71h",$B$12="71i"),$B$13&lt;=2), AND($B$12="74a",$B$13&gt;2)),IF(E73&gt;95,0,IF(E73&lt;=36,1,ROUND('Reference Standards'!$AE$53*E73^2+'Reference Standards'!$AE$54*E73+'Reference Standards'!$AE$55,2))))))))</f>
        <v/>
      </c>
      <c r="G73" s="236" t="str">
        <f>IFERROR(AVERAGE(F73:F73),"")</f>
        <v/>
      </c>
      <c r="H73" s="548"/>
      <c r="I73" s="535"/>
      <c r="J73" s="559"/>
      <c r="K73" s="555"/>
      <c r="L73" s="21"/>
      <c r="O73" s="19"/>
    </row>
    <row r="74" spans="1:15" ht="15.6" x14ac:dyDescent="0.3">
      <c r="A74" s="538"/>
      <c r="B74" s="67" t="s">
        <v>81</v>
      </c>
      <c r="C74" s="68" t="s">
        <v>281</v>
      </c>
      <c r="D74" s="68"/>
      <c r="E74" s="162"/>
      <c r="F74" s="344" t="str">
        <f>IF(E74="","",IF(ISNUMBER($B$13),IF(OR($B$12="66e",$B$12="66f",$B$12="66g"),ROUND(IF(E74&gt;=0.61,0,IF(E74&lt;=0.01,1,IF(E74&lt;=0.06,E74*'Reference Standards'!$AD$197+'Reference Standards'!$AD$198,E74^2*'Reference Standards'!$AB$196+E74*'Reference Standards'!$AB$197+'Reference Standards'!$AB$198))),2),IF($B$12="68b",ROUND(IF(E74&gt;=1.1,0,IF(E74&lt;=0.17,1,IF(E74&lt;=0.22,E74*'Reference Standards'!$AE$197+'Reference Standards'!$AE$198,E74^2*'Reference Standards'!$AC$196+E74*'Reference Standards'!$AC$197+'Reference Standards'!$AC$198))),2),IF($B$13&lt;=2.5,IF($B$12="69de",ROUND(IF(E74&gt;=0.22,0,IF(E74&lt;=0.01,1,E74^2*'Reference Standards'!$AB$90+E74*'Reference Standards'!$AB$91+'Reference Standards'!$AB$92)),2),IF($B$12="68c",ROUND(IF(E74&gt;=0.87,0,IF(E74&lt;=0.01,1,E74^2*'Reference Standards'!$AC$90+E74*'Reference Standards'!$AC$91+'Reference Standards'!$AC$92)),2),IF($B$12="68a",ROUND(IF(E74&gt;=0.81,0,IF(E74&lt;=0.01,1,E74^2*'Reference Standards'!$AD$90+E74*'Reference Standards'!$AD$91+'Reference Standards'!$AD$92)),2),IF($B$12="65abei",ROUND(IF(E74&gt;=0.67,0,IF(E74&lt;=0.01,1,IF(E74&lt;=0.18,E74*'Reference Standards'!$AG$91+'Reference Standards'!$AG$92,E74*'Reference Standards'!$AE$91+'Reference Standards'!$AE$92))),2),IF($B$12="65j",ROUND(IF(E74&gt;=0.32,0,IF(E74&lt;=0.01,1,IF(E74&lt;=0.25,E74*'Reference Standards'!$AH$91+'Reference Standards'!$AH$92,E74*'Reference Standards'!$AF$91+'Reference Standards'!$AF$92))),2),IF($B$12="71f",ROUND(IF(E74&gt;=3,0,IF(E74&lt;=0,1,IF(E74&lt;=0.01,0.7,E74^2*'Reference Standards'!$AB$126+E74*'Reference Standards'!$AB$127+'Reference Standards'!$AB$128))),2),IF($B$12="74a",ROUND(IF(E74&gt;=0.14,0,IF(E74&lt;=0.01,1,IF(E74&lt;=0.02,0.7,E74^2*'Reference Standards'!$AC$126+E74*'Reference Standards'!$AC$127+'Reference Standards'!$AC$128))),2),IF(OR($B$12="67fhi",$B$12="67g"),ROUND(IF(E74&gt;=1.9,0,IF(E74&lt;=0.01,1,IF(E74&lt;=0.05,E74*'Reference Standards'!$AF$127+'Reference Standards'!$AF$128,E74^2*'Reference Standards'!$AD$126+E74*'Reference Standards'!$AD$127+'Reference Standards'!$AD$128))),2),IF($B$12="73a",ROUND(IF(E74&gt;=1.44,0,IF(E74&lt;=0.01,1,IF(E74&lt;=0.12,E74*'Reference Standards'!$AG$127+'Reference Standards'!$AG$128,E74^2*'Reference Standards'!$AE$126+E74*'Reference Standards'!$AE$127+'Reference Standards'!$AE$128))),2),IF($B$12="66d",ROUND(IF(E74&gt;=0.46,0,IF(E74&lt;=0.02,1,IF(E74&lt;=0.08,E74*'Reference Standards'!$AF$163+'Reference Standards'!$AF$164,E74^2*'Reference Standards'!$AB$162+E74*'Reference Standards'!$AB$163+'Reference Standards'!$AB$164))),2),IF(OR($B$12="71g",$B$12="71h",$B$12="71i"),ROUND(IF(E74&gt;=3,0,IF(E74&lt;=0.06,1,IF(E74&lt;=0.24,E74*'Reference Standards'!$AG$163+'Reference Standards'!$AG$164,E74^2*'Reference Standards'!$AC$162+E74*'Reference Standards'!$AC$163+'Reference Standards'!$AC$164))),2),IF($B$12="74b",ROUND(IF(E74&gt;=1.3,0,IF(E74&lt;=0.29,1,IF(E74&lt;=0.48,E74*'Reference Standards'!$AH$163+'Reference Standards'!$AH$164,E74^2*'Reference Standards'!$AD$162+E74*'Reference Standards'!$AD$163+'Reference Standards'!$AD$164))),2),IF($B$12="71e",ROUND(IF(E74&gt;=4.3,0,IF(E74&lt;=0.53,1,IF(E74&lt;=0.67,E74*'Reference Standards'!$AI$163+'Reference Standards'!$AI$164,E74^2*'Reference Standards'!$AE$162+E74*'Reference Standards'!$AE$163+'Reference Standards'!$AE$164))),2)))))))))))))),IF($B$13&gt;2.5,IF($B$12="73a",ROUND(IF(E74&gt;=0.55,0,IF(E74&lt;=0,1,E74^2*'Reference Standards'!$AB$232+E74*'Reference Standards'!$AB$233+'Reference Standards'!$AB$234)),2),IF($B$12="68a",ROUND(IF(E74&gt;=0.54,0,IF(E74&lt;=0,1,IF(E74&lt;=0.01,0.85,E74^2*'Reference Standards'!$AC$232+E74*'Reference Standards'!$AC$233+'Reference Standards'!$AC$234))),2),IF($B$12="74a",ROUND(IF(E74&gt;=0.47,0,IF(E74&lt;=0.01,1,IF(E74&lt;=0.02,0.7,E74^2*'Reference Standards'!$AD$232+E74*'Reference Standards'!$AD$233+'Reference Standards'!$AD$234))),2),IF($B$12="69de",ROUND(IF(E74&gt;=0.26,0,IF(E74&lt;=0.01,1,IF(E74&lt;=0.02,0.85,E74^2*'Reference Standards'!$AE$232+E74*'Reference Standards'!$AE$233+'Reference Standards'!$AE$234))),2),IF($B$12="71f",ROUND(IF(E74&gt;=0.87,0,IF(E74&lt;=0.01,1,IF(E74&lt;=0.04,E74*'Reference Standards'!$AF$269+'Reference Standards'!$AF$270,E74^2*'Reference Standards'!$AB$268+E74*'Reference Standards'!$AB$269+'Reference Standards'!$AB$270))),2),IF($B$12="65abei",ROUND(IF(E74&gt;=0.82,0,IF(E74&lt;=0.01,1,IF(E74&lt;=0.06,E74*'Reference Standards'!$AG$269+'Reference Standards'!$AG$270,E74^2*'Reference Standards'!$AC$268+E74*'Reference Standards'!$AC$269+'Reference Standards'!$AC$270))),2),IF($B$12="65j",ROUND(IF(E74&gt;=0.33,0,IF(E74&lt;=0.03,1,IF(E74&lt;=0.09,E74*'Reference Standards'!$AH$269+'Reference Standards'!$AH$270,E74^2*'Reference Standards'!$AD$268+E74*'Reference Standards'!$AD$269+'Reference Standards'!$AD$270))),2),IF($B$12="68c",ROUND(IF(E74&gt;=0.7,0,IF(E74&lt;=0.07,1,IF(E74&lt;=0.12,E74*'Reference Standards'!$AI$269+'Reference Standards'!$AI$270,E74^2*'Reference Standards'!$AE$268+E74*'Reference Standards'!$AE$269+'Reference Standards'!$AE$270))),2),IF(OR($B$12="67fhi",$B$12="67g"),ROUND(IF(E74&gt;=1.8,0,IF(E74&lt;=0.08,1,IF(E74&lt;=0.2,E74*'Reference Standards'!$AF$306+'Reference Standards'!$AF$307,E74^2*'Reference Standards'!$AB$305+E74*'Reference Standards'!$AB$306+'Reference Standards'!$AB$307))),2),IF($B$12="74b",ROUND(IF(E74&gt;=0.96,0,IF(E74&lt;=0.12,1,IF(E74&lt;=0.16,E74*'Reference Standards'!$AG$306+'Reference Standards'!$AG$307,E74^2*'Reference Standards'!$AC$305+E74*'Reference Standards'!$AC$306+'Reference Standards'!$AC$307))),2),IF($B$12="66d",ROUND(IF(E74&gt;=0.75,0,IF(E74&lt;=0.13,1,IF(E74&lt;=0.2,E74*'Reference Standards'!$AH$306+'Reference Standards'!$AH$307,E74^2*'Reference Standards'!$AD$305+E74*'Reference Standards'!$AD$306+'Reference Standards'!$AD$307))),2),IF(OR($B$12="71g",$B$12="71h",$B$12="71i"),ROUND(IF(E74&gt;=1.68,0,IF(E74&lt;=0.08,1,IF(E74&lt;=0.23,E74*'Reference Standards'!$AI$306+'Reference Standards'!$AI$307,E74^2*'Reference Standards'!$AE$305+E74*'Reference Standards'!$AE$306+'Reference Standards'!$AE$307))),2),IF($B$12="71e",ROUND(IF(E74&gt;=5.3,0,IF(E74&lt;=0.94,1,IF(E74&lt;=1.4,E74*'Reference Standards'!$AF$310+'Reference Standards'!$AF$311,E74^2*'Reference Standards'!$AB$309+E74*'Reference Standards'!$AB$310+'Reference Standards'!$AB$311))),2))))))))))))))))))))</f>
        <v/>
      </c>
      <c r="G74" s="86" t="str">
        <f>IFERROR(AVERAGE(F74),"")</f>
        <v/>
      </c>
      <c r="H74" s="548"/>
      <c r="I74" s="535"/>
      <c r="J74" s="559"/>
      <c r="K74" s="555"/>
      <c r="L74" s="21"/>
      <c r="O74" s="19"/>
    </row>
    <row r="75" spans="1:15" ht="15.6" x14ac:dyDescent="0.3">
      <c r="A75" s="539"/>
      <c r="B75" s="298" t="s">
        <v>82</v>
      </c>
      <c r="C75" s="66" t="s">
        <v>280</v>
      </c>
      <c r="D75" s="66"/>
      <c r="E75" s="136"/>
      <c r="F75" s="343" t="str">
        <f>IF(E75="","",IF(ISNUMBER($B$13),IF($B$13&gt;2.5,IF(OR($B$12="71h",$B$12="71i",$B$12="73a",$B$12="74a"),IF(E75&lt;=0.01,1,IF(OR($B$12="71h",$B$12="71i"),IF(E75&gt;0.37,0,ROUND(IF(E75&gt;0.03,'Reference Standards'!$AB$425*E75^2+'Reference Standards'!$AB$426*E75+'Reference Standards'!$AB$427,'Reference Standards'!$AF$426*E75+'Reference Standards'!$AF$427),2)),IF($B$12="73a",IF(E75&gt;0.405,0,ROUND(IF(E75&gt;0.046,'Reference Standards'!$AC$425*E75^2+'Reference Standards'!$AC$426*E75+'Reference Standards'!$AC$427,'Reference Standards'!$AG$426*E75+'Reference Standards'!$AG$427),2)),IF($B$12="74a",IF(E75&gt;0.3,0,ROUND(IF(E75&gt;0.052,'Reference Standards'!$AD$425*E75^2+'Reference Standards'!$AD$426*E75+'Reference Standards'!$AD$427,'Reference Standards'!$AH$426*E75+'Reference Standards'!$AH$427),2)))))),IF(E75&lt;=0.002,1,IF(OR($B$12="66d",$B$12="66e",$B$12="66g"),IF(E75&gt;0.053,0,ROUND(E75^2*'Reference Standards'!$AB$347+E75*'Reference Standards'!$AB$348+'Reference Standards'!$AB$349,2)),IF($B$12="68b",IF(E75&gt;0.05,0,ROUND(E75^2*'Reference Standards'!$AC$347+E75*'Reference Standards'!$AC$348+'Reference Standards'!$AC$349,2)),IF(OR($B$12="68a",$B$12="68c"),IF(E75&gt;0.07,0,ROUND(E75^2*'Reference Standards'!$AD$347+E75*'Reference Standards'!$AD$348+'Reference Standards'!$AD$349,2)),IF(OR($B$12="71f",$B$12="71g"),IF(E75&gt;0.13,0,ROUND(IF(E75&gt;0.042,E75*'Reference Standards'!$AE$348+'Reference Standards'!$AE$349,E75*'Reference Standards'!$AF$348+'Reference Standards'!$AF$349),2)),IF($B$12="67fhi",IF(E75&gt;0.16,0,ROUND(E75^2*'Reference Standards'!$AG$347+E75*'Reference Standards'!$AG$348+'Reference Standards'!$AG$349,2)),IF($B$12="65j",IF(E75&gt;0.035,0,ROUND(IF(E75&lt;=0.003,0.7,E75^2*'Reference Standards'!$AB$387+E75*'Reference Standards'!$AB$388+'Reference Standards'!$AB$389),2)),IF($B$12="69de",IF(E75&gt;0.037,0,ROUND(IF(E75&lt;=0.003,0.7,E75^2*'Reference Standards'!$AC$387+E75*'Reference Standards'!$AC$388+'Reference Standards'!$AC$389),2)),IF($B$12="71e",IF(E75&gt;0.23,0,ROUND(IF(E75&lt;=0.003,0.7,E75^2*'Reference Standards'!$AD$387+E75*'Reference Standards'!$AD$388+'Reference Standards'!$AD$389),2)),IF($B$12="66f",IF(E75&gt;0.06,0,ROUND(IF(E75&lt;=0.003,0.85,IF(E75&lt;=0.004,0.7,E75^2*'Reference Standards'!$AE$387+E75*'Reference Standards'!$AE$388+'Reference Standards'!$AE$389)),2)),IF($B$12="67g",IF(E75&gt;0.11,0,ROUND(IF(E75&lt;=0.01,E75*'Reference Standards'!$AH$388+'Reference Standards'!$AH$389,E75^2*'Reference Standards'!$AF$387+E75*'Reference Standards'!$AF$388+'Reference Standards'!$AF$389),2)),IF($B$12="74b",IF(E75&gt;0.49,0,ROUND(IF(E75&lt;=0.01,E75*'Reference Standards'!$AH$388+'Reference Standards'!$AH$389,E75^2*'Reference Standards'!$AG$387+E75*'Reference Standards'!$AG$388+'Reference Standards'!$AG$389),2)),IF($B$12="65abei",IF(E75&gt;0.199,0,ROUND(IF(E75&lt;=0.01,E75*'Reference Standards'!$AI$426+'Reference Standards'!$AI$427,E75^2*'Reference Standards'!$AE$425+E75*'Reference Standards'!$AE$426+'Reference Standards'!$AE$427),2)))))))))))))))),IF($B$13&lt;=2.5,IF(OR($B$12="66d",$B$12="66e",$B$12="66g"),IF(E75&gt;0.05,0,ROUND(IF(E75&lt;=0.002,1,IF(E75&lt;=0.005,E75*'Reference Standards'!$AF$464+'Reference Standards'!$AF$465,E75^2*'Reference Standards'!$AB$463+E75*'Reference Standards'!$AB$464+'Reference Standards'!$AB$465)),2)),IF($B$12="67fhi",IF(E75&gt;0.1,0,ROUND(IF(E75&lt;=0.002,1,IF(E75&lt;=0.006,E75*'Reference Standards'!$AG$464+'Reference Standards'!$AG$465,E75^2*'Reference Standards'!$AC$463+E75*'Reference Standards'!$AC$464+'Reference Standards'!$AC$465)),2)),IF($B$12="65abei",IF(E75&gt;0.13,0,ROUND(IF(E75&lt;=0.003,1,IF(E75&lt;=0.008,E75*'Reference Standards'!$AH$464+'Reference Standards'!$AH$465,E75^2*'Reference Standards'!$AD$463+E75*'Reference Standards'!$AD$464+'Reference Standards'!$AD$465)),2)),IF($B$12="68b",IF(E75&gt;0.043,0,ROUND(IF(E75&lt;=0.004,1,IF(E75&lt;=0.005,0.7,E75^2*'Reference Standards'!$AE$463+E75*'Reference Standards'!$AE$464+'Reference Standards'!$AE$465)),2)),IF($B$12="69de",IF(E75&gt;=0.034,0,ROUND(IF(E75&lt;=0.003,1,IF(E75&lt;=0.006,E75*'Reference Standards'!$AG$500+'Reference Standards'!$AG$501,E75*'Reference Standards'!$AB$500+'Reference Standards'!$AB$501)),2)),IF(OR($B$12="68a",$B$12="68c"),IF(E75&gt;0.202,0,ROUND(IF(E75&lt;=0.003,1,IF(E75&lt;=0.006,E75*'Reference Standards'!$AG$500+'Reference Standards'!$AG$501,IF(E75&gt;=0.04,E75*'Reference Standards'!$AC$500+'Reference Standards'!$AC$501,E75*'Reference Standards'!$AE$500+'Reference Standards'!$AE$501))),2)),IF(OR($B$12="71f",$B$12="71g"),IF(E75&gt;0.631,0,ROUND(IF(E75&lt;=0.003,1,IF(E75&lt;=0.006,E75*'Reference Standards'!$AG$500+'Reference Standards'!$AG$501,IF(E75&gt;=0.17,E75*'Reference Standards'!$AD$500+'Reference Standards'!$AD$501,E75*'Reference Standards'!$AF$500+'Reference Standards'!$AF$501))),2)),IF($B$12="71e",IF(E75&gt;1.23,0,ROUND(IF(E75&lt;=0.004,1,IF(E75&lt;=0.006,E75*'Reference Standards'!$AF$538+'Reference Standards'!$AF$539,E75^2*'Reference Standards'!$AB$537+E75*'Reference Standards'!$AB$538+'Reference Standards'!$AB$539)),2)),IF($B$12="67g",IF(E75&gt;0.11,0,ROUND(IF(E75&lt;=0.006,1,IF(E75&lt;=0.011,E75*'Reference Standards'!$AG$538+'Reference Standards'!$AG$539,E75^2*'Reference Standards'!$AC$537+E75*'Reference Standards'!$AC$538+'Reference Standards'!$AC$539)),2)),IF($B$12="65j",IF(E75&gt;0.046,0,ROUND(IF(E75&lt;=0.007,1,IF(E75&lt;=0.012,E75*'Reference Standards'!$AH$538+'Reference Standards'!$AH$539,E75^2*'Reference Standards'!$AD$537+E75*'Reference Standards'!$AD$538+'Reference Standards'!$AD$539)),2)),IF($B$12="66f",IF(E75&gt;0.081,0,ROUND(IF(E75&lt;=0.008,1,IF(E75&lt;=0.011,E75*'Reference Standards'!$AI$538+'Reference Standards'!$AI$539,E75^2*'Reference Standards'!$AE$537+E75*'Reference Standards'!$AE$538+'Reference Standards'!$AE$539)),2)),IF(OR($B$12="71h",$B$12="71i"),IF(E75&gt;0.37,0,ROUND(IF(E75&lt;=0.013,1,IF(E75&lt;=0.032,E75*'Reference Standards'!$AH$576+'Reference Standards'!$AH$577,IF(E75&lt;=0.3,E75*'Reference Standards'!$AF$576+'Reference Standards'!$AF$577,E75*'Reference Standards'!$AB$576+'Reference Standards'!$AB$577))),2)),IF($B$12="73a",IF(E75&gt;0.448,0,ROUND(IF(E75&lt;=0.071,1,IF(E75&lt;=0.086,E75*'Reference Standards'!$AJ$576+'Reference Standards'!$AJ$577,IF(E75&lt;=0.165,E75*'Reference Standards'!$AG$576+'Reference Standards'!$AG$577,E75*'Reference Standards'!$AE$576+'Reference Standards'!$AE$577))),2)),IF($B$12="74b",IF(E75&gt;0.43,0,ROUND(IF(E75&lt;=0.018,1,IF(E75&lt;=0.019,0.85,IF(E75&lt;=0.02,0.7,E75^2*'Reference Standards'!$AC$575+E75*'Reference Standards'!$AC$576+'Reference Standards'!$AC$577))),2)),IF($B$12="74a",IF(E75&gt;0.217,0,ROUND(IF(E75&lt;=0.02,1,IF(E75&lt;=0.033,E75*'Reference Standards'!$AI$576+'Reference Standards'!$AI$577,E75^2*'Reference Standards'!$AD$575+E75*'Reference Standards'!$AD$576+'Reference Standards'!$AD$577)),2)))))))))))))))))))))</f>
        <v/>
      </c>
      <c r="G75" s="87" t="str">
        <f>IFERROR(AVERAGE(F75),"")</f>
        <v/>
      </c>
      <c r="H75" s="549"/>
      <c r="I75" s="536"/>
      <c r="J75" s="559"/>
      <c r="K75" s="555"/>
      <c r="L75" s="21"/>
      <c r="O75" s="19"/>
    </row>
    <row r="76" spans="1:15" ht="15.6" x14ac:dyDescent="0.3">
      <c r="A76" s="550" t="s">
        <v>59</v>
      </c>
      <c r="B76" s="560" t="s">
        <v>340</v>
      </c>
      <c r="C76" s="125" t="s">
        <v>331</v>
      </c>
      <c r="D76" s="126"/>
      <c r="E76" s="166"/>
      <c r="F76" s="345" t="str">
        <f>IF(E76="","",IF(OR(B$12="73a",B$12="73b"),IF(E76&lt;1,0,IF(E76&gt;=30,1,ROUND(IF(E76&lt;22,'Reference Standards'!$AL$16*E76+'Reference Standards'!$AL$17,'Reference Standards'!$AM$16*E76+'Reference Standards'!$AM$17),2))), IF(E76&lt;1,0, IF(E76&gt;=42,1, ROUND(IF(E76&lt;32,'Reference Standards'!$AN$16*E76+'Reference Standards'!$AN$17,'Reference Standards'!$AO$16*E76+'Reference Standards'!$AO$17),2)))))</f>
        <v/>
      </c>
      <c r="G76" s="531" t="str">
        <f>IFERROR(AVERAGE(F76:F79),"")</f>
        <v/>
      </c>
      <c r="H76" s="568" t="str">
        <f>IFERROR(ROUND(AVERAGE(G76:G81),2),"")</f>
        <v/>
      </c>
      <c r="I76" s="519" t="str">
        <f>IF(H76="","",IF(H76&gt;0.69,"Functioning",IF(H76&gt;0.29,"Functioning At Risk",IF(H76&gt;-1,"Not Functioning"))))</f>
        <v/>
      </c>
      <c r="J76" s="559"/>
      <c r="K76" s="555"/>
      <c r="L76" s="21"/>
      <c r="O76" s="19"/>
    </row>
    <row r="77" spans="1:15" ht="15.6" x14ac:dyDescent="0.3">
      <c r="A77" s="556"/>
      <c r="B77" s="561"/>
      <c r="C77" s="174" t="s">
        <v>335</v>
      </c>
      <c r="D77" s="175"/>
      <c r="E77" s="165"/>
      <c r="F77" s="346" t="str">
        <f>IF(E77="","",IF(AND($B$12="74b",$B$13&lt;=2),IF(E77&lt;0,0,IF(E77&gt;15.6,0.69,ROUND('Reference Standards'!$AL$54*E77^2+'Reference Standards'!$AL$55*E77+'Reference Standards'!$AL$56,2))),IF(AND($B$12="65abei",$B$13&lt;=2),IF(E77&lt;0,0,IF(E77&gt;=20,0.69,ROUND('Reference Standards'!$AM$54*E77^2+'Reference Standards'!$AM$55*E77+'Reference Standards'!$AM$56,2))),IF(OR(AND($B$12="74a",$B$13&gt;2,$B$19="January - June"),AND($B$12="71i",$B$13&gt;2,$B$20="SQBANK")),IF(E77&lt;0,0,IF(E77&gt;24.7,0.69,ROUND('Reference Standards'!$AN$54*E77^2+'Reference Standards'!$AN$55*E77+'Reference Standards'!$AN$56,2))),IF(OR($B$12="74b",$B$12="65abei"),IF(E77&lt;0,0,IF(E77&gt;32.7,0.69,ROUND('Reference Standards'!$AO$54*E77^2+'Reference Standards'!$AO$55*E77+'Reference Standards'!$AO$56,2))),IF(AND($B$12="68b",$B$13&gt;2),IF(E77&lt;0,0,IF(E77&gt;41.2,0.69,ROUND('Reference Standards'!$AP$54*E77^2+'Reference Standards'!$AP$55*E77+'Reference Standards'!$AP$56,2))),IF(OR(AND($B$12="71i",$B$13&lt;=2),AND(OR($B$12="68c",$B$12="68d"),$B$19="January - June")),IF(E77&lt;0,0,IF(E77&gt;49.2,0.69,ROUND('Reference Standards'!$AL$94*E77^2+'Reference Standards'!$AL$95*E77+'Reference Standards'!$AL$96,2))),IF(OR(AND($B$12="68a",$B$19="January - June"),AND(OR($B$12="68c",$B$12="68d"),$B$19="July - December")),IF(E77&lt;0,0,IF(E77&gt;53.4,0.69,ROUND('Reference Standards'!$AM$94*E77^2+'Reference Standards'!$AM$95*E77+'Reference Standards'!$AM$96,2))),IF(OR(AND($B$12="71i",$B$13&gt;2,$B$20="SQKICK"),AND(OR($B$12="67fhi",$B$12="67g"),$B$13&lt;=2),$B$12="65j"),IF(E77&lt;0,0,IF(E77&gt;57.8,0.69,ROUND('Reference Standards'!$AN$94*E77^2+'Reference Standards'!$AN$95*E77+'Reference Standards'!$AN$96,2))),IF(OR(AND($B$12="74a",$B$13&gt;2,$B$19="July - December"),AND(OR($B$12="67fhi",$B$12="67g"),$B$13&gt;2),$B$12="69de"),IF(E77&lt;0,0,IF(E77&gt;62.5,0.69,ROUND('Reference Standards'!$AO$94*E77^2+'Reference Standards'!$AO$95*E77+'Reference Standards'!$AO$96,2))),  IF(OR($B$12="66d",$B$12="66e",$B$12="66ik",$B$12="71e",$B$12="71f",$B$12="71g",$B$12="71h"),IF(E77&lt;0,0,IF(E77&gt;66.5,0.69,ROUND('Reference Standards'!$AP$94*E77^2+'Reference Standards'!$AP$95*E77+'Reference Standards'!$AP$96,2))),IF(OR($B$12="66f",$B$12="66g",$B$12="66j",AND($B$12="68a",$B$19="July - December")), IF(E77&lt;0,0,IF(E77&gt;69,0.69,ROUND('Reference Standards'!$AQ$94*E77^2+'Reference Standards'!$AQ$95*E77+'Reference Standards'!$AQ$96,2))))   )))))))))))</f>
        <v/>
      </c>
      <c r="G77" s="531"/>
      <c r="H77" s="568"/>
      <c r="I77" s="519"/>
      <c r="J77" s="559"/>
      <c r="K77" s="555"/>
      <c r="L77" s="21"/>
      <c r="O77" s="19"/>
    </row>
    <row r="78" spans="1:15" ht="15.6" x14ac:dyDescent="0.3">
      <c r="A78" s="556"/>
      <c r="B78" s="561"/>
      <c r="C78" s="174" t="s">
        <v>339</v>
      </c>
      <c r="D78" s="175"/>
      <c r="E78" s="165"/>
      <c r="F78" s="346" t="str">
        <f>IF(E78="","",IF(AND($B$12="74b",$B$13&lt;=2),IF(E78&lt;0,0,IF(E78&gt;8.1,0.69,ROUND('Reference Standards'!$AL$131*E78^2+'Reference Standards'!$AL$132*E78+'Reference Standards'!$AL$133,2))),IF(OR($B$12="73a",$B$12="73b"),IF(E78&lt;0,0,IF(E78&gt;=28,0.69,ROUND('Reference Standards'!$AM$131*E78^2+'Reference Standards'!$AM$132*E78+'Reference Standards'!$AM$133,2))),IF(AND($B$12="74a",$B$13&gt;2,$B$19="January - June"),IF(E78&lt;0,0,IF(E78&gt;=32.5,0.69,ROUND('Reference Standards'!$AN$131*E78^2+'Reference Standards'!$AN$132*E78+'Reference Standards'!$AN$133,2))),IF(AND($B$12="71i",$B$13&gt;2,$B$20="SQBANK"),IF(E78&lt;0,0,IF(E78&gt;=37,0.69,ROUND('Reference Standards'!$AO$131*E78^2+'Reference Standards'!$AO$132*E78+'Reference Standards'!$AO$133,2))),IF(OR(AND(OR($B$12="65abei",$B$12="74b"),$B$13&gt;2),AND($B$12="71i",$B$13&gt;2,$B$20="SQKICK")),IF(E78&lt;0,0,IF(E78&gt;42.6,0.69,ROUND('Reference Standards'!$AP$131*E78^2+'Reference Standards'!$AP$132*E78+'Reference Standards'!$AP$133,2))),     IF(OR(AND($B$12="65abei",$B$13&lt;=2),AND(OR($B$12="68c",$B$12="68d"),$B$19="July - December"),$B$12="71e"),IF(E78&lt;0,0,IF(E78&gt;=48,0.69,ROUND('Reference Standards'!$AL$171*E78^2+'Reference Standards'!$AL$172*E78+'Reference Standards'!$AL$173,2))),IF(OR($B$12="65j",$B$12="67fhi",$B$12="67g",AND($B$12="74a",$B$19="July - December",$B$13&gt;2),AND($B$12="71i",$B$13&lt;=2)),IF(E78&lt;0,0,IF(E78&gt;=53,0.69,ROUND('Reference Standards'!$AM$171*E78^2+'Reference Standards'!$AM$172*E78+'Reference Standards'!$AM$173,2))),IF(OR(AND(OR($B$12="68b",$B$12="71f",$B$12="71g",$B$12="71h"),$B$13&gt;2),$B$12="68a"),IF(E78&lt;0,0,IF(E78&gt;=57,0.69,ROUND('Reference Standards'!$AN$171*E78^2+'Reference Standards'!$AN$172*E78+'Reference Standards'!$AN$173,2))),IF(OR($B$12="66f",$B$12="66g",$B$12="66j",AND(OR($B$12="71f",$B$12="71g",$B$12="71h"),$B$13&lt;=2)),IF(E78&lt;0,0,IF(E78&gt;=60,0.69,ROUND('Reference Standards'!$AO$171*E78^2+'Reference Standards'!$AO$172*E78+'Reference Standards'!$AO$173,2))),  IF(OR($B$12="66d",$B$12="66e",$B$12="66ik", AND(OR($B$12="68c",$B$12="68d"),$B$19="January - June"),AND($B$12="69de",$B$19="July - December")),IF(E78&lt;0,0,IF(E78&gt;=67.5,0.69,ROUND('Reference Standards'!$AP$171*E78^2+'Reference Standards'!$AP$172*E78+'Reference Standards'!$AP$173,2))),IF(AND($B$12="69de",$B$19="January - June"), IF(E78&lt;0,0,IF(E78&gt;=72,0.69,ROUND('Reference Standards'!$AQ$171*E78^2+'Reference Standards'!$AQ$172*E78+'Reference Standards'!$AQ$173,2))))   )))))))))))</f>
        <v/>
      </c>
      <c r="G78" s="531"/>
      <c r="H78" s="568"/>
      <c r="I78" s="519"/>
      <c r="J78" s="559"/>
      <c r="K78" s="555"/>
      <c r="L78" s="21"/>
      <c r="O78" s="19"/>
    </row>
    <row r="79" spans="1:15" ht="15.6" x14ac:dyDescent="0.3">
      <c r="A79" s="556"/>
      <c r="B79" s="562"/>
      <c r="C79" s="127" t="s">
        <v>336</v>
      </c>
      <c r="D79" s="71"/>
      <c r="E79" s="167"/>
      <c r="F79" s="346" t="str">
        <f>IF(E79="","",IF(OR($B$12="67fhi",$B$12="67g",$B$12="71e",$B$12="73a",$B$12="73b",AND(OR($B$12="71f",$B$12="71g",$B$12="71h"),$B$13&gt;2)),IF(E79&gt;100,0,IF(E79&lt;15,0.69,ROUND('Reference Standards'!$AL$208*E79^2+'Reference Standards'!$AL$209*E79+'Reference Standards'!$AL$210,2))),  IF(OR($B$12="66d",$B$12="66e",$B$12="66ik",$B$12="66f",$B$12="66g",$B$12="66j",$B$12="68a",$B$12="68c",$B$12="68d",AND($B$12="69de",$B$19="July - December"), AND($B$12="71i",$B$13&lt;=2), AND($B$12="71i",$B$13&gt;2,$B$20="SQBANK" ), AND($B$12="74a",$B$13&gt;2,$B$19="July - December") ),IF(E79&gt;100,0,IF(E79&lt;19,0.69,ROUND('Reference Standards'!$AM$208*E79^2+'Reference Standards'!$AM$209*E79+'Reference Standards'!$AM$210,2))),    IF(OR(AND($B$12="69de",$B$19="January - June"),AND($B$12="71i",$B$13&gt;2,$B$20="SQKICK" )),IF(E79&gt;100,0,IF(E79&lt;22,0.69,ROUND('Reference Standards'!$AN$208*E79^2+'Reference Standards'!$AN$209*E79+'Reference Standards'!$AN$210,2))),    IF(OR($B$12="65j",AND($B$12="68b",$B$13&gt;2)),IF(E79&gt;100,0,IF(E79&lt;24,0.69,ROUND('Reference Standards'!$AO$208*E79^2+'Reference Standards'!$AO$209*E79+'Reference Standards'!$AO$210,2))),    IF(AND(OR($B$12="65abei",$B$12="71f",$B$12="71g",$B$12="71h"),$B$13&lt;=2),IF(E79&gt;95,0,IF(E79&lt;33,0.69,ROUND('Reference Standards'!$AL$246*E79^2+'Reference Standards'!$AL$247*E79+'Reference Standards'!$AL$248,2))),   IF(AND(OR($B$12="65abei",$B$12="74b"),$B$13&gt;2),IF(E79&gt;97,0,IF(E79&lt;36,0.69,ROUND('Reference Standards'!$AM$246*E79^2+'Reference Standards'!$AM$247*E79+'Reference Standards'!$AM$248,2))),  IF(AND($B$12="74a",$B$19="January - June",$B$13&gt;2),IF(E79&gt;93,0,IF(E79&lt;52,0.69,ROUND('Reference Standards'!$AN$246*E79^2+'Reference Standards'!$AN$247*E79+'Reference Standards'!$AN$248,2))),   IF(AND($B$12="74b",$B$13&lt;=2),IF(E79&gt;97,0,IF(E79&lt;62,0.69,ROUND('Reference Standards'!$AO$246*E79^2+'Reference Standards'!$AO$247*E79+'Reference Standards'!$AO$248,2)))  )))))))))</f>
        <v/>
      </c>
      <c r="G79" s="531"/>
      <c r="H79" s="568"/>
      <c r="I79" s="519"/>
      <c r="J79" s="559"/>
      <c r="K79" s="555"/>
      <c r="L79" s="21"/>
      <c r="O79" s="19"/>
    </row>
    <row r="80" spans="1:15" ht="15.6" x14ac:dyDescent="0.3">
      <c r="A80" s="556"/>
      <c r="B80" s="563" t="s">
        <v>74</v>
      </c>
      <c r="C80" s="125" t="s">
        <v>211</v>
      </c>
      <c r="D80" s="126"/>
      <c r="E80" s="136"/>
      <c r="F80" s="345" t="str">
        <f>IF(E80="","",IF(E80=1,0.15,IF(E80=3,0.5,IF(E80=5,0.85,0))))</f>
        <v/>
      </c>
      <c r="G80" s="564" t="str">
        <f>IFERROR(AVERAGE(F80:F81),"")</f>
        <v/>
      </c>
      <c r="H80" s="568"/>
      <c r="I80" s="519"/>
      <c r="J80" s="559"/>
      <c r="K80" s="555"/>
      <c r="L80" s="21"/>
      <c r="O80" s="19"/>
    </row>
    <row r="81" spans="1:12" ht="15.6" x14ac:dyDescent="0.3">
      <c r="A81" s="551"/>
      <c r="B81" s="563"/>
      <c r="C81" s="127" t="s">
        <v>332</v>
      </c>
      <c r="D81" s="71"/>
      <c r="E81" s="163"/>
      <c r="F81" s="347" t="str">
        <f>IF(E81="","",IF(E81=1,0.15,IF(E81=3,0.5,IF(E81=5,0.85,0))))</f>
        <v/>
      </c>
      <c r="G81" s="565"/>
      <c r="H81" s="568"/>
      <c r="I81" s="519"/>
      <c r="J81" s="559"/>
      <c r="K81" s="555"/>
      <c r="L81" s="21"/>
    </row>
    <row r="82" spans="1:12" x14ac:dyDescent="0.3">
      <c r="J82" s="13"/>
      <c r="K82" s="317"/>
      <c r="L82" s="21"/>
    </row>
    <row r="83" spans="1:12" x14ac:dyDescent="0.3">
      <c r="J83" s="13"/>
      <c r="K83" s="317"/>
      <c r="L83" s="21"/>
    </row>
    <row r="84" spans="1:12" ht="21" x14ac:dyDescent="0.4">
      <c r="A84" s="544" t="s">
        <v>57</v>
      </c>
      <c r="B84" s="545"/>
      <c r="C84" s="545"/>
      <c r="D84" s="545"/>
      <c r="E84" s="545"/>
      <c r="F84" s="546"/>
      <c r="G84" s="544" t="s">
        <v>18</v>
      </c>
      <c r="H84" s="545"/>
      <c r="I84" s="545"/>
      <c r="J84" s="545"/>
      <c r="K84" s="546"/>
      <c r="L84" s="21"/>
    </row>
    <row r="85" spans="1:12" ht="15.6" x14ac:dyDescent="0.3">
      <c r="A85" s="158" t="s">
        <v>1</v>
      </c>
      <c r="B85" s="158" t="s">
        <v>2</v>
      </c>
      <c r="C85" s="542" t="s">
        <v>3</v>
      </c>
      <c r="D85" s="543"/>
      <c r="E85" s="158" t="s">
        <v>15</v>
      </c>
      <c r="F85" s="302" t="s">
        <v>16</v>
      </c>
      <c r="G85" s="158" t="s">
        <v>19</v>
      </c>
      <c r="H85" s="158" t="s">
        <v>20</v>
      </c>
      <c r="I85" s="314" t="s">
        <v>20</v>
      </c>
      <c r="J85" s="158" t="s">
        <v>105</v>
      </c>
      <c r="K85" s="315" t="s">
        <v>105</v>
      </c>
    </row>
    <row r="86" spans="1:12" ht="15.6" x14ac:dyDescent="0.3">
      <c r="A86" s="540" t="s">
        <v>60</v>
      </c>
      <c r="B86" s="299" t="s">
        <v>86</v>
      </c>
      <c r="C86" s="52" t="s">
        <v>388</v>
      </c>
      <c r="D86" s="52"/>
      <c r="E86" s="162"/>
      <c r="F86" s="338" t="str">
        <f>IF(E86="","",IF(E86&lt;=0,0,IF(E86&gt;=0.95,1,ROUND('Reference Standards'!C$14*E86+'Reference Standards'!C$15,2))))</f>
        <v/>
      </c>
      <c r="G86" s="83" t="str">
        <f>IFERROR(AVERAGE(F86),"")</f>
        <v/>
      </c>
      <c r="H86" s="522" t="str">
        <f>IFERROR(ROUND(AVERAGE(G86:G87),2),"")</f>
        <v/>
      </c>
      <c r="I86" s="519" t="str">
        <f>IF(H86="","",IF(H86&gt;0.69,"Functioning",IF(H86&gt;0.29,"Functioning At Risk",IF(H86&gt;-1,"Not Functioning"))))</f>
        <v/>
      </c>
      <c r="J86" s="559" t="str">
        <f>IF(AND(H86="",H88="",H90="",H112="",H116=""),"",ROUND((IF(H86="",0,H86)*0.2)+(IF(H88="",0,H88)*0.2)+(IF(H90="",0,H90)*0.2)+(IF(H112="",0,H112)*0.2)+(IF(H116="",0,H116)*0.2),2))</f>
        <v/>
      </c>
      <c r="K86" s="555" t="str">
        <f>IF(J86="","",IF(J86&lt;0.3, "Not Functioning",IF(OR(H86&lt;0.7,H88&lt;0.7,H90&lt;0.7,H112&lt;0.7,H116&lt;0.7),"Functioning At Risk",IF(J86&lt;0.7,"Functioning At Risk","Functioning"))))</f>
        <v/>
      </c>
    </row>
    <row r="87" spans="1:12" ht="15.6" x14ac:dyDescent="0.3">
      <c r="A87" s="541"/>
      <c r="B87" s="371" t="s">
        <v>128</v>
      </c>
      <c r="C87" s="373" t="s">
        <v>161</v>
      </c>
      <c r="D87" s="374"/>
      <c r="E87" s="43"/>
      <c r="F87" s="372" t="str">
        <f>IF(E87="","",IF(E87&gt;=1,1,IF(E87&lt;=0,0,ROUND(E87,2))))</f>
        <v/>
      </c>
      <c r="G87" s="365" t="str">
        <f>IFERROR(AVERAGE(F87:F87),"")</f>
        <v/>
      </c>
      <c r="H87" s="523"/>
      <c r="I87" s="519"/>
      <c r="J87" s="559"/>
      <c r="K87" s="555"/>
    </row>
    <row r="88" spans="1:12" ht="15.6" x14ac:dyDescent="0.3">
      <c r="A88" s="524" t="s">
        <v>6</v>
      </c>
      <c r="B88" s="572" t="s">
        <v>7</v>
      </c>
      <c r="C88" s="54" t="s">
        <v>8</v>
      </c>
      <c r="D88" s="54"/>
      <c r="E88" s="162"/>
      <c r="F88" s="339" t="str">
        <f>IF(E88="","",ROUND(IF(E88&gt;1.6,0,IF(E88&lt;=1,1,E88^2*'Reference Standards'!K$14+E88*'Reference Standards'!K$15+'Reference Standards'!K$16)),2))</f>
        <v/>
      </c>
      <c r="G88" s="581" t="str">
        <f>IFERROR(AVERAGE(F88:F89),"")</f>
        <v/>
      </c>
      <c r="H88" s="579" t="str">
        <f>IFERROR(ROUND(AVERAGE(G88),2),"")</f>
        <v/>
      </c>
      <c r="I88" s="569" t="str">
        <f>IF(H88="","",IF(H88&gt;0.69,"Functioning",IF(H88&gt;0.29,"Functioning At Risk",IF(H88&gt;-1,"Not Functioning"))))</f>
        <v/>
      </c>
      <c r="J88" s="559"/>
      <c r="K88" s="555"/>
    </row>
    <row r="89" spans="1:12" ht="15.6" x14ac:dyDescent="0.3">
      <c r="A89" s="525"/>
      <c r="B89" s="525"/>
      <c r="C89" s="54" t="s">
        <v>9</v>
      </c>
      <c r="D89" s="55"/>
      <c r="E89" s="163"/>
      <c r="F89" s="339" t="str">
        <f>IF(E89="","",(IF(OR(B$11="A",B$11="B",$B$11="Bc"),IF(E89&lt;1.2,0,IF(E89&gt;=2.2,1,ROUND(IF(E89&lt;1.4,E89*'Reference Standards'!$K$84+'Reference Standards'!$K$85,E89*'Reference Standards'!$L$84+'Reference Standards'!$L$85),2))),IF(OR(B$11="C",B$11="E"),IF(E89&lt;2,0,IF(E89&gt;=5,1,ROUND(IF(E89&lt;2.4,E89*'Reference Standards'!$L$49+'Reference Standards'!$L$50,E89*'Reference Standards'!$K$49+'Reference Standards'!$K$50),2)))))))</f>
        <v/>
      </c>
      <c r="G89" s="580"/>
      <c r="H89" s="580"/>
      <c r="I89" s="570"/>
      <c r="J89" s="559"/>
      <c r="K89" s="555"/>
    </row>
    <row r="90" spans="1:12" ht="15.6" x14ac:dyDescent="0.3">
      <c r="A90" s="526" t="s">
        <v>26</v>
      </c>
      <c r="B90" s="557" t="s">
        <v>27</v>
      </c>
      <c r="C90" s="60" t="s">
        <v>333</v>
      </c>
      <c r="D90" s="244"/>
      <c r="E90" s="61"/>
      <c r="F90" s="340" t="str">
        <f>IF(E90="","",IF(OR(LEFT('Quantification Tool R3'!$B$12,2)="65",LEFT('Quantification Tool R3'!$B$12,2)="66",LEFT('Quantification Tool R3'!$B$12,2)="71"),IF(E90&gt;=850,1,IF(E90&lt;250,ROUND('Reference Standards'!$S$17*(E90)+'Reference Standards'!$S$18,2),ROUND('Reference Standards'!$T$17*E90+'Reference Standards'!$T$18,2))),  IF(E90&gt;=345,1,IF(E90&lt;=180,ROUND('Reference Standards'!$U$17*(E90)+'Reference Standards'!$U$18,2),ROUND('Reference Standards'!$V$17*E90+'Reference Standards'!$V$18,2))))    )</f>
        <v/>
      </c>
      <c r="G90" s="552" t="str">
        <f>IFERROR(AVERAGE(F90:F91),"")</f>
        <v/>
      </c>
      <c r="H90" s="567" t="str">
        <f>IFERROR(ROUND(AVERAGE(G90:G111),2),"")</f>
        <v/>
      </c>
      <c r="I90" s="555" t="str">
        <f>IF(H90="","",IF(H90&gt;0.69,"Functioning",IF(H90&gt;0.29,"Functioning At Risk",IF(H90&gt;-1,"Not Functioning"))))</f>
        <v/>
      </c>
      <c r="J90" s="559"/>
      <c r="K90" s="555"/>
    </row>
    <row r="91" spans="1:12" ht="15.6" x14ac:dyDescent="0.3">
      <c r="A91" s="520"/>
      <c r="B91" s="558"/>
      <c r="C91" s="63" t="s">
        <v>323</v>
      </c>
      <c r="D91" s="245"/>
      <c r="E91" s="53"/>
      <c r="F91" s="341" t="str">
        <f>IF(E91="","",IF(OR(LEFT('Quantification Tool R3'!$B$12,2)="65",LEFT('Quantification Tool R3'!$B$12,2)="66",LEFT('Quantification Tool R3'!$B$12,2)="71"),IF(E91&gt;=30,1,IF(E91&lt;13,ROUND('Reference Standards'!$S$53*(E91)+'Reference Standards'!$S$54,2),ROUND('Reference Standards'!$T$53*E91+'Reference Standards'!$T$54,2))),  IF(E91&gt;=16,1,IF(E91&lt;=9,ROUND('Reference Standards'!$U$53*(E91)+'Reference Standards'!$U$54,2),ROUND('Reference Standards'!$V$53*E91+'Reference Standards'!$V$54,2))))    )</f>
        <v/>
      </c>
      <c r="G91" s="554"/>
      <c r="H91" s="567"/>
      <c r="I91" s="555"/>
      <c r="J91" s="559"/>
      <c r="K91" s="555"/>
    </row>
    <row r="92" spans="1:12" ht="15.6" x14ac:dyDescent="0.3">
      <c r="A92" s="520"/>
      <c r="B92" s="520" t="s">
        <v>395</v>
      </c>
      <c r="C92" s="58" t="s">
        <v>80</v>
      </c>
      <c r="D92" s="58"/>
      <c r="E92" s="165"/>
      <c r="F92" s="340" t="str">
        <f>IF(E92="","",ROUND(IF(E92&gt;0.7,0,IF(E92&lt;=0.1,1,E92^3*'Reference Standards'!S$87+E92^2*'Reference Standards'!S$88+E92*'Reference Standards'!S$89+'Reference Standards'!S$90)),2))</f>
        <v/>
      </c>
      <c r="G92" s="528" t="str">
        <f>IFERROR(ROUND(AVERAGE(F92:F95),2),"")</f>
        <v/>
      </c>
      <c r="H92" s="567"/>
      <c r="I92" s="555"/>
      <c r="J92" s="559"/>
      <c r="K92" s="555"/>
    </row>
    <row r="93" spans="1:12" ht="15.6" x14ac:dyDescent="0.3">
      <c r="A93" s="520"/>
      <c r="B93" s="520"/>
      <c r="C93" s="58" t="s">
        <v>49</v>
      </c>
      <c r="D93" s="58"/>
      <c r="E93" s="165"/>
      <c r="F93" s="84" t="str">
        <f>IF(E93="","",IF(OR(E93="Ex/Ex",E93="Ex/VH"),0, IF(OR(E93="Ex/H",E93="VH/Ex",E93="VH/VH", E93="H/Ex",E93="H/VH",E93="M/Ex"),0.1,IF(OR(E93="Ex/M",E93="VH/H",E93="H/H", E93="M/VH"),0.2, IF(OR(E93="Ex/L",E93="VH/M",E93="H/M", E93="M/H",E93="L/Ex"),0.3, IF(OR(E93="Ex/VL",E93="VH/L",E93="H/L"),0.4, IF(OR(E93="VH/VL",E93="H/VL",E93="M/M", E93="L/VH"),0.5, IF(OR(E93="M/L",E93="L/H"),0.6, IF(OR(E93="M/VL",E93="L/M"),0.7, IF(OR(E93="L/L",E93="L/VL"),1))))))))))</f>
        <v/>
      </c>
      <c r="G93" s="529"/>
      <c r="H93" s="567"/>
      <c r="I93" s="555"/>
      <c r="J93" s="559"/>
      <c r="K93" s="555"/>
    </row>
    <row r="94" spans="1:12" ht="15.6" x14ac:dyDescent="0.3">
      <c r="A94" s="520"/>
      <c r="B94" s="520"/>
      <c r="C94" s="58" t="s">
        <v>87</v>
      </c>
      <c r="D94" s="58"/>
      <c r="E94" s="165"/>
      <c r="F94" s="84" t="str">
        <f>IF(E94="","",ROUND(IF(E94&gt;40,0,IF(E94&lt;5,1,E94^3*'Reference Standards'!S$122+E94^2*'Reference Standards'!S$123+E94*'Reference Standards'!S$124+'Reference Standards'!S$125)),2))</f>
        <v/>
      </c>
      <c r="G94" s="529"/>
      <c r="H94" s="567"/>
      <c r="I94" s="555"/>
      <c r="J94" s="559"/>
      <c r="K94" s="555"/>
    </row>
    <row r="95" spans="1:12" ht="15.6" x14ac:dyDescent="0.3">
      <c r="A95" s="520"/>
      <c r="B95" s="521"/>
      <c r="C95" s="59" t="s">
        <v>394</v>
      </c>
      <c r="D95" s="59"/>
      <c r="E95" s="167"/>
      <c r="F95" s="341" t="str">
        <f>IF(E95="","",ROUND(IF(E95&gt;=30,0,IF(E95&lt;=0,1,E95*'Reference Standards'!S$156+'Reference Standards'!S$157)),2))</f>
        <v/>
      </c>
      <c r="G95" s="530"/>
      <c r="H95" s="567"/>
      <c r="I95" s="555"/>
      <c r="J95" s="559"/>
      <c r="K95" s="555"/>
    </row>
    <row r="96" spans="1:12" ht="15.6" x14ac:dyDescent="0.3">
      <c r="A96" s="520"/>
      <c r="B96" s="526" t="s">
        <v>50</v>
      </c>
      <c r="C96" s="60" t="s">
        <v>377</v>
      </c>
      <c r="D96" s="64"/>
      <c r="E96" s="136"/>
      <c r="F96" s="294" t="str">
        <f>IF(E96="","",ROUND(IF(E96&gt;9.2,1,E96*'Reference Standards'!$S$189+'Reference Standards'!$S$190),2))</f>
        <v/>
      </c>
      <c r="G96" s="552" t="str">
        <f>IFERROR(AVERAGE(F96:F105),"")</f>
        <v/>
      </c>
      <c r="H96" s="567"/>
      <c r="I96" s="555"/>
      <c r="J96" s="559"/>
      <c r="K96" s="555"/>
    </row>
    <row r="97" spans="1:13" ht="15.6" x14ac:dyDescent="0.3">
      <c r="A97" s="520"/>
      <c r="B97" s="520"/>
      <c r="C97" s="62" t="s">
        <v>378</v>
      </c>
      <c r="D97" s="58"/>
      <c r="E97" s="162"/>
      <c r="F97" s="294" t="str">
        <f>IF(E97="","",ROUND(IF(E97&gt;9.2,1,E97*'Reference Standards'!$S$189+'Reference Standards'!$S$190),2))</f>
        <v/>
      </c>
      <c r="G97" s="553"/>
      <c r="H97" s="567"/>
      <c r="I97" s="555"/>
      <c r="J97" s="559"/>
      <c r="K97" s="555"/>
    </row>
    <row r="98" spans="1:13" ht="15.6" x14ac:dyDescent="0.3">
      <c r="A98" s="520"/>
      <c r="B98" s="520"/>
      <c r="C98" s="62" t="s">
        <v>379</v>
      </c>
      <c r="D98" s="58"/>
      <c r="E98" s="162"/>
      <c r="F98" s="294" t="str">
        <f>IF(E98="","",ROUND( IF(E98&gt;=200,1,IF(E98&lt;50, E98^2*'Reference Standards'!S$224+E98*'Reference Standards'!S$225+'Reference Standards'!S$226, E98*'Reference Standards'!T$224+'Reference Standards'!T$225)),2))</f>
        <v/>
      </c>
      <c r="G98" s="553"/>
      <c r="H98" s="567"/>
      <c r="I98" s="555"/>
      <c r="J98" s="559"/>
      <c r="K98" s="555"/>
    </row>
    <row r="99" spans="1:13" ht="15.6" x14ac:dyDescent="0.3">
      <c r="A99" s="520"/>
      <c r="B99" s="520"/>
      <c r="C99" s="62" t="s">
        <v>380</v>
      </c>
      <c r="D99" s="58"/>
      <c r="E99" s="162"/>
      <c r="F99" s="294" t="str">
        <f>IF(E99="","",ROUND( IF(E99&gt;=200,1,IF(E99&lt;50, E99^2*'Reference Standards'!S$224+E99*'Reference Standards'!S$225+'Reference Standards'!S$226, E99*'Reference Standards'!T$224+'Reference Standards'!T$225)),2))</f>
        <v/>
      </c>
      <c r="G99" s="553"/>
      <c r="H99" s="567"/>
      <c r="I99" s="555"/>
      <c r="J99" s="559"/>
      <c r="K99" s="555"/>
    </row>
    <row r="100" spans="1:13" ht="15.6" x14ac:dyDescent="0.3">
      <c r="A100" s="520"/>
      <c r="B100" s="520"/>
      <c r="C100" s="58" t="s">
        <v>381</v>
      </c>
      <c r="D100" s="58"/>
      <c r="E100" s="162"/>
      <c r="F100" s="294" t="str">
        <f>IF(E100="","",ROUND(IF(AND(E100&gt;=135,E100&lt;=262),1,IF(  E100&gt;=366,0.5, IF(E100&lt;135,E100*'Reference Standards'!S$259+'Reference Standards'!S$260, E100*'Reference Standards'!T$259+'Reference Standards'!T$260))),2))</f>
        <v/>
      </c>
      <c r="G100" s="553"/>
      <c r="H100" s="567"/>
      <c r="I100" s="555"/>
      <c r="J100" s="559"/>
      <c r="K100" s="555"/>
    </row>
    <row r="101" spans="1:13" ht="15.6" x14ac:dyDescent="0.3">
      <c r="A101" s="520"/>
      <c r="B101" s="520"/>
      <c r="C101" s="58" t="s">
        <v>382</v>
      </c>
      <c r="D101" s="58"/>
      <c r="E101" s="162"/>
      <c r="F101" s="294" t="str">
        <f>IF(E101="","",ROUND(IF(AND(E101&gt;=135,E101&lt;=262),1,IF(  E101&gt;=366,0.5, IF(E101&lt;135,E101*'Reference Standards'!S$259+'Reference Standards'!S$260, E101*'Reference Standards'!T$259+'Reference Standards'!T$260))),2))</f>
        <v/>
      </c>
      <c r="G101" s="553"/>
      <c r="H101" s="567"/>
      <c r="I101" s="555"/>
      <c r="J101" s="559"/>
      <c r="K101" s="555"/>
    </row>
    <row r="102" spans="1:13" ht="15.6" x14ac:dyDescent="0.3">
      <c r="A102" s="520"/>
      <c r="B102" s="520"/>
      <c r="C102" s="58" t="s">
        <v>383</v>
      </c>
      <c r="D102" s="58"/>
      <c r="E102" s="162"/>
      <c r="F102" s="84" t="str">
        <f>IF(E102="","",ROUND(IF(E102&gt;=75,1,IF(E102&lt;=0,0,E102*'Reference Standards'!S$330)),2))</f>
        <v/>
      </c>
      <c r="G102" s="553"/>
      <c r="H102" s="567"/>
      <c r="I102" s="555"/>
      <c r="J102" s="559"/>
      <c r="K102" s="555"/>
    </row>
    <row r="103" spans="1:13" ht="15.6" x14ac:dyDescent="0.3">
      <c r="A103" s="520"/>
      <c r="B103" s="520"/>
      <c r="C103" s="58" t="s">
        <v>384</v>
      </c>
      <c r="D103" s="58"/>
      <c r="E103" s="162"/>
      <c r="F103" s="84" t="str">
        <f>IF(E103="","",ROUND(IF(E103&gt;=75,1,IF(E103&lt;=0,0,E103*'Reference Standards'!S$330)),2))</f>
        <v/>
      </c>
      <c r="G103" s="553"/>
      <c r="H103" s="567"/>
      <c r="I103" s="555"/>
      <c r="J103" s="559"/>
      <c r="K103" s="555"/>
    </row>
    <row r="104" spans="1:13" ht="15.6" x14ac:dyDescent="0.3">
      <c r="A104" s="520"/>
      <c r="B104" s="520"/>
      <c r="C104" s="58" t="s">
        <v>385</v>
      </c>
      <c r="D104" s="58"/>
      <c r="E104" s="162"/>
      <c r="F104" s="294" t="str">
        <f>IF(E104="","",ROUND(IF(AND(E104&gt;=36.3,E104&lt;=68),1,IF(E104&gt;100,0,IF(E104&lt;36.3,(('Reference Standards'!S$297*(E104^2))+('Reference Standards'!S$298*E104)+'Reference Standards'!S$299),IF(E104&gt;68,(('Reference Standards'!T$297*(E104^2))+('Reference Standards'!T$298*E104)+'Reference Standards'!T$299))))),2))</f>
        <v/>
      </c>
      <c r="G104" s="553"/>
      <c r="H104" s="567"/>
      <c r="I104" s="555"/>
      <c r="J104" s="559"/>
      <c r="K104" s="555"/>
      <c r="M104" s="21"/>
    </row>
    <row r="105" spans="1:13" ht="15.6" x14ac:dyDescent="0.3">
      <c r="A105" s="520"/>
      <c r="B105" s="521"/>
      <c r="C105" s="58" t="s">
        <v>386</v>
      </c>
      <c r="D105" s="65"/>
      <c r="E105" s="162"/>
      <c r="F105" s="294" t="str">
        <f>IF(E105="","",ROUND(IF(AND(E105&gt;=36.3,E105&lt;=68),1,IF(E105&gt;100,0,IF(E105&lt;36.3,(('Reference Standards'!S$297*(E105^2))+('Reference Standards'!S$298*E105)+'Reference Standards'!S$299),IF(E105&gt;68,(('Reference Standards'!T$297*(E105^2))+('Reference Standards'!T$298*E105)+'Reference Standards'!T$299))))),2))</f>
        <v/>
      </c>
      <c r="G105" s="554"/>
      <c r="H105" s="567"/>
      <c r="I105" s="555"/>
      <c r="J105" s="559"/>
      <c r="K105" s="555"/>
    </row>
    <row r="106" spans="1:13" ht="15.6" x14ac:dyDescent="0.3">
      <c r="A106" s="520"/>
      <c r="B106" s="56" t="s">
        <v>108</v>
      </c>
      <c r="C106" s="72" t="s">
        <v>130</v>
      </c>
      <c r="D106" s="57"/>
      <c r="E106" s="43"/>
      <c r="F106" s="82" t="str">
        <f>IF(E106="","",IF(OR(B$14="Gravel",B$14="Cobble"),IF(E106&gt;0.1,1,IF(E106&lt;=0.01,0,ROUND(E106*'Reference Standards'!$S$362+'Reference Standards'!$S$363,2)))))</f>
        <v/>
      </c>
      <c r="G106" s="82" t="str">
        <f>IFERROR(AVERAGE(F106),"")</f>
        <v/>
      </c>
      <c r="H106" s="567"/>
      <c r="I106" s="555"/>
      <c r="J106" s="559"/>
      <c r="K106" s="555"/>
    </row>
    <row r="107" spans="1:13" ht="15.6" x14ac:dyDescent="0.3">
      <c r="A107" s="520"/>
      <c r="B107" s="526" t="s">
        <v>51</v>
      </c>
      <c r="C107" s="64" t="s">
        <v>52</v>
      </c>
      <c r="D107" s="64"/>
      <c r="E107" s="166"/>
      <c r="F107" s="337" t="str">
        <f>IF(E107="","",IF(ISNUMBER($B$17),IF($B$17&lt;=2,IF(AND(E107&gt;=3,E107&lt;=5),1,IF(OR(E107&lt;=1,E107&gt;=7),0,ROUND(IF(E107&lt;3,E107*'Reference Standards'!S$398+'Reference Standards'!S$399,E107*'Reference Standards'!T$398+'Reference Standards'!T$399),2))),IF(E107&lt;=2.5,1,IF(E107&gt;=5.8,0,E107*'Reference Standards'!S$430+'Reference Standards'!S$431)))))</f>
        <v/>
      </c>
      <c r="G107" s="552" t="str">
        <f>IFERROR(AVERAGE(F107:F110),"")</f>
        <v/>
      </c>
      <c r="H107" s="567"/>
      <c r="I107" s="555"/>
      <c r="J107" s="559"/>
      <c r="K107" s="555"/>
    </row>
    <row r="108" spans="1:13" ht="15.6" x14ac:dyDescent="0.3">
      <c r="A108" s="520"/>
      <c r="B108" s="520"/>
      <c r="C108" s="58" t="s">
        <v>53</v>
      </c>
      <c r="D108" s="58"/>
      <c r="E108" s="165"/>
      <c r="F108" s="84" t="str">
        <f>IF(E108="","", IF( E108&gt;=2.4,1, IF(E108&lt;=1,0,  ROUND(IF(E108&lt;2.4, E108*'Reference Standards'!$S$464+'Reference Standards'!$S$465  ),2))))</f>
        <v/>
      </c>
      <c r="G108" s="553"/>
      <c r="H108" s="567"/>
      <c r="I108" s="555"/>
      <c r="J108" s="559"/>
      <c r="K108" s="555"/>
    </row>
    <row r="109" spans="1:13" ht="15.6" x14ac:dyDescent="0.3">
      <c r="A109" s="520"/>
      <c r="B109" s="520"/>
      <c r="C109" s="58" t="s">
        <v>334</v>
      </c>
      <c r="D109" s="58"/>
      <c r="E109" s="165"/>
      <c r="F109" s="390" t="str">
        <f>IF(E109="","", IF(LEFT($B$12,2)="67",  IF( AND(E109&gt;=45,E109&lt;=65),1, IF(OR(E109&lt;=20,E109&gt;=90),0, ROUND(  IF(E109&lt;45, E109*'Reference Standards'!$S$498+'Reference Standards'!$S$499,E109*'Reference Standards'!$T$498+'Reference Standards'!$T$499),2))), IF(OR(  LEFT($B$12,2)="68", LEFT($B$12,2)="69",LEFT($B$12,2)="71"),  IF( AND(E109&gt;=30,E109&lt;=50),1, IF(OR(E109&lt;=10,E109&gt;=70),0, ROUND(  IF(E109&lt;30, E109*'Reference Standards'!$S$533+'Reference Standards'!$S$534,E109*'Reference Standards'!$T$533+'Reference Standards'!$T$534),2))), IF(LEFT($B$12,2)="66",  IF( AND(E109&gt;=20,E109&lt;=45),1, IF(OR(E109&lt;=0,E109&gt;=90),0, ROUND(  IF(E109&lt;20, E109*'Reference Standards'!$S$567+'Reference Standards'!$S$568,E109*'Reference Standards'!$T$567+'Reference Standards'!$T$568),2))), IF(OR(  LEFT($B$12,2)="65", LEFT($B$12,2)="74", LEFT($B$12,2)="73"),  IF( AND(E109&gt;=20,E109&lt;=30),1, IF(OR(E109&lt;=0,E109&gt;=50),0, ROUND(  IF(E109&lt;20, E109*'Reference Standards'!$S$601+'Reference Standards'!$S$602,E109*'Reference Standards'!$T$601+'Reference Standards'!$T$602),2))))))))</f>
        <v/>
      </c>
      <c r="G109" s="553"/>
      <c r="H109" s="567"/>
      <c r="I109" s="555"/>
      <c r="J109" s="559"/>
      <c r="K109" s="555"/>
    </row>
    <row r="110" spans="1:13" ht="15.6" x14ac:dyDescent="0.3">
      <c r="A110" s="520"/>
      <c r="B110" s="521"/>
      <c r="C110" s="62" t="s">
        <v>210</v>
      </c>
      <c r="D110" s="65"/>
      <c r="E110" s="167"/>
      <c r="F110" s="391" t="str">
        <f>IF(E110="","",IF(E110&gt;=1.6,0,IF(E110&lt;=1,1,ROUND('Reference Standards'!$S$633*E110^3+'Reference Standards'!$S$634*E110^2+'Reference Standards'!$S$635*E110+'Reference Standards'!$S$636,2))))</f>
        <v/>
      </c>
      <c r="G110" s="554"/>
      <c r="H110" s="567"/>
      <c r="I110" s="555"/>
      <c r="J110" s="559"/>
      <c r="K110" s="555"/>
    </row>
    <row r="111" spans="1:13" ht="15.6" x14ac:dyDescent="0.3">
      <c r="A111" s="521"/>
      <c r="B111" s="296" t="s">
        <v>55</v>
      </c>
      <c r="C111" s="242" t="s">
        <v>54</v>
      </c>
      <c r="D111" s="65"/>
      <c r="E111" s="163"/>
      <c r="F111" s="342" t="str">
        <f>IF(E111="","",IF(AND(B$11="E",$B$14="Sand",$B$21="Unconfined Alluvial"),ROUND(IF(OR(E111&gt;1.8,E111&lt;1.3),0,IF(E111&lt;=1.6,1,E111*'Reference Standards'!S$667+'Reference Standards'!S$668)),2),    IF($B$21="Unconfined Alluvial",ROUND(IF(OR(E111&lt;1.2, E111&gt;1.5),0,IF(E111&lt;=1.4,1,E111*'Reference Standards'!$S$700+'Reference Standards'!$S$701)),2), IF($B$21="Confined Alluvial",ROUND(IF(E111&lt;1.15,0,IF(E111&lt;=1.4,E111*'Reference Standards'!$S$729+'Reference Standards'!$S$730,1)),2),  IF($B$21="Colluvial",ROUND(IF(E111&gt;1.3,0,IF(E111&gt;1.2,E111*'Reference Standards'!$S$760+'Reference Standards'!$S$761,1)),2) )))))</f>
        <v/>
      </c>
      <c r="G111" s="84" t="str">
        <f>IFERROR(AVERAGE(F111),"")</f>
        <v/>
      </c>
      <c r="H111" s="567"/>
      <c r="I111" s="555"/>
      <c r="J111" s="559"/>
      <c r="K111" s="555"/>
      <c r="L111" s="13"/>
    </row>
    <row r="112" spans="1:13" ht="15.6" x14ac:dyDescent="0.3">
      <c r="A112" s="537" t="s">
        <v>58</v>
      </c>
      <c r="B112" s="298" t="s">
        <v>88</v>
      </c>
      <c r="C112" s="70" t="s">
        <v>338</v>
      </c>
      <c r="D112" s="68"/>
      <c r="E112" s="43"/>
      <c r="F112" s="343" t="str">
        <f>IF(E112="","",ROUND(IF(E112&gt;=942,0,IF(E112&lt;=487,E112*'Reference Standards'!AB$15+'Reference Standards'!AB$16,E112*'Reference Standards'!$AC$15+'Reference Standards'!$AC$16)),2))</f>
        <v/>
      </c>
      <c r="G112" s="85" t="str">
        <f>IFERROR(AVERAGE(F112),"")</f>
        <v/>
      </c>
      <c r="H112" s="547" t="str">
        <f>IFERROR(ROUND(AVERAGE(G112:G115),2),"")</f>
        <v/>
      </c>
      <c r="I112" s="534" t="str">
        <f>IF(H112="","",IF(H112&gt;0.69,"Functioning",IF(H112&gt;0.29,"Functioning At Risk",IF(H112&gt;-1,"Not Functioning"))))</f>
        <v/>
      </c>
      <c r="J112" s="559"/>
      <c r="K112" s="555"/>
      <c r="L112" s="13"/>
    </row>
    <row r="113" spans="1:12" ht="15.6" x14ac:dyDescent="0.3">
      <c r="A113" s="538"/>
      <c r="B113" s="297" t="s">
        <v>362</v>
      </c>
      <c r="C113" s="66" t="s">
        <v>354</v>
      </c>
      <c r="D113" s="70"/>
      <c r="E113" s="163"/>
      <c r="F113" s="344" t="str">
        <f>IF(E113="","",IF(OR($B$12="65abei", $B$12="65j", $B$12="66d", $B$12="66e", $B$12="66ik", $B$12="66f", $B$12="66g", $B$12="66j", $B$12="68a", $B$12="69de", $B$12="74b",AND(OR($B$12="67fhi", $B$12="67g"),$B$13&lt;=2),AND(OR($B$12="68c", $B$12="68d"),$B$19="January - June")),IF(E113&gt;93,0,IF(E113&lt;13,1,ROUND('Reference Standards'!$AB$53*E113^2+'Reference Standards'!$AB$54*E113+'Reference Standards'!$AB$55,2))),   IF(OR(AND(OR($B$12="67fhi", $B$12="67g",$B$12="71f",$B$12="71g",$B$12="71h"),$B$13&gt;2),AND(OR($B$12="68c", $B$12="68d"),$B$19="July - December"),$B$12="73a",$B$12="73b"),IF(E113&gt;94,0,IF(E113&lt;17,1,ROUND('Reference Standards'!$AC$53*E113^2+'Reference Standards'!$AC$54*E113+'Reference Standards'!$AC$55,2))),    IF(OR(AND(OR($B$12="68b",$B$12="71i"),$B$13&gt;2), $B$12="71e"),IF(E113&gt;91,0,IF(E113&lt;24,1,ROUND('Reference Standards'!$AD$53*E113^2+'Reference Standards'!$AD$54*E113+'Reference Standards'!$AD$55,2))),  IF(OR(AND(OR($B$12="71f",$B$12="71g",$B$12="71h",$B$12="71i"),$B$13&lt;=2), AND($B$12="74a",$B$13&gt;2)),IF(E113&gt;95,0,IF(E113&lt;=36,1,ROUND('Reference Standards'!$AE$53*E113^2+'Reference Standards'!$AE$54*E113+'Reference Standards'!$AE$55,2))))))))</f>
        <v/>
      </c>
      <c r="G113" s="236" t="str">
        <f>IFERROR(AVERAGE(F113:F113),"")</f>
        <v/>
      </c>
      <c r="H113" s="548"/>
      <c r="I113" s="535"/>
      <c r="J113" s="559"/>
      <c r="K113" s="555"/>
      <c r="L113" s="21"/>
    </row>
    <row r="114" spans="1:12" ht="15.6" x14ac:dyDescent="0.3">
      <c r="A114" s="538"/>
      <c r="B114" s="67" t="s">
        <v>81</v>
      </c>
      <c r="C114" s="68" t="s">
        <v>281</v>
      </c>
      <c r="D114" s="68"/>
      <c r="E114" s="162"/>
      <c r="F114" s="344" t="str">
        <f>IF(E114="","",IF(ISNUMBER($B$13),IF(OR($B$12="66e",$B$12="66f",$B$12="66g"),ROUND(IF(E114&gt;=0.61,0,IF(E114&lt;=0.01,1,IF(E114&lt;=0.06,E114*'Reference Standards'!$AD$197+'Reference Standards'!$AD$198,E114^2*'Reference Standards'!$AB$196+E114*'Reference Standards'!$AB$197+'Reference Standards'!$AB$198))),2),IF($B$12="68b",ROUND(IF(E114&gt;=1.1,0,IF(E114&lt;=0.17,1,IF(E114&lt;=0.22,E114*'Reference Standards'!$AE$197+'Reference Standards'!$AE$198,E114^2*'Reference Standards'!$AC$196+E114*'Reference Standards'!$AC$197+'Reference Standards'!$AC$198))),2),IF($B$13&lt;=2.5,IF($B$12="69de",ROUND(IF(E114&gt;=0.22,0,IF(E114&lt;=0.01,1,E114^2*'Reference Standards'!$AB$90+E114*'Reference Standards'!$AB$91+'Reference Standards'!$AB$92)),2),IF($B$12="68c",ROUND(IF(E114&gt;=0.87,0,IF(E114&lt;=0.01,1,E114^2*'Reference Standards'!$AC$90+E114*'Reference Standards'!$AC$91+'Reference Standards'!$AC$92)),2),IF($B$12="68a",ROUND(IF(E114&gt;=0.81,0,IF(E114&lt;=0.01,1,E114^2*'Reference Standards'!$AD$90+E114*'Reference Standards'!$AD$91+'Reference Standards'!$AD$92)),2),IF($B$12="65abei",ROUND(IF(E114&gt;=0.67,0,IF(E114&lt;=0.01,1,IF(E114&lt;=0.18,E114*'Reference Standards'!$AG$91+'Reference Standards'!$AG$92,E114*'Reference Standards'!$AE$91+'Reference Standards'!$AE$92))),2),IF($B$12="65j",ROUND(IF(E114&gt;=0.32,0,IF(E114&lt;=0.01,1,IF(E114&lt;=0.25,E114*'Reference Standards'!$AH$91+'Reference Standards'!$AH$92,E114*'Reference Standards'!$AF$91+'Reference Standards'!$AF$92))),2),IF($B$12="71f",ROUND(IF(E114&gt;=3,0,IF(E114&lt;=0,1,IF(E114&lt;=0.01,0.7,E114^2*'Reference Standards'!$AB$126+E114*'Reference Standards'!$AB$127+'Reference Standards'!$AB$128))),2),IF($B$12="74a",ROUND(IF(E114&gt;=0.14,0,IF(E114&lt;=0.01,1,IF(E114&lt;=0.02,0.7,E114^2*'Reference Standards'!$AC$126+E114*'Reference Standards'!$AC$127+'Reference Standards'!$AC$128))),2),IF(OR($B$12="67fhi",$B$12="67g"),ROUND(IF(E114&gt;=1.9,0,IF(E114&lt;=0.01,1,IF(E114&lt;=0.05,E114*'Reference Standards'!$AF$127+'Reference Standards'!$AF$128,E114^2*'Reference Standards'!$AD$126+E114*'Reference Standards'!$AD$127+'Reference Standards'!$AD$128))),2),IF($B$12="73a",ROUND(IF(E114&gt;=1.44,0,IF(E114&lt;=0.01,1,IF(E114&lt;=0.12,E114*'Reference Standards'!$AG$127+'Reference Standards'!$AG$128,E114^2*'Reference Standards'!$AE$126+E114*'Reference Standards'!$AE$127+'Reference Standards'!$AE$128))),2),IF($B$12="66d",ROUND(IF(E114&gt;=0.46,0,IF(E114&lt;=0.02,1,IF(E114&lt;=0.08,E114*'Reference Standards'!$AF$163+'Reference Standards'!$AF$164,E114^2*'Reference Standards'!$AB$162+E114*'Reference Standards'!$AB$163+'Reference Standards'!$AB$164))),2),IF(OR($B$12="71g",$B$12="71h",$B$12="71i"),ROUND(IF(E114&gt;=3,0,IF(E114&lt;=0.06,1,IF(E114&lt;=0.24,E114*'Reference Standards'!$AG$163+'Reference Standards'!$AG$164,E114^2*'Reference Standards'!$AC$162+E114*'Reference Standards'!$AC$163+'Reference Standards'!$AC$164))),2),IF($B$12="74b",ROUND(IF(E114&gt;=1.3,0,IF(E114&lt;=0.29,1,IF(E114&lt;=0.48,E114*'Reference Standards'!$AH$163+'Reference Standards'!$AH$164,E114^2*'Reference Standards'!$AD$162+E114*'Reference Standards'!$AD$163+'Reference Standards'!$AD$164))),2),IF($B$12="71e",ROUND(IF(E114&gt;=4.3,0,IF(E114&lt;=0.53,1,IF(E114&lt;=0.67,E114*'Reference Standards'!$AI$163+'Reference Standards'!$AI$164,E114^2*'Reference Standards'!$AE$162+E114*'Reference Standards'!$AE$163+'Reference Standards'!$AE$164))),2)))))))))))))),IF($B$13&gt;2.5,IF($B$12="73a",ROUND(IF(E114&gt;=0.55,0,IF(E114&lt;=0,1,E114^2*'Reference Standards'!$AB$232+E114*'Reference Standards'!$AB$233+'Reference Standards'!$AB$234)),2),IF($B$12="68a",ROUND(IF(E114&gt;=0.54,0,IF(E114&lt;=0,1,IF(E114&lt;=0.01,0.85,E114^2*'Reference Standards'!$AC$232+E114*'Reference Standards'!$AC$233+'Reference Standards'!$AC$234))),2),IF($B$12="74a",ROUND(IF(E114&gt;=0.47,0,IF(E114&lt;=0.01,1,IF(E114&lt;=0.02,0.7,E114^2*'Reference Standards'!$AD$232+E114*'Reference Standards'!$AD$233+'Reference Standards'!$AD$234))),2),IF($B$12="69de",ROUND(IF(E114&gt;=0.26,0,IF(E114&lt;=0.01,1,IF(E114&lt;=0.02,0.85,E114^2*'Reference Standards'!$AE$232+E114*'Reference Standards'!$AE$233+'Reference Standards'!$AE$234))),2),IF($B$12="71f",ROUND(IF(E114&gt;=0.87,0,IF(E114&lt;=0.01,1,IF(E114&lt;=0.04,E114*'Reference Standards'!$AF$269+'Reference Standards'!$AF$270,E114^2*'Reference Standards'!$AB$268+E114*'Reference Standards'!$AB$269+'Reference Standards'!$AB$270))),2),IF($B$12="65abei",ROUND(IF(E114&gt;=0.82,0,IF(E114&lt;=0.01,1,IF(E114&lt;=0.06,E114*'Reference Standards'!$AG$269+'Reference Standards'!$AG$270,E114^2*'Reference Standards'!$AC$268+E114*'Reference Standards'!$AC$269+'Reference Standards'!$AC$270))),2),IF($B$12="65j",ROUND(IF(E114&gt;=0.33,0,IF(E114&lt;=0.03,1,IF(E114&lt;=0.09,E114*'Reference Standards'!$AH$269+'Reference Standards'!$AH$270,E114^2*'Reference Standards'!$AD$268+E114*'Reference Standards'!$AD$269+'Reference Standards'!$AD$270))),2),IF($B$12="68c",ROUND(IF(E114&gt;=0.7,0,IF(E114&lt;=0.07,1,IF(E114&lt;=0.12,E114*'Reference Standards'!$AI$269+'Reference Standards'!$AI$270,E114^2*'Reference Standards'!$AE$268+E114*'Reference Standards'!$AE$269+'Reference Standards'!$AE$270))),2),IF(OR($B$12="67fhi",$B$12="67g"),ROUND(IF(E114&gt;=1.8,0,IF(E114&lt;=0.08,1,IF(E114&lt;=0.2,E114*'Reference Standards'!$AF$306+'Reference Standards'!$AF$307,E114^2*'Reference Standards'!$AB$305+E114*'Reference Standards'!$AB$306+'Reference Standards'!$AB$307))),2),IF($B$12="74b",ROUND(IF(E114&gt;=0.96,0,IF(E114&lt;=0.12,1,IF(E114&lt;=0.16,E114*'Reference Standards'!$AG$306+'Reference Standards'!$AG$307,E114^2*'Reference Standards'!$AC$305+E114*'Reference Standards'!$AC$306+'Reference Standards'!$AC$307))),2),IF($B$12="66d",ROUND(IF(E114&gt;=0.75,0,IF(E114&lt;=0.13,1,IF(E114&lt;=0.2,E114*'Reference Standards'!$AH$306+'Reference Standards'!$AH$307,E114^2*'Reference Standards'!$AD$305+E114*'Reference Standards'!$AD$306+'Reference Standards'!$AD$307))),2),IF(OR($B$12="71g",$B$12="71h",$B$12="71i"),ROUND(IF(E114&gt;=1.68,0,IF(E114&lt;=0.08,1,IF(E114&lt;=0.23,E114*'Reference Standards'!$AI$306+'Reference Standards'!$AI$307,E114^2*'Reference Standards'!$AE$305+E114*'Reference Standards'!$AE$306+'Reference Standards'!$AE$307))),2),IF($B$12="71e",ROUND(IF(E114&gt;=5.3,0,IF(E114&lt;=0.94,1,IF(E114&lt;=1.4,E114*'Reference Standards'!$AF$310+'Reference Standards'!$AF$311,E114^2*'Reference Standards'!$AB$309+E114*'Reference Standards'!$AB$310+'Reference Standards'!$AB$311))),2))))))))))))))))))))</f>
        <v/>
      </c>
      <c r="G114" s="87" t="str">
        <f>IFERROR(AVERAGE(F114),"")</f>
        <v/>
      </c>
      <c r="H114" s="548"/>
      <c r="I114" s="535"/>
      <c r="J114" s="559"/>
      <c r="K114" s="555"/>
      <c r="L114" s="21"/>
    </row>
    <row r="115" spans="1:12" ht="15.6" x14ac:dyDescent="0.3">
      <c r="A115" s="539"/>
      <c r="B115" s="298" t="s">
        <v>82</v>
      </c>
      <c r="C115" s="66" t="s">
        <v>280</v>
      </c>
      <c r="D115" s="66"/>
      <c r="E115" s="136"/>
      <c r="F115" s="343" t="str">
        <f>IF(E115="","",IF(ISNUMBER($B$13),IF($B$13&gt;2.5,IF(OR($B$12="71h",$B$12="71i",$B$12="73a",$B$12="74a"),IF(E115&lt;=0.01,1,IF(OR($B$12="71h",$B$12="71i"),IF(E115&gt;0.37,0,ROUND(IF(E115&gt;0.03,'Reference Standards'!$AB$425*E115^2+'Reference Standards'!$AB$426*E115+'Reference Standards'!$AB$427,'Reference Standards'!$AF$426*E115+'Reference Standards'!$AF$427),2)),IF($B$12="73a",IF(E115&gt;0.405,0,ROUND(IF(E115&gt;0.046,'Reference Standards'!$AC$425*E115^2+'Reference Standards'!$AC$426*E115+'Reference Standards'!$AC$427,'Reference Standards'!$AG$426*E115+'Reference Standards'!$AG$427),2)),IF($B$12="74a",IF(E115&gt;0.3,0,ROUND(IF(E115&gt;0.052,'Reference Standards'!$AD$425*E115^2+'Reference Standards'!$AD$426*E115+'Reference Standards'!$AD$427,'Reference Standards'!$AH$426*E115+'Reference Standards'!$AH$427),2)))))),IF(E115&lt;=0.002,1,IF(OR($B$12="66d",$B$12="66e",$B$12="66g"),IF(E115&gt;0.053,0,ROUND(E115^2*'Reference Standards'!$AB$347+E115*'Reference Standards'!$AB$348+'Reference Standards'!$AB$349,2)),IF($B$12="68b",IF(E115&gt;0.05,0,ROUND(E115^2*'Reference Standards'!$AC$347+E115*'Reference Standards'!$AC$348+'Reference Standards'!$AC$349,2)),IF(OR($B$12="68a",$B$12="68c"),IF(E115&gt;0.07,0,ROUND(E115^2*'Reference Standards'!$AD$347+E115*'Reference Standards'!$AD$348+'Reference Standards'!$AD$349,2)),IF(OR($B$12="71f",$B$12="71g"),IF(E115&gt;0.13,0,ROUND(IF(E115&gt;0.042,E115*'Reference Standards'!$AE$348+'Reference Standards'!$AE$349,E115*'Reference Standards'!$AF$348+'Reference Standards'!$AF$349),2)),IF($B$12="67fhi",IF(E115&gt;0.16,0,ROUND(E115^2*'Reference Standards'!$AG$347+E115*'Reference Standards'!$AG$348+'Reference Standards'!$AG$349,2)),IF($B$12="65j",IF(E115&gt;0.035,0,ROUND(IF(E115&lt;=0.003,0.7,E115^2*'Reference Standards'!$AB$387+E115*'Reference Standards'!$AB$388+'Reference Standards'!$AB$389),2)),IF($B$12="69de",IF(E115&gt;0.037,0,ROUND(IF(E115&lt;=0.003,0.7,E115^2*'Reference Standards'!$AC$387+E115*'Reference Standards'!$AC$388+'Reference Standards'!$AC$389),2)),IF($B$12="71e",IF(E115&gt;0.23,0,ROUND(IF(E115&lt;=0.003,0.7,E115^2*'Reference Standards'!$AD$387+E115*'Reference Standards'!$AD$388+'Reference Standards'!$AD$389),2)),IF($B$12="66f",IF(E115&gt;0.06,0,ROUND(IF(E115&lt;=0.003,0.85,IF(E115&lt;=0.004,0.7,E115^2*'Reference Standards'!$AE$387+E115*'Reference Standards'!$AE$388+'Reference Standards'!$AE$389)),2)),IF($B$12="67g",IF(E115&gt;0.11,0,ROUND(IF(E115&lt;=0.01,E115*'Reference Standards'!$AH$388+'Reference Standards'!$AH$389,E115^2*'Reference Standards'!$AF$387+E115*'Reference Standards'!$AF$388+'Reference Standards'!$AF$389),2)),IF($B$12="74b",IF(E115&gt;0.49,0,ROUND(IF(E115&lt;=0.01,E115*'Reference Standards'!$AH$388+'Reference Standards'!$AH$389,E115^2*'Reference Standards'!$AG$387+E115*'Reference Standards'!$AG$388+'Reference Standards'!$AG$389),2)),IF($B$12="65abei",IF(E115&gt;0.199,0,ROUND(IF(E115&lt;=0.01,E115*'Reference Standards'!$AI$426+'Reference Standards'!$AI$427,E115^2*'Reference Standards'!$AE$425+E115*'Reference Standards'!$AE$426+'Reference Standards'!$AE$427),2)))))))))))))))),IF($B$13&lt;=2.5,IF(OR($B$12="66d",$B$12="66e",$B$12="66g"),IF(E115&gt;0.05,0,ROUND(IF(E115&lt;=0.002,1,IF(E115&lt;=0.005,E115*'Reference Standards'!$AF$464+'Reference Standards'!$AF$465,E115^2*'Reference Standards'!$AB$463+E115*'Reference Standards'!$AB$464+'Reference Standards'!$AB$465)),2)),IF($B$12="67fhi",IF(E115&gt;0.1,0,ROUND(IF(E115&lt;=0.002,1,IF(E115&lt;=0.006,E115*'Reference Standards'!$AG$464+'Reference Standards'!$AG$465,E115^2*'Reference Standards'!$AC$463+E115*'Reference Standards'!$AC$464+'Reference Standards'!$AC$465)),2)),IF($B$12="65abei",IF(E115&gt;0.13,0,ROUND(IF(E115&lt;=0.003,1,IF(E115&lt;=0.008,E115*'Reference Standards'!$AH$464+'Reference Standards'!$AH$465,E115^2*'Reference Standards'!$AD$463+E115*'Reference Standards'!$AD$464+'Reference Standards'!$AD$465)),2)),IF($B$12="68b",IF(E115&gt;0.043,0,ROUND(IF(E115&lt;=0.004,1,IF(E115&lt;=0.005,0.7,E115^2*'Reference Standards'!$AE$463+E115*'Reference Standards'!$AE$464+'Reference Standards'!$AE$465)),2)),IF($B$12="69de",IF(E115&gt;=0.034,0,ROUND(IF(E115&lt;=0.003,1,IF(E115&lt;=0.006,E115*'Reference Standards'!$AG$500+'Reference Standards'!$AG$501,E115*'Reference Standards'!$AB$500+'Reference Standards'!$AB$501)),2)),IF(OR($B$12="68a",$B$12="68c"),IF(E115&gt;0.202,0,ROUND(IF(E115&lt;=0.003,1,IF(E115&lt;=0.006,E115*'Reference Standards'!$AG$500+'Reference Standards'!$AG$501,IF(E115&gt;=0.04,E115*'Reference Standards'!$AC$500+'Reference Standards'!$AC$501,E115*'Reference Standards'!$AE$500+'Reference Standards'!$AE$501))),2)),IF(OR($B$12="71f",$B$12="71g"),IF(E115&gt;0.631,0,ROUND(IF(E115&lt;=0.003,1,IF(E115&lt;=0.006,E115*'Reference Standards'!$AG$500+'Reference Standards'!$AG$501,IF(E115&gt;=0.17,E115*'Reference Standards'!$AD$500+'Reference Standards'!$AD$501,E115*'Reference Standards'!$AF$500+'Reference Standards'!$AF$501))),2)),IF($B$12="71e",IF(E115&gt;1.23,0,ROUND(IF(E115&lt;=0.004,1,IF(E115&lt;=0.006,E115*'Reference Standards'!$AF$538+'Reference Standards'!$AF$539,E115^2*'Reference Standards'!$AB$537+E115*'Reference Standards'!$AB$538+'Reference Standards'!$AB$539)),2)),IF($B$12="67g",IF(E115&gt;0.11,0,ROUND(IF(E115&lt;=0.006,1,IF(E115&lt;=0.011,E115*'Reference Standards'!$AG$538+'Reference Standards'!$AG$539,E115^2*'Reference Standards'!$AC$537+E115*'Reference Standards'!$AC$538+'Reference Standards'!$AC$539)),2)),IF($B$12="65j",IF(E115&gt;0.046,0,ROUND(IF(E115&lt;=0.007,1,IF(E115&lt;=0.012,E115*'Reference Standards'!$AH$538+'Reference Standards'!$AH$539,E115^2*'Reference Standards'!$AD$537+E115*'Reference Standards'!$AD$538+'Reference Standards'!$AD$539)),2)),IF($B$12="66f",IF(E115&gt;0.081,0,ROUND(IF(E115&lt;=0.008,1,IF(E115&lt;=0.011,E115*'Reference Standards'!$AI$538+'Reference Standards'!$AI$539,E115^2*'Reference Standards'!$AE$537+E115*'Reference Standards'!$AE$538+'Reference Standards'!$AE$539)),2)),IF(OR($B$12="71h",$B$12="71i"),IF(E115&gt;0.37,0,ROUND(IF(E115&lt;=0.013,1,IF(E115&lt;=0.032,E115*'Reference Standards'!$AH$576+'Reference Standards'!$AH$577,IF(E115&lt;=0.3,E115*'Reference Standards'!$AF$576+'Reference Standards'!$AF$577,E115*'Reference Standards'!$AB$576+'Reference Standards'!$AB$577))),2)),IF($B$12="73a",IF(E115&gt;0.448,0,ROUND(IF(E115&lt;=0.071,1,IF(E115&lt;=0.086,E115*'Reference Standards'!$AJ$576+'Reference Standards'!$AJ$577,IF(E115&lt;=0.165,E115*'Reference Standards'!$AG$576+'Reference Standards'!$AG$577,E115*'Reference Standards'!$AE$576+'Reference Standards'!$AE$577))),2)),IF($B$12="74b",IF(E115&gt;0.43,0,ROUND(IF(E115&lt;=0.018,1,IF(E115&lt;=0.019,0.85,IF(E115&lt;=0.02,0.7,E115^2*'Reference Standards'!$AC$575+E115*'Reference Standards'!$AC$576+'Reference Standards'!$AC$577))),2)),IF($B$12="74a",IF(E115&gt;0.217,0,ROUND(IF(E115&lt;=0.02,1,IF(E115&lt;=0.033,E115*'Reference Standards'!$AI$576+'Reference Standards'!$AI$577,E115^2*'Reference Standards'!$AD$575+E115*'Reference Standards'!$AD$576+'Reference Standards'!$AD$577)),2)))))))))))))))))))))</f>
        <v/>
      </c>
      <c r="G115" s="85" t="str">
        <f>IFERROR(AVERAGE(F115),"")</f>
        <v/>
      </c>
      <c r="H115" s="549"/>
      <c r="I115" s="536"/>
      <c r="J115" s="559"/>
      <c r="K115" s="555"/>
      <c r="L115" s="21"/>
    </row>
    <row r="116" spans="1:12" ht="15.6" x14ac:dyDescent="0.3">
      <c r="A116" s="550" t="s">
        <v>59</v>
      </c>
      <c r="B116" s="560" t="s">
        <v>340</v>
      </c>
      <c r="C116" s="125" t="s">
        <v>331</v>
      </c>
      <c r="D116" s="126"/>
      <c r="E116" s="166"/>
      <c r="F116" s="345" t="str">
        <f>IF(E116="","",IF(OR(B$12="73a",B$12="73b"),IF(E116&lt;1,0,IF(E116&gt;=30,1,ROUND(IF(E116&lt;22,'Reference Standards'!$AL$16*E116+'Reference Standards'!$AL$17,'Reference Standards'!$AM$16*E116+'Reference Standards'!$AM$17),2))), IF(E116&lt;1,0, IF(E116&gt;=42,1, ROUND(IF(E116&lt;32,'Reference Standards'!$AN$16*E116+'Reference Standards'!$AN$17,'Reference Standards'!$AO$16*E116+'Reference Standards'!$AO$17),2)))))</f>
        <v/>
      </c>
      <c r="G116" s="582" t="str">
        <f>IFERROR(AVERAGE(F116:F119),"")</f>
        <v/>
      </c>
      <c r="H116" s="568" t="str">
        <f>IFERROR(ROUND(AVERAGE(G116:G121),2),"")</f>
        <v/>
      </c>
      <c r="I116" s="519" t="str">
        <f>IF(H116="","",IF(H116&gt;0.69,"Functioning",IF(H116&gt;0.29,"Functioning At Risk",IF(H116&gt;-1,"Not Functioning"))))</f>
        <v/>
      </c>
      <c r="J116" s="559"/>
      <c r="K116" s="555"/>
      <c r="L116" s="21"/>
    </row>
    <row r="117" spans="1:12" ht="15.6" x14ac:dyDescent="0.3">
      <c r="A117" s="556"/>
      <c r="B117" s="561"/>
      <c r="C117" s="174" t="s">
        <v>335</v>
      </c>
      <c r="D117" s="175"/>
      <c r="E117" s="165"/>
      <c r="F117" s="346" t="str">
        <f>IF(E117="","",IF(AND($B$12="74b",$B$13&lt;=2),IF(E117&lt;0,0,IF(E117&gt;15.6,0.69,ROUND('Reference Standards'!$AL$54*E117^2+'Reference Standards'!$AL$55*E117+'Reference Standards'!$AL$56,2))),IF(AND($B$12="65abei",$B$13&lt;=2),IF(E117&lt;0,0,IF(E117&gt;=20,0.69,ROUND('Reference Standards'!$AM$54*E117^2+'Reference Standards'!$AM$55*E117+'Reference Standards'!$AM$56,2))),IF(OR(AND($B$12="74a",$B$13&gt;2,$B$19="January - June"),AND($B$12="71i",$B$13&gt;2,$B$20="SQBANK")),IF(E117&lt;0,0,IF(E117&gt;24.7,0.69,ROUND('Reference Standards'!$AN$54*E117^2+'Reference Standards'!$AN$55*E117+'Reference Standards'!$AN$56,2))),IF(OR($B$12="74b",$B$12="65abei"),IF(E117&lt;0,0,IF(E117&gt;32.7,0.69,ROUND('Reference Standards'!$AO$54*E117^2+'Reference Standards'!$AO$55*E117+'Reference Standards'!$AO$56,2))),IF(AND($B$12="68b",$B$13&gt;2),IF(E117&lt;0,0,IF(E117&gt;41.2,0.69,ROUND('Reference Standards'!$AP$54*E117^2+'Reference Standards'!$AP$55*E117+'Reference Standards'!$AP$56,2))),IF(OR(AND($B$12="71i",$B$13&lt;=2),AND(OR($B$12="68c",$B$12="68d"),$B$19="January - June")),IF(E117&lt;0,0,IF(E117&gt;49.2,0.69,ROUND('Reference Standards'!$AL$94*E117^2+'Reference Standards'!$AL$95*E117+'Reference Standards'!$AL$96,2))),IF(OR(AND($B$12="68a",$B$19="January - June"),AND(OR($B$12="68c",$B$12="68d"),$B$19="July - December")),IF(E117&lt;0,0,IF(E117&gt;53.4,0.69,ROUND('Reference Standards'!$AM$94*E117^2+'Reference Standards'!$AM$95*E117+'Reference Standards'!$AM$96,2))),IF(OR(AND($B$12="71i",$B$13&gt;2,$B$20="SQKICK"),AND(OR($B$12="67fhi",$B$12="67g"),$B$13&lt;=2),$B$12="65j"),IF(E117&lt;0,0,IF(E117&gt;57.8,0.69,ROUND('Reference Standards'!$AN$94*E117^2+'Reference Standards'!$AN$95*E117+'Reference Standards'!$AN$96,2))),IF(OR(AND($B$12="74a",$B$13&gt;2,$B$19="July - December"),AND(OR($B$12="67fhi",$B$12="67g"),$B$13&gt;2),$B$12="69de"),IF(E117&lt;0,0,IF(E117&gt;62.5,0.69,ROUND('Reference Standards'!$AO$94*E117^2+'Reference Standards'!$AO$95*E117+'Reference Standards'!$AO$96,2))),  IF(OR($B$12="66d",$B$12="66e",$B$12="66ik",$B$12="71e",$B$12="71f",$B$12="71g",$B$12="71h"),IF(E117&lt;0,0,IF(E117&gt;66.5,0.69,ROUND('Reference Standards'!$AP$94*E117^2+'Reference Standards'!$AP$95*E117+'Reference Standards'!$AP$96,2))),IF(OR($B$12="66f",$B$12="66g",$B$12="66j",AND($B$12="68a",$B$19="July - December")), IF(E117&lt;0,0,IF(E117&gt;69,0.69,ROUND('Reference Standards'!$AQ$94*E117^2+'Reference Standards'!$AQ$95*E117+'Reference Standards'!$AQ$96,2))))   )))))))))))</f>
        <v/>
      </c>
      <c r="G117" s="584"/>
      <c r="H117" s="568"/>
      <c r="I117" s="519"/>
      <c r="J117" s="559"/>
      <c r="K117" s="555"/>
      <c r="L117" s="21"/>
    </row>
    <row r="118" spans="1:12" ht="15.6" x14ac:dyDescent="0.3">
      <c r="A118" s="556"/>
      <c r="B118" s="561"/>
      <c r="C118" s="174" t="s">
        <v>339</v>
      </c>
      <c r="D118" s="175"/>
      <c r="E118" s="165"/>
      <c r="F118" s="346" t="str">
        <f>IF(E118="","",IF(AND($B$12="74b",$B$13&lt;=2),IF(E118&lt;0,0,IF(E118&gt;8.1,0.69,ROUND('Reference Standards'!$AL$131*E118^2+'Reference Standards'!$AL$132*E118+'Reference Standards'!$AL$133,2))),IF(OR($B$12="73a",$B$12="73b"),IF(E118&lt;0,0,IF(E118&gt;=28,0.69,ROUND('Reference Standards'!$AM$131*E118^2+'Reference Standards'!$AM$132*E118+'Reference Standards'!$AM$133,2))),IF(AND($B$12="74a",$B$13&gt;2,$B$19="January - June"),IF(E118&lt;0,0,IF(E118&gt;=32.5,0.69,ROUND('Reference Standards'!$AN$131*E118^2+'Reference Standards'!$AN$132*E118+'Reference Standards'!$AN$133,2))),IF(AND($B$12="71i",$B$13&gt;2,$B$20="SQBANK"),IF(E118&lt;0,0,IF(E118&gt;=37,0.69,ROUND('Reference Standards'!$AO$131*E118^2+'Reference Standards'!$AO$132*E118+'Reference Standards'!$AO$133,2))),IF(OR(AND(OR($B$12="65abei",$B$12="74b"),$B$13&gt;2),AND($B$12="71i",$B$13&gt;2,$B$20="SQKICK")),IF(E118&lt;0,0,IF(E118&gt;42.6,0.69,ROUND('Reference Standards'!$AP$131*E118^2+'Reference Standards'!$AP$132*E118+'Reference Standards'!$AP$133,2))),     IF(OR(AND($B$12="65abei",$B$13&lt;=2),AND(OR($B$12="68c",$B$12="68d"),$B$19="July - December"),$B$12="71e"),IF(E118&lt;0,0,IF(E118&gt;=48,0.69,ROUND('Reference Standards'!$AL$171*E118^2+'Reference Standards'!$AL$172*E118+'Reference Standards'!$AL$173,2))),IF(OR($B$12="65j",$B$12="67fhi",$B$12="67g",AND($B$12="74a",$B$19="July - December",$B$13&gt;2),AND($B$12="71i",$B$13&lt;=2)),IF(E118&lt;0,0,IF(E118&gt;=53,0.69,ROUND('Reference Standards'!$AM$171*E118^2+'Reference Standards'!$AM$172*E118+'Reference Standards'!$AM$173,2))),IF(OR(AND(OR($B$12="68b",$B$12="71f",$B$12="71g",$B$12="71h"),$B$13&gt;2),$B$12="68a"),IF(E118&lt;0,0,IF(E118&gt;=57,0.69,ROUND('Reference Standards'!$AN$171*E118^2+'Reference Standards'!$AN$172*E118+'Reference Standards'!$AN$173,2))),IF(OR($B$12="66f",$B$12="66g",$B$12="66j",AND(OR($B$12="71f",$B$12="71g",$B$12="71h"),$B$13&lt;=2)),IF(E118&lt;0,0,IF(E118&gt;=60,0.69,ROUND('Reference Standards'!$AO$171*E118^2+'Reference Standards'!$AO$172*E118+'Reference Standards'!$AO$173,2))),  IF(OR($B$12="66d",$B$12="66e",$B$12="66ik", AND(OR($B$12="68c",$B$12="68d"),$B$19="January - June"),AND($B$12="69de",$B$19="July - December")),IF(E118&lt;0,0,IF(E118&gt;=67.5,0.69,ROUND('Reference Standards'!$AP$171*E118^2+'Reference Standards'!$AP$172*E118+'Reference Standards'!$AP$173,2))),IF(AND($B$12="69de",$B$19="January - June"), IF(E118&lt;0,0,IF(E118&gt;=72,0.69,ROUND('Reference Standards'!$AQ$171*E118^2+'Reference Standards'!$AQ$172*E118+'Reference Standards'!$AQ$173,2))))   )))))))))))</f>
        <v/>
      </c>
      <c r="G118" s="584"/>
      <c r="H118" s="568"/>
      <c r="I118" s="519"/>
      <c r="J118" s="559"/>
      <c r="K118" s="555"/>
      <c r="L118" s="21"/>
    </row>
    <row r="119" spans="1:12" ht="15.6" x14ac:dyDescent="0.3">
      <c r="A119" s="556"/>
      <c r="B119" s="562"/>
      <c r="C119" s="127" t="s">
        <v>336</v>
      </c>
      <c r="D119" s="175"/>
      <c r="E119" s="167"/>
      <c r="F119" s="346" t="str">
        <f>IF(E119="","",IF(OR($B$12="67fhi",$B$12="67g",$B$12="71e",$B$12="73a",$B$12="73b",AND(OR($B$12="71f",$B$12="71g",$B$12="71h"),$B$13&gt;2)),IF(E119&gt;100,0,IF(E119&lt;15,0.69,ROUND('Reference Standards'!$AL$208*E119^2+'Reference Standards'!$AL$209*E119+'Reference Standards'!$AL$210,2))),  IF(OR($B$12="66d",$B$12="66e",$B$12="66ik",$B$12="66f",$B$12="66g",$B$12="66j",$B$12="68a",$B$12="68c",$B$12="68d",AND($B$12="69de",$B$19="July - December"), AND($B$12="71i",$B$13&lt;=2), AND($B$12="71i",$B$13&gt;2,$B$20="SQBANK" ), AND($B$12="74a",$B$13&gt;2,$B$19="July - December") ),IF(E119&gt;100,0,IF(E119&lt;19,0.69,ROUND('Reference Standards'!$AM$208*E119^2+'Reference Standards'!$AM$209*E119+'Reference Standards'!$AM$210,2))),    IF(OR(AND($B$12="69de",$B$19="January - June"),AND($B$12="71i",$B$13&gt;2,$B$20="SQKICK" )),IF(E119&gt;100,0,IF(E119&lt;22,0.69,ROUND('Reference Standards'!$AN$208*E119^2+'Reference Standards'!$AN$209*E119+'Reference Standards'!$AN$210,2))),    IF(OR($B$12="65j",AND($B$12="68b",$B$13&gt;2)),IF(E119&gt;100,0,IF(E119&lt;24,0.69,ROUND('Reference Standards'!$AO$208*E119^2+'Reference Standards'!$AO$209*E119+'Reference Standards'!$AO$210,2))),    IF(AND(OR($B$12="65abei",$B$12="71f",$B$12="71g",$B$12="71h"),$B$13&lt;=2),IF(E119&gt;95,0,IF(E119&lt;33,0.69,ROUND('Reference Standards'!$AL$246*E119^2+'Reference Standards'!$AL$247*E119+'Reference Standards'!$AL$248,2))),   IF(AND(OR($B$12="65abei",$B$12="74b"),$B$13&gt;2),IF(E119&gt;97,0,IF(E119&lt;36,0.69,ROUND('Reference Standards'!$AM$246*E119^2+'Reference Standards'!$AM$247*E119+'Reference Standards'!$AM$248,2))),  IF(AND($B$12="74a",$B$19="January - June",$B$13&gt;2),IF(E119&gt;93,0,IF(E119&lt;52,0.69,ROUND('Reference Standards'!$AN$246*E119^2+'Reference Standards'!$AN$247*E119+'Reference Standards'!$AN$248,2))),   IF(AND($B$12="74b",$B$13&lt;=2),IF(E119&gt;97,0,IF(E119&lt;62,0.69,ROUND('Reference Standards'!$AO$246*E119^2+'Reference Standards'!$AO$247*E119+'Reference Standards'!$AO$248,2)))  )))))))))</f>
        <v/>
      </c>
      <c r="G119" s="583"/>
      <c r="H119" s="568"/>
      <c r="I119" s="519"/>
      <c r="J119" s="559"/>
      <c r="K119" s="555"/>
      <c r="L119" s="21"/>
    </row>
    <row r="120" spans="1:12" ht="15.6" x14ac:dyDescent="0.3">
      <c r="A120" s="556"/>
      <c r="B120" s="563" t="s">
        <v>74</v>
      </c>
      <c r="C120" s="125" t="s">
        <v>211</v>
      </c>
      <c r="D120" s="126"/>
      <c r="E120" s="166"/>
      <c r="F120" s="345" t="str">
        <f>IF(E120="","",IF(E120=1,0.15,IF(E120=3,0.5,IF(E120=5,0.85,0))))</f>
        <v/>
      </c>
      <c r="G120" s="582" t="str">
        <f>IFERROR(AVERAGE(F120:F121),"")</f>
        <v/>
      </c>
      <c r="H120" s="568"/>
      <c r="I120" s="519"/>
      <c r="J120" s="559"/>
      <c r="K120" s="555"/>
      <c r="L120" s="21"/>
    </row>
    <row r="121" spans="1:12" ht="15.6" x14ac:dyDescent="0.3">
      <c r="A121" s="551"/>
      <c r="B121" s="563"/>
      <c r="C121" s="127" t="s">
        <v>332</v>
      </c>
      <c r="D121" s="71"/>
      <c r="E121" s="167"/>
      <c r="F121" s="347" t="str">
        <f>IF(E121="","",IF(E121=1,0.15,IF(E121=3,0.5,IF(E121=5,0.85,0))))</f>
        <v/>
      </c>
      <c r="G121" s="583"/>
      <c r="H121" s="568"/>
      <c r="I121" s="519"/>
      <c r="J121" s="559"/>
      <c r="K121" s="555"/>
      <c r="L121" s="21"/>
    </row>
    <row r="122" spans="1:12" x14ac:dyDescent="0.3">
      <c r="L122" s="21"/>
    </row>
  </sheetData>
  <sheetProtection password="9A90" sheet="1" objects="1" scenarios="1" selectLockedCells="1"/>
  <dataConsolidate/>
  <mergeCells count="113">
    <mergeCell ref="A1:B3"/>
    <mergeCell ref="D1:J1"/>
    <mergeCell ref="D2:J2"/>
    <mergeCell ref="D3:J3"/>
    <mergeCell ref="D4:J4"/>
    <mergeCell ref="D5:J5"/>
    <mergeCell ref="I25:I26"/>
    <mergeCell ref="J25:K26"/>
    <mergeCell ref="A27:A28"/>
    <mergeCell ref="F27:G29"/>
    <mergeCell ref="H27:H29"/>
    <mergeCell ref="I27:I29"/>
    <mergeCell ref="J27:K29"/>
    <mergeCell ref="D11:F11"/>
    <mergeCell ref="D22:K22"/>
    <mergeCell ref="A24:D24"/>
    <mergeCell ref="F24:K24"/>
    <mergeCell ref="A25:A26"/>
    <mergeCell ref="B25:B26"/>
    <mergeCell ref="C25:C26"/>
    <mergeCell ref="D25:D26"/>
    <mergeCell ref="F25:G26"/>
    <mergeCell ref="H25:H26"/>
    <mergeCell ref="H11:J11"/>
    <mergeCell ref="I12:J12"/>
    <mergeCell ref="D14:E14"/>
    <mergeCell ref="A30:A35"/>
    <mergeCell ref="F30:G32"/>
    <mergeCell ref="H30:H32"/>
    <mergeCell ref="I30:I32"/>
    <mergeCell ref="J30:K32"/>
    <mergeCell ref="F33:G35"/>
    <mergeCell ref="H33:H35"/>
    <mergeCell ref="I33:I35"/>
    <mergeCell ref="J33:K35"/>
    <mergeCell ref="A36:A39"/>
    <mergeCell ref="F36:G38"/>
    <mergeCell ref="H36:H38"/>
    <mergeCell ref="I36:I38"/>
    <mergeCell ref="J36:K38"/>
    <mergeCell ref="F39:G41"/>
    <mergeCell ref="H39:H41"/>
    <mergeCell ref="I39:I41"/>
    <mergeCell ref="J39:K41"/>
    <mergeCell ref="A40:A41"/>
    <mergeCell ref="A44:F44"/>
    <mergeCell ref="G44:K44"/>
    <mergeCell ref="C45:D45"/>
    <mergeCell ref="A46:A47"/>
    <mergeCell ref="H46:H47"/>
    <mergeCell ref="I46:I47"/>
    <mergeCell ref="J46:J81"/>
    <mergeCell ref="K46:K81"/>
    <mergeCell ref="B52:B55"/>
    <mergeCell ref="G52:G55"/>
    <mergeCell ref="B56:B65"/>
    <mergeCell ref="G56:G65"/>
    <mergeCell ref="B67:B70"/>
    <mergeCell ref="G67:G70"/>
    <mergeCell ref="A48:A49"/>
    <mergeCell ref="B48:B49"/>
    <mergeCell ref="G48:G49"/>
    <mergeCell ref="A72:A75"/>
    <mergeCell ref="H72:H75"/>
    <mergeCell ref="I72:I75"/>
    <mergeCell ref="A76:A81"/>
    <mergeCell ref="B76:B79"/>
    <mergeCell ref="G76:G79"/>
    <mergeCell ref="H76:H81"/>
    <mergeCell ref="I76:I81"/>
    <mergeCell ref="B80:B81"/>
    <mergeCell ref="G80:G81"/>
    <mergeCell ref="H48:H49"/>
    <mergeCell ref="I48:I49"/>
    <mergeCell ref="A50:A71"/>
    <mergeCell ref="B50:B51"/>
    <mergeCell ref="G50:G51"/>
    <mergeCell ref="H50:H71"/>
    <mergeCell ref="I50:I71"/>
    <mergeCell ref="A84:F84"/>
    <mergeCell ref="G84:K84"/>
    <mergeCell ref="C85:D85"/>
    <mergeCell ref="A86:A87"/>
    <mergeCell ref="H86:H87"/>
    <mergeCell ref="I86:I87"/>
    <mergeCell ref="J86:J121"/>
    <mergeCell ref="K86:K121"/>
    <mergeCell ref="B92:B95"/>
    <mergeCell ref="G92:G95"/>
    <mergeCell ref="B96:B105"/>
    <mergeCell ref="G96:G105"/>
    <mergeCell ref="B107:B110"/>
    <mergeCell ref="G107:G110"/>
    <mergeCell ref="A88:A89"/>
    <mergeCell ref="B88:B89"/>
    <mergeCell ref="G88:G89"/>
    <mergeCell ref="A112:A115"/>
    <mergeCell ref="H112:H115"/>
    <mergeCell ref="I112:I115"/>
    <mergeCell ref="A116:A121"/>
    <mergeCell ref="B116:B119"/>
    <mergeCell ref="G116:G119"/>
    <mergeCell ref="H116:H121"/>
    <mergeCell ref="I116:I121"/>
    <mergeCell ref="B120:B121"/>
    <mergeCell ref="G120:G121"/>
    <mergeCell ref="H88:H89"/>
    <mergeCell ref="I88:I89"/>
    <mergeCell ref="A90:A111"/>
    <mergeCell ref="B90:B91"/>
    <mergeCell ref="G90:G91"/>
    <mergeCell ref="H90:H111"/>
    <mergeCell ref="I90:I111"/>
  </mergeCells>
  <conditionalFormatting sqref="A45:C45 I76:I80 B74:B75 A40 D64 B67:D67 A48:D48 I112 I90:I91 H50:I51 H48:I48 H45:K47 G44 H82:K83 A85:C85 G84 I116:I120 A50:D50 C49:D49 A1 F18:F19 C23:M23 A42 C42:M42 J25 J27 J30 J33 F15:F16 L2:M9 J17:K17 H12:H15 H19:H21 C22:D22 K12:K15 K19:K21 E45:G45 E85:K85 L41 D88:D89 B72 C56:D58 M95:M110 B96:B98 C16:C21 C73:D74 C68:D68 D69:D70 D116:D120 C79:D79 D107:D112 A23 B71:D71 A51 C51:D51 A76:A80 D78 C76:D77 L111:L122 J36 B36 F36 A4:A5 B4:B15 L48:L81 C2:C14 D1:D3 L43:M47 A19:A21 A10:A17 H86:I88 L82:M94 L22:M22">
    <cfRule type="beginsWith" dxfId="6839" priority="523" stopIfTrue="1" operator="beginsWith" text="Functioning At Risk">
      <formula>LEFT(A1,LEN("Functioning At Risk"))="Functioning At Risk"</formula>
    </cfRule>
    <cfRule type="beginsWith" dxfId="6838" priority="524" stopIfTrue="1" operator="beginsWith" text="Not Functioning">
      <formula>LEFT(A1,LEN("Not Functioning"))="Not Functioning"</formula>
    </cfRule>
    <cfRule type="containsText" dxfId="6837" priority="525" operator="containsText" text="Functioning">
      <formula>NOT(ISERROR(SEARCH("Functioning",A1)))</formula>
    </cfRule>
  </conditionalFormatting>
  <conditionalFormatting sqref="D11">
    <cfRule type="beginsWith" dxfId="6836" priority="520" stopIfTrue="1" operator="beginsWith" text="Functioning At Risk">
      <formula>LEFT(D11,LEN("Functioning At Risk"))="Functioning At Risk"</formula>
    </cfRule>
    <cfRule type="beginsWith" dxfId="6835" priority="521" stopIfTrue="1" operator="beginsWith" text="Not Functioning">
      <formula>LEFT(D11,LEN("Not Functioning"))="Not Functioning"</formula>
    </cfRule>
    <cfRule type="containsText" dxfId="6834" priority="522" operator="containsText" text="Functioning">
      <formula>NOT(ISERROR(SEARCH("Functioning",D11)))</formula>
    </cfRule>
  </conditionalFormatting>
  <conditionalFormatting sqref="B40">
    <cfRule type="beginsWith" dxfId="6833" priority="514" stopIfTrue="1" operator="beginsWith" text="Functioning At Risk">
      <formula>LEFT(B40,LEN("Functioning At Risk"))="Functioning At Risk"</formula>
    </cfRule>
    <cfRule type="beginsWith" dxfId="6832" priority="515" stopIfTrue="1" operator="beginsWith" text="Not Functioning">
      <formula>LEFT(B40,LEN("Not Functioning"))="Not Functioning"</formula>
    </cfRule>
    <cfRule type="containsText" dxfId="6831" priority="516" operator="containsText" text="Functioning">
      <formula>NOT(ISERROR(SEARCH("Functioning",B40)))</formula>
    </cfRule>
  </conditionalFormatting>
  <conditionalFormatting sqref="D121">
    <cfRule type="beginsWith" dxfId="6830" priority="511" stopIfTrue="1" operator="beginsWith" text="Functioning At Risk">
      <formula>LEFT(D121,LEN("Functioning At Risk"))="Functioning At Risk"</formula>
    </cfRule>
    <cfRule type="beginsWith" dxfId="6829" priority="512" stopIfTrue="1" operator="beginsWith" text="Not Functioning">
      <formula>LEFT(D121,LEN("Not Functioning"))="Not Functioning"</formula>
    </cfRule>
    <cfRule type="containsText" dxfId="6828" priority="513" operator="containsText" text="Functioning">
      <formula>NOT(ISERROR(SEARCH("Functioning",D121)))</formula>
    </cfRule>
  </conditionalFormatting>
  <conditionalFormatting sqref="B41">
    <cfRule type="beginsWith" dxfId="6827" priority="508" stopIfTrue="1" operator="beginsWith" text="Functioning At Risk">
      <formula>LEFT(B41,LEN("Functioning At Risk"))="Functioning At Risk"</formula>
    </cfRule>
    <cfRule type="beginsWith" dxfId="6826" priority="509" stopIfTrue="1" operator="beginsWith" text="Not Functioning">
      <formula>LEFT(B41,LEN("Not Functioning"))="Not Functioning"</formula>
    </cfRule>
    <cfRule type="containsText" dxfId="6825" priority="510" operator="containsText" text="Functioning">
      <formula>NOT(ISERROR(SEARCH("Functioning",B41)))</formula>
    </cfRule>
  </conditionalFormatting>
  <conditionalFormatting sqref="D113">
    <cfRule type="beginsWith" dxfId="6824" priority="499" stopIfTrue="1" operator="beginsWith" text="Functioning At Risk">
      <formula>LEFT(D113,LEN("Functioning At Risk"))="Functioning At Risk"</formula>
    </cfRule>
    <cfRule type="beginsWith" dxfId="6823" priority="500" stopIfTrue="1" operator="beginsWith" text="Not Functioning">
      <formula>LEFT(D113,LEN("Not Functioning"))="Not Functioning"</formula>
    </cfRule>
    <cfRule type="containsText" dxfId="6822" priority="501" operator="containsText" text="Functioning">
      <formula>NOT(ISERROR(SEARCH("Functioning",D113)))</formula>
    </cfRule>
  </conditionalFormatting>
  <conditionalFormatting sqref="B39">
    <cfRule type="beginsWith" dxfId="6821" priority="496" stopIfTrue="1" operator="beginsWith" text="Functioning At Risk">
      <formula>LEFT(B39,LEN("Functioning At Risk"))="Functioning At Risk"</formula>
    </cfRule>
    <cfRule type="beginsWith" dxfId="6820" priority="497" stopIfTrue="1" operator="beginsWith" text="Not Functioning">
      <formula>LEFT(B39,LEN("Not Functioning"))="Not Functioning"</formula>
    </cfRule>
    <cfRule type="containsText" dxfId="6819" priority="498" operator="containsText" text="Functioning">
      <formula>NOT(ISERROR(SEARCH("Functioning",B39)))</formula>
    </cfRule>
  </conditionalFormatting>
  <conditionalFormatting sqref="B38">
    <cfRule type="beginsWith" dxfId="6818" priority="493" stopIfTrue="1" operator="beginsWith" text="Functioning At Risk">
      <formula>LEFT(B38,LEN("Functioning At Risk"))="Functioning At Risk"</formula>
    </cfRule>
    <cfRule type="beginsWith" dxfId="6817" priority="494" stopIfTrue="1" operator="beginsWith" text="Not Functioning">
      <formula>LEFT(B38,LEN("Not Functioning"))="Not Functioning"</formula>
    </cfRule>
    <cfRule type="containsText" dxfId="6816" priority="495" operator="containsText" text="Functioning">
      <formula>NOT(ISERROR(SEARCH("Functioning",B38)))</formula>
    </cfRule>
  </conditionalFormatting>
  <conditionalFormatting sqref="C59:D59">
    <cfRule type="beginsWith" dxfId="6815" priority="487" stopIfTrue="1" operator="beginsWith" text="Functioning At Risk">
      <formula>LEFT(C59,LEN("Functioning At Risk"))="Functioning At Risk"</formula>
    </cfRule>
    <cfRule type="beginsWith" dxfId="6814" priority="488" stopIfTrue="1" operator="beginsWith" text="Not Functioning">
      <formula>LEFT(C59,LEN("Not Functioning"))="Not Functioning"</formula>
    </cfRule>
    <cfRule type="containsText" dxfId="6813" priority="489" operator="containsText" text="Functioning">
      <formula>NOT(ISERROR(SEARCH("Functioning",C59)))</formula>
    </cfRule>
  </conditionalFormatting>
  <conditionalFormatting sqref="D65">
    <cfRule type="beginsWith" dxfId="6812" priority="484" stopIfTrue="1" operator="beginsWith" text="Functioning At Risk">
      <formula>LEFT(D65,LEN("Functioning At Risk"))="Functioning At Risk"</formula>
    </cfRule>
    <cfRule type="beginsWith" dxfId="6811" priority="485" stopIfTrue="1" operator="beginsWith" text="Not Functioning">
      <formula>LEFT(D65,LEN("Not Functioning"))="Not Functioning"</formula>
    </cfRule>
    <cfRule type="containsText" dxfId="6810" priority="486" operator="containsText" text="Functioning">
      <formula>NOT(ISERROR(SEARCH("Functioning",D65)))</formula>
    </cfRule>
  </conditionalFormatting>
  <conditionalFormatting sqref="B114:B115 B107 A88:B88 A90:A91 B120 A116:A120">
    <cfRule type="beginsWith" dxfId="6809" priority="478" stopIfTrue="1" operator="beginsWith" text="Functioning At Risk">
      <formula>LEFT(A88,LEN("Functioning At Risk"))="Functioning At Risk"</formula>
    </cfRule>
    <cfRule type="beginsWith" dxfId="6808" priority="479" stopIfTrue="1" operator="beginsWith" text="Not Functioning">
      <formula>LEFT(A88,LEN("Not Functioning"))="Not Functioning"</formula>
    </cfRule>
    <cfRule type="containsText" dxfId="6807" priority="480" operator="containsText" text="Functioning">
      <formula>NOT(ISERROR(SEARCH("Functioning",A88)))</formula>
    </cfRule>
  </conditionalFormatting>
  <conditionalFormatting sqref="A112">
    <cfRule type="beginsWith" dxfId="6806" priority="472" stopIfTrue="1" operator="beginsWith" text="Functioning At Risk">
      <formula>LEFT(A112,LEN("Functioning At Risk"))="Functioning At Risk"</formula>
    </cfRule>
    <cfRule type="beginsWith" dxfId="6805" priority="473" stopIfTrue="1" operator="beginsWith" text="Not Functioning">
      <formula>LEFT(A112,LEN("Not Functioning"))="Not Functioning"</formula>
    </cfRule>
    <cfRule type="containsText" dxfId="6804" priority="474" operator="containsText" text="Functioning">
      <formula>NOT(ISERROR(SEARCH("Functioning",A112)))</formula>
    </cfRule>
  </conditionalFormatting>
  <conditionalFormatting sqref="K86:K87">
    <cfRule type="beginsWith" dxfId="6803" priority="469" stopIfTrue="1" operator="beginsWith" text="Functioning At Risk">
      <formula>LEFT(K86,LEN("Functioning At Risk"))="Functioning At Risk"</formula>
    </cfRule>
    <cfRule type="beginsWith" dxfId="6802" priority="470" stopIfTrue="1" operator="beginsWith" text="Not Functioning">
      <formula>LEFT(K86,LEN("Not Functioning"))="Not Functioning"</formula>
    </cfRule>
    <cfRule type="containsText" dxfId="6801" priority="471" operator="containsText" text="Functioning">
      <formula>NOT(ISERROR(SEARCH("Functioning",K86)))</formula>
    </cfRule>
  </conditionalFormatting>
  <conditionalFormatting sqref="F24">
    <cfRule type="beginsWith" dxfId="6800" priority="466" stopIfTrue="1" operator="beginsWith" text="Functioning At Risk">
      <formula>LEFT(F24,LEN("Functioning At Risk"))="Functioning At Risk"</formula>
    </cfRule>
    <cfRule type="beginsWith" dxfId="6799" priority="467" stopIfTrue="1" operator="beginsWith" text="Not Functioning">
      <formula>LEFT(F24,LEN("Not Functioning"))="Not Functioning"</formula>
    </cfRule>
    <cfRule type="containsText" dxfId="6798" priority="468" operator="containsText" text="Functioning">
      <formula>NOT(ISERROR(SEARCH("Functioning",F24)))</formula>
    </cfRule>
  </conditionalFormatting>
  <conditionalFormatting sqref="F33">
    <cfRule type="beginsWith" dxfId="6797" priority="463" stopIfTrue="1" operator="beginsWith" text="Functioning At Risk">
      <formula>LEFT(F33,LEN("Functioning At Risk"))="Functioning At Risk"</formula>
    </cfRule>
    <cfRule type="beginsWith" dxfId="6796" priority="464" stopIfTrue="1" operator="beginsWith" text="Not Functioning">
      <formula>LEFT(F33,LEN("Not Functioning"))="Not Functioning"</formula>
    </cfRule>
    <cfRule type="containsText" dxfId="6795" priority="465" operator="containsText" text="Functioning">
      <formula>NOT(ISERROR(SEARCH("Functioning",F33)))</formula>
    </cfRule>
  </conditionalFormatting>
  <conditionalFormatting sqref="F30">
    <cfRule type="beginsWith" dxfId="6794" priority="460" stopIfTrue="1" operator="beginsWith" text="Functioning At Risk">
      <formula>LEFT(F30,LEN("Functioning At Risk"))="Functioning At Risk"</formula>
    </cfRule>
    <cfRule type="beginsWith" dxfId="6793" priority="461" stopIfTrue="1" operator="beginsWith" text="Not Functioning">
      <formula>LEFT(F30,LEN("Not Functioning"))="Not Functioning"</formula>
    </cfRule>
    <cfRule type="containsText" dxfId="6792" priority="462" operator="containsText" text="Functioning">
      <formula>NOT(ISERROR(SEARCH("Functioning",F30)))</formula>
    </cfRule>
  </conditionalFormatting>
  <conditionalFormatting sqref="C27:D41 H27:I33 H36:I36">
    <cfRule type="cellIs" dxfId="6791" priority="517" operator="between">
      <formula>0</formula>
      <formula>0.299999</formula>
    </cfRule>
    <cfRule type="cellIs" dxfId="6790" priority="518" operator="between">
      <formula>0.6999999</formula>
      <formula>0.3</formula>
    </cfRule>
    <cfRule type="cellIs" dxfId="6789" priority="519" operator="between">
      <formula>0.7</formula>
      <formula>1</formula>
    </cfRule>
  </conditionalFormatting>
  <conditionalFormatting sqref="D106">
    <cfRule type="beginsWith" dxfId="6788" priority="457" stopIfTrue="1" operator="beginsWith" text="Functioning At Risk">
      <formula>LEFT(D106,LEN("Functioning At Risk"))="Functioning At Risk"</formula>
    </cfRule>
    <cfRule type="beginsWith" dxfId="6787" priority="458" stopIfTrue="1" operator="beginsWith" text="Not Functioning">
      <formula>LEFT(D106,LEN("Not Functioning"))="Not Functioning"</formula>
    </cfRule>
    <cfRule type="containsText" dxfId="6786" priority="459" operator="containsText" text="Functioning">
      <formula>NOT(ISERROR(SEARCH("Functioning",D106)))</formula>
    </cfRule>
  </conditionalFormatting>
  <conditionalFormatting sqref="C66:D66">
    <cfRule type="beginsWith" dxfId="6785" priority="454" stopIfTrue="1" operator="beginsWith" text="Functioning At Risk">
      <formula>LEFT(C66,LEN("Functioning At Risk"))="Functioning At Risk"</formula>
    </cfRule>
    <cfRule type="beginsWith" dxfId="6784" priority="455" stopIfTrue="1" operator="beginsWith" text="Not Functioning">
      <formula>LEFT(C66,LEN("Not Functioning"))="Not Functioning"</formula>
    </cfRule>
    <cfRule type="containsText" dxfId="6783" priority="456" operator="containsText" text="Functioning">
      <formula>NOT(ISERROR(SEARCH("Functioning",C66)))</formula>
    </cfRule>
  </conditionalFormatting>
  <conditionalFormatting sqref="D114">
    <cfRule type="beginsWith" dxfId="6782" priority="451" stopIfTrue="1" operator="beginsWith" text="Functioning At Risk">
      <formula>LEFT(D114,LEN("Functioning At Risk"))="Functioning At Risk"</formula>
    </cfRule>
    <cfRule type="beginsWith" dxfId="6781" priority="452" stopIfTrue="1" operator="beginsWith" text="Not Functioning">
      <formula>LEFT(D114,LEN("Not Functioning"))="Not Functioning"</formula>
    </cfRule>
    <cfRule type="containsText" dxfId="6780" priority="453" operator="containsText" text="Functioning">
      <formula>NOT(ISERROR(SEARCH("Functioning",D114)))</formula>
    </cfRule>
  </conditionalFormatting>
  <conditionalFormatting sqref="H18">
    <cfRule type="beginsWith" dxfId="6779" priority="445" stopIfTrue="1" operator="beginsWith" text="Functioning At Risk">
      <formula>LEFT(H18,LEN("Functioning At Risk"))="Functioning At Risk"</formula>
    </cfRule>
    <cfRule type="beginsWith" dxfId="6778" priority="446" stopIfTrue="1" operator="beginsWith" text="Not Functioning">
      <formula>LEFT(H18,LEN("Not Functioning"))="Not Functioning"</formula>
    </cfRule>
    <cfRule type="containsText" dxfId="6777" priority="447" operator="containsText" text="Functioning">
      <formula>NOT(ISERROR(SEARCH("Functioning",H18)))</formula>
    </cfRule>
  </conditionalFormatting>
  <conditionalFormatting sqref="E120 E88:E89 E112">
    <cfRule type="beginsWith" dxfId="6776" priority="430" stopIfTrue="1" operator="beginsWith" text="Functioning At Risk">
      <formula>LEFT(E88,LEN("Functioning At Risk"))="Functioning At Risk"</formula>
    </cfRule>
    <cfRule type="beginsWith" dxfId="6775" priority="431" stopIfTrue="1" operator="beginsWith" text="Not Functioning">
      <formula>LEFT(E88,LEN("Not Functioning"))="Not Functioning"</formula>
    </cfRule>
    <cfRule type="containsText" dxfId="6774" priority="432" operator="containsText" text="Functioning">
      <formula>NOT(ISERROR(SEARCH("Functioning",E88)))</formula>
    </cfRule>
  </conditionalFormatting>
  <conditionalFormatting sqref="B18">
    <cfRule type="beginsWith" dxfId="6773" priority="436" stopIfTrue="1" operator="beginsWith" text="Functioning At Risk">
      <formula>LEFT(B18,LEN("Functioning At Risk"))="Functioning At Risk"</formula>
    </cfRule>
    <cfRule type="beginsWith" dxfId="6772" priority="437" stopIfTrue="1" operator="beginsWith" text="Not Functioning">
      <formula>LEFT(B18,LEN("Not Functioning"))="Not Functioning"</formula>
    </cfRule>
    <cfRule type="containsText" dxfId="6771" priority="438" operator="containsText" text="Functioning">
      <formula>NOT(ISERROR(SEARCH("Functioning",B18)))</formula>
    </cfRule>
  </conditionalFormatting>
  <conditionalFormatting sqref="B16:B17">
    <cfRule type="beginsWith" dxfId="6770" priority="433" stopIfTrue="1" operator="beginsWith" text="Functioning At Risk">
      <formula>LEFT(B16,LEN("Functioning At Risk"))="Functioning At Risk"</formula>
    </cfRule>
    <cfRule type="beginsWith" dxfId="6769" priority="434" stopIfTrue="1" operator="beginsWith" text="Not Functioning">
      <formula>LEFT(B16,LEN("Not Functioning"))="Not Functioning"</formula>
    </cfRule>
    <cfRule type="containsText" dxfId="6768" priority="435" operator="containsText" text="Functioning">
      <formula>NOT(ISERROR(SEARCH("Functioning",B16)))</formula>
    </cfRule>
  </conditionalFormatting>
  <conditionalFormatting sqref="E79">
    <cfRule type="expression" dxfId="6767" priority="429">
      <formula>B1048470="Level 5 - Biology"</formula>
    </cfRule>
  </conditionalFormatting>
  <conditionalFormatting sqref="E121">
    <cfRule type="beginsWith" dxfId="6766" priority="426" stopIfTrue="1" operator="beginsWith" text="Functioning At Risk">
      <formula>LEFT(E121,LEN("Functioning At Risk"))="Functioning At Risk"</formula>
    </cfRule>
    <cfRule type="beginsWith" dxfId="6765" priority="427" stopIfTrue="1" operator="beginsWith" text="Not Functioning">
      <formula>LEFT(E121,LEN("Not Functioning"))="Not Functioning"</formula>
    </cfRule>
    <cfRule type="containsText" dxfId="6764" priority="428" operator="containsText" text="Functioning">
      <formula>NOT(ISERROR(SEARCH("Functioning",E121)))</formula>
    </cfRule>
  </conditionalFormatting>
  <conditionalFormatting sqref="E114">
    <cfRule type="expression" dxfId="6763" priority="424">
      <formula>B10="Level 4 - Physicochemical"</formula>
    </cfRule>
    <cfRule type="expression" dxfId="6762" priority="425">
      <formula>B10="Level 5 - Biology"</formula>
    </cfRule>
  </conditionalFormatting>
  <conditionalFormatting sqref="E76:E79 E48:E49 E67:E71">
    <cfRule type="beginsWith" dxfId="6761" priority="418" stopIfTrue="1" operator="beginsWith" text="Functioning At Risk">
      <formula>LEFT(E48,LEN("Functioning At Risk"))="Functioning At Risk"</formula>
    </cfRule>
    <cfRule type="beginsWith" dxfId="6760" priority="419" stopIfTrue="1" operator="beginsWith" text="Not Functioning">
      <formula>LEFT(E48,LEN("Not Functioning"))="Not Functioning"</formula>
    </cfRule>
    <cfRule type="containsText" dxfId="6759" priority="420" operator="containsText" text="Functioning">
      <formula>NOT(ISERROR(SEARCH("Functioning",E48)))</formula>
    </cfRule>
  </conditionalFormatting>
  <conditionalFormatting sqref="E74">
    <cfRule type="expression" dxfId="6758" priority="415">
      <formula>B1048469="Level 4 - Physicochemical"</formula>
    </cfRule>
    <cfRule type="expression" dxfId="6757" priority="417">
      <formula>B1048469="Level 5 - Biology"</formula>
    </cfRule>
  </conditionalFormatting>
  <conditionalFormatting sqref="E75">
    <cfRule type="expression" dxfId="6756" priority="414">
      <formula>B1048469="Level 4 - Physicochemical"</formula>
    </cfRule>
    <cfRule type="expression" dxfId="6755" priority="416">
      <formula>B1048469="Level 5 - Biology"</formula>
    </cfRule>
  </conditionalFormatting>
  <conditionalFormatting sqref="E72">
    <cfRule type="expression" dxfId="6754" priority="406">
      <formula>B1048469="Level 5 - Biology"</formula>
    </cfRule>
    <cfRule type="expression" dxfId="6753" priority="407">
      <formula>B1048469="Level 4 - Physicochemical"</formula>
    </cfRule>
    <cfRule type="beginsWith" dxfId="6752" priority="408" stopIfTrue="1" operator="beginsWith" text="Functioning At Risk">
      <formula>LEFT(E72,LEN("Functioning At Risk"))="Functioning At Risk"</formula>
    </cfRule>
    <cfRule type="beginsWith" dxfId="6751" priority="409" stopIfTrue="1" operator="beginsWith" text="Not Functioning">
      <formula>LEFT(E72,LEN("Not Functioning"))="Not Functioning"</formula>
    </cfRule>
    <cfRule type="containsText" dxfId="6750" priority="410" operator="containsText" text="Functioning">
      <formula>NOT(ISERROR(SEARCH("Functioning",E72)))</formula>
    </cfRule>
  </conditionalFormatting>
  <conditionalFormatting sqref="J39">
    <cfRule type="beginsWith" dxfId="6749" priority="403" stopIfTrue="1" operator="beginsWith" text="Functioning At Risk">
      <formula>LEFT(J39,LEN("Functioning At Risk"))="Functioning At Risk"</formula>
    </cfRule>
    <cfRule type="beginsWith" dxfId="6748" priority="404" stopIfTrue="1" operator="beginsWith" text="Not Functioning">
      <formula>LEFT(J39,LEN("Not Functioning"))="Not Functioning"</formula>
    </cfRule>
    <cfRule type="containsText" dxfId="6747" priority="405" operator="containsText" text="Functioning">
      <formula>NOT(ISERROR(SEARCH("Functioning",J39)))</formula>
    </cfRule>
  </conditionalFormatting>
  <conditionalFormatting sqref="F39">
    <cfRule type="beginsWith" dxfId="6746" priority="397" stopIfTrue="1" operator="beginsWith" text="Functioning At Risk">
      <formula>LEFT(F39,LEN("Functioning At Risk"))="Functioning At Risk"</formula>
    </cfRule>
    <cfRule type="beginsWith" dxfId="6745" priority="398" stopIfTrue="1" operator="beginsWith" text="Not Functioning">
      <formula>LEFT(F39,LEN("Not Functioning"))="Not Functioning"</formula>
    </cfRule>
    <cfRule type="containsText" dxfId="6744" priority="399" operator="containsText" text="Functioning">
      <formula>NOT(ISERROR(SEARCH("Functioning",F39)))</formula>
    </cfRule>
  </conditionalFormatting>
  <conditionalFormatting sqref="H39:I39">
    <cfRule type="cellIs" dxfId="6743" priority="400" operator="between">
      <formula>0</formula>
      <formula>0.299999</formula>
    </cfRule>
    <cfRule type="cellIs" dxfId="6742" priority="401" operator="between">
      <formula>0.6999999</formula>
      <formula>0.3</formula>
    </cfRule>
    <cfRule type="cellIs" dxfId="6741" priority="402" operator="between">
      <formula>0.7</formula>
      <formula>1</formula>
    </cfRule>
  </conditionalFormatting>
  <conditionalFormatting sqref="D4">
    <cfRule type="beginsWith" dxfId="6740" priority="391" stopIfTrue="1" operator="beginsWith" text="Functioning At Risk">
      <formula>LEFT(D4,LEN("Functioning At Risk"))="Functioning At Risk"</formula>
    </cfRule>
    <cfRule type="beginsWith" dxfId="6739" priority="392" stopIfTrue="1" operator="beginsWith" text="Not Functioning">
      <formula>LEFT(D4,LEN("Not Functioning"))="Not Functioning"</formula>
    </cfRule>
    <cfRule type="containsText" dxfId="6738" priority="393" operator="containsText" text="Functioning">
      <formula>NOT(ISERROR(SEARCH("Functioning",D4)))</formula>
    </cfRule>
  </conditionalFormatting>
  <conditionalFormatting sqref="C60:D63">
    <cfRule type="beginsWith" dxfId="6737" priority="394" stopIfTrue="1" operator="beginsWith" text="Functioning At Risk">
      <formula>LEFT(C60,LEN("Functioning At Risk"))="Functioning At Risk"</formula>
    </cfRule>
    <cfRule type="beginsWith" dxfId="6736" priority="395" stopIfTrue="1" operator="beginsWith" text="Not Functioning">
      <formula>LEFT(C60,LEN("Not Functioning"))="Not Functioning"</formula>
    </cfRule>
    <cfRule type="containsText" dxfId="6735" priority="396" operator="containsText" text="Functioning">
      <formula>NOT(ISERROR(SEARCH("Functioning",C60)))</formula>
    </cfRule>
  </conditionalFormatting>
  <conditionalFormatting sqref="A72">
    <cfRule type="beginsWith" dxfId="6734" priority="379" stopIfTrue="1" operator="beginsWith" text="Functioning At Risk">
      <formula>LEFT(A72,LEN("Functioning At Risk"))="Functioning At Risk"</formula>
    </cfRule>
    <cfRule type="beginsWith" dxfId="6733" priority="380" stopIfTrue="1" operator="beginsWith" text="Not Functioning">
      <formula>LEFT(A72,LEN("Not Functioning"))="Not Functioning"</formula>
    </cfRule>
    <cfRule type="containsText" dxfId="6732" priority="381" operator="containsText" text="Functioning">
      <formula>NOT(ISERROR(SEARCH("Functioning",A72)))</formula>
    </cfRule>
  </conditionalFormatting>
  <conditionalFormatting sqref="H72">
    <cfRule type="beginsWith" dxfId="6731" priority="376" stopIfTrue="1" operator="beginsWith" text="Functioning At Risk">
      <formula>LEFT(H72,LEN("Functioning At Risk"))="Functioning At Risk"</formula>
    </cfRule>
    <cfRule type="beginsWith" dxfId="6730" priority="377" stopIfTrue="1" operator="beginsWith" text="Not Functioning">
      <formula>LEFT(H72,LEN("Not Functioning"))="Not Functioning"</formula>
    </cfRule>
    <cfRule type="containsText" dxfId="6729" priority="378" operator="containsText" text="Functioning">
      <formula>NOT(ISERROR(SEARCH("Functioning",H72)))</formula>
    </cfRule>
  </conditionalFormatting>
  <conditionalFormatting sqref="E73">
    <cfRule type="expression" dxfId="6728" priority="526">
      <formula>B1048470="Level 4 - Physicochemical"</formula>
    </cfRule>
    <cfRule type="expression" dxfId="6727" priority="527">
      <formula>B1048470="Level 5 - Biology"</formula>
    </cfRule>
  </conditionalFormatting>
  <conditionalFormatting sqref="C69">
    <cfRule type="beginsWith" dxfId="6726" priority="388" stopIfTrue="1" operator="beginsWith" text="Functioning At Risk">
      <formula>LEFT(C69,LEN("Functioning At Risk"))="Functioning At Risk"</formula>
    </cfRule>
    <cfRule type="beginsWith" dxfId="6725" priority="389" stopIfTrue="1" operator="beginsWith" text="Not Functioning">
      <formula>LEFT(C69,LEN("Not Functioning"))="Not Functioning"</formula>
    </cfRule>
    <cfRule type="containsText" dxfId="6724" priority="390" operator="containsText" text="Functioning">
      <formula>NOT(ISERROR(SEARCH("Functioning",C69)))</formula>
    </cfRule>
  </conditionalFormatting>
  <conditionalFormatting sqref="H112 H90:H91">
    <cfRule type="beginsWith" dxfId="6723" priority="385" stopIfTrue="1" operator="beginsWith" text="Functioning At Risk">
      <formula>LEFT(H90,LEN("Functioning At Risk"))="Functioning At Risk"</formula>
    </cfRule>
    <cfRule type="beginsWith" dxfId="6722" priority="386" stopIfTrue="1" operator="beginsWith" text="Not Functioning">
      <formula>LEFT(H90,LEN("Not Functioning"))="Not Functioning"</formula>
    </cfRule>
    <cfRule type="containsText" dxfId="6721" priority="387" operator="containsText" text="Functioning">
      <formula>NOT(ISERROR(SEARCH("Functioning",H90)))</formula>
    </cfRule>
  </conditionalFormatting>
  <conditionalFormatting sqref="J86:J87">
    <cfRule type="beginsWith" dxfId="6720" priority="382" stopIfTrue="1" operator="beginsWith" text="Functioning At Risk">
      <formula>LEFT(J86,LEN("Functioning At Risk"))="Functioning At Risk"</formula>
    </cfRule>
    <cfRule type="beginsWith" dxfId="6719" priority="383" stopIfTrue="1" operator="beginsWith" text="Not Functioning">
      <formula>LEFT(J86,LEN("Not Functioning"))="Not Functioning"</formula>
    </cfRule>
    <cfRule type="containsText" dxfId="6718" priority="384" operator="containsText" text="Functioning">
      <formula>NOT(ISERROR(SEARCH("Functioning",J86)))</formula>
    </cfRule>
  </conditionalFormatting>
  <conditionalFormatting sqref="E76:E78">
    <cfRule type="expression" dxfId="6717" priority="528">
      <formula>B1048469="Level 5 - Biology"</formula>
    </cfRule>
  </conditionalFormatting>
  <conditionalFormatting sqref="I72">
    <cfRule type="beginsWith" dxfId="6716" priority="373" stopIfTrue="1" operator="beginsWith" text="Functioning At Risk">
      <formula>LEFT(I72,LEN("Functioning At Risk"))="Functioning At Risk"</formula>
    </cfRule>
    <cfRule type="beginsWith" dxfId="6715" priority="374" stopIfTrue="1" operator="beginsWith" text="Not Functioning">
      <formula>LEFT(I72,LEN("Not Functioning"))="Not Functioning"</formula>
    </cfRule>
    <cfRule type="containsText" dxfId="6714" priority="375" operator="containsText" text="Functioning">
      <formula>NOT(ISERROR(SEARCH("Functioning",I72)))</formula>
    </cfRule>
  </conditionalFormatting>
  <conditionalFormatting sqref="D80">
    <cfRule type="beginsWith" dxfId="6713" priority="369" stopIfTrue="1" operator="beginsWith" text="Functioning At Risk">
      <formula>LEFT(D80,LEN("Functioning At Risk"))="Functioning At Risk"</formula>
    </cfRule>
    <cfRule type="beginsWith" dxfId="6712" priority="370" stopIfTrue="1" operator="beginsWith" text="Not Functioning">
      <formula>LEFT(D80,LEN("Not Functioning"))="Not Functioning"</formula>
    </cfRule>
    <cfRule type="containsText" dxfId="6711" priority="371" operator="containsText" text="Functioning">
      <formula>NOT(ISERROR(SEARCH("Functioning",D80)))</formula>
    </cfRule>
  </conditionalFormatting>
  <conditionalFormatting sqref="D81">
    <cfRule type="beginsWith" dxfId="6710" priority="366" stopIfTrue="1" operator="beginsWith" text="Functioning At Risk">
      <formula>LEFT(D81,LEN("Functioning At Risk"))="Functioning At Risk"</formula>
    </cfRule>
    <cfRule type="beginsWith" dxfId="6709" priority="367" stopIfTrue="1" operator="beginsWith" text="Not Functioning">
      <formula>LEFT(D81,LEN("Not Functioning"))="Not Functioning"</formula>
    </cfRule>
    <cfRule type="containsText" dxfId="6708" priority="368" operator="containsText" text="Functioning">
      <formula>NOT(ISERROR(SEARCH("Functioning",D81)))</formula>
    </cfRule>
  </conditionalFormatting>
  <conditionalFormatting sqref="B80">
    <cfRule type="beginsWith" dxfId="6707" priority="363" stopIfTrue="1" operator="beginsWith" text="Functioning At Risk">
      <formula>LEFT(B80,LEN("Functioning At Risk"))="Functioning At Risk"</formula>
    </cfRule>
    <cfRule type="beginsWith" dxfId="6706" priority="364" stopIfTrue="1" operator="beginsWith" text="Not Functioning">
      <formula>LEFT(B80,LEN("Not Functioning"))="Not Functioning"</formula>
    </cfRule>
    <cfRule type="containsText" dxfId="6705" priority="365" operator="containsText" text="Functioning">
      <formula>NOT(ISERROR(SEARCH("Functioning",B80)))</formula>
    </cfRule>
  </conditionalFormatting>
  <conditionalFormatting sqref="E80">
    <cfRule type="beginsWith" dxfId="6704" priority="360" stopIfTrue="1" operator="beginsWith" text="Functioning At Risk">
      <formula>LEFT(E80,LEN("Functioning At Risk"))="Functioning At Risk"</formula>
    </cfRule>
    <cfRule type="beginsWith" dxfId="6703" priority="361" stopIfTrue="1" operator="beginsWith" text="Not Functioning">
      <formula>LEFT(E80,LEN("Not Functioning"))="Not Functioning"</formula>
    </cfRule>
    <cfRule type="containsText" dxfId="6702" priority="362" operator="containsText" text="Functioning">
      <formula>NOT(ISERROR(SEARCH("Functioning",E80)))</formula>
    </cfRule>
  </conditionalFormatting>
  <conditionalFormatting sqref="E81">
    <cfRule type="beginsWith" dxfId="6701" priority="357" stopIfTrue="1" operator="beginsWith" text="Functioning At Risk">
      <formula>LEFT(E81,LEN("Functioning At Risk"))="Functioning At Risk"</formula>
    </cfRule>
    <cfRule type="beginsWith" dxfId="6700" priority="358" stopIfTrue="1" operator="beginsWith" text="Not Functioning">
      <formula>LEFT(E81,LEN("Not Functioning"))="Not Functioning"</formula>
    </cfRule>
    <cfRule type="containsText" dxfId="6699" priority="359" operator="containsText" text="Functioning">
      <formula>NOT(ISERROR(SEARCH("Functioning",E81)))</formula>
    </cfRule>
  </conditionalFormatting>
  <conditionalFormatting sqref="E81">
    <cfRule type="expression" dxfId="6698" priority="356">
      <formula>B1048463="Level 5 - Biology"</formula>
    </cfRule>
  </conditionalFormatting>
  <conditionalFormatting sqref="E80">
    <cfRule type="expression" dxfId="6697" priority="372">
      <formula>B1048465="Level 5 - Biology"</formula>
    </cfRule>
  </conditionalFormatting>
  <conditionalFormatting sqref="B112">
    <cfRule type="beginsWith" dxfId="6696" priority="353" stopIfTrue="1" operator="beginsWith" text="Functioning At Risk">
      <formula>LEFT(B112,LEN("Functioning At Risk"))="Functioning At Risk"</formula>
    </cfRule>
    <cfRule type="beginsWith" dxfId="6695" priority="354" stopIfTrue="1" operator="beginsWith" text="Not Functioning">
      <formula>LEFT(B112,LEN("Not Functioning"))="Not Functioning"</formula>
    </cfRule>
    <cfRule type="containsText" dxfId="6694" priority="355" operator="containsText" text="Functioning">
      <formula>NOT(ISERROR(SEARCH("Functioning",B112)))</formula>
    </cfRule>
  </conditionalFormatting>
  <conditionalFormatting sqref="A36">
    <cfRule type="beginsWith" dxfId="6693" priority="347" stopIfTrue="1" operator="beginsWith" text="Functioning At Risk">
      <formula>LEFT(A36,LEN("Functioning At Risk"))="Functioning At Risk"</formula>
    </cfRule>
    <cfRule type="beginsWith" dxfId="6692" priority="348" stopIfTrue="1" operator="beginsWith" text="Not Functioning">
      <formula>LEFT(A36,LEN("Not Functioning"))="Not Functioning"</formula>
    </cfRule>
    <cfRule type="containsText" dxfId="6691" priority="349" operator="containsText" text="Functioning">
      <formula>NOT(ISERROR(SEARCH("Functioning",A36)))</formula>
    </cfRule>
  </conditionalFormatting>
  <conditionalFormatting sqref="C70">
    <cfRule type="beginsWith" dxfId="6690" priority="344" stopIfTrue="1" operator="beginsWith" text="Functioning At Risk">
      <formula>LEFT(C70,LEN("Functioning At Risk"))="Functioning At Risk"</formula>
    </cfRule>
    <cfRule type="beginsWith" dxfId="6689" priority="345" stopIfTrue="1" operator="beginsWith" text="Not Functioning">
      <formula>LEFT(C70,LEN("Not Functioning"))="Not Functioning"</formula>
    </cfRule>
    <cfRule type="containsText" dxfId="6688" priority="346" operator="containsText" text="Functioning">
      <formula>NOT(ISERROR(SEARCH("Functioning",C70)))</formula>
    </cfRule>
  </conditionalFormatting>
  <conditionalFormatting sqref="C81">
    <cfRule type="beginsWith" dxfId="6687" priority="317" stopIfTrue="1" operator="beginsWith" text="Functioning At Risk">
      <formula>LEFT(C81,LEN("Functioning At Risk"))="Functioning At Risk"</formula>
    </cfRule>
    <cfRule type="beginsWith" dxfId="6686" priority="318" stopIfTrue="1" operator="beginsWith" text="Not Functioning">
      <formula>LEFT(C81,LEN("Not Functioning"))="Not Functioning"</formula>
    </cfRule>
    <cfRule type="containsText" dxfId="6685" priority="319" operator="containsText" text="Functioning">
      <formula>NOT(ISERROR(SEARCH("Functioning",C81)))</formula>
    </cfRule>
  </conditionalFormatting>
  <conditionalFormatting sqref="C80">
    <cfRule type="beginsWith" dxfId="6684" priority="341" stopIfTrue="1" operator="beginsWith" text="Functioning At Risk">
      <formula>LEFT(C80,LEN("Functioning At Risk"))="Functioning At Risk"</formula>
    </cfRule>
    <cfRule type="beginsWith" dxfId="6683" priority="342" stopIfTrue="1" operator="beginsWith" text="Not Functioning">
      <formula>LEFT(C80,LEN("Not Functioning"))="Not Functioning"</formula>
    </cfRule>
    <cfRule type="containsText" dxfId="6682" priority="343" operator="containsText" text="Functioning">
      <formula>NOT(ISERROR(SEARCH("Functioning",C80)))</formula>
    </cfRule>
  </conditionalFormatting>
  <conditionalFormatting sqref="B56">
    <cfRule type="beginsWith" dxfId="6681" priority="338" stopIfTrue="1" operator="beginsWith" text="Functioning At Risk">
      <formula>LEFT(B56,LEN("Functioning At Risk"))="Functioning At Risk"</formula>
    </cfRule>
    <cfRule type="beginsWith" dxfId="6680" priority="339" stopIfTrue="1" operator="beginsWith" text="Not Functioning">
      <formula>LEFT(B56,LEN("Not Functioning"))="Not Functioning"</formula>
    </cfRule>
    <cfRule type="containsText" dxfId="6679" priority="340" operator="containsText" text="Functioning">
      <formula>NOT(ISERROR(SEARCH("Functioning",B56)))</formula>
    </cfRule>
  </conditionalFormatting>
  <conditionalFormatting sqref="E107:E108 E110:E111">
    <cfRule type="beginsWith" dxfId="6678" priority="329" stopIfTrue="1" operator="beginsWith" text="Functioning At Risk">
      <formula>LEFT(E107,LEN("Functioning At Risk"))="Functioning At Risk"</formula>
    </cfRule>
    <cfRule type="beginsWith" dxfId="6677" priority="330" stopIfTrue="1" operator="beginsWith" text="Not Functioning">
      <formula>LEFT(E107,LEN("Not Functioning"))="Not Functioning"</formula>
    </cfRule>
    <cfRule type="containsText" dxfId="6676" priority="331" operator="containsText" text="Functioning">
      <formula>NOT(ISERROR(SEARCH("Functioning",E107)))</formula>
    </cfRule>
  </conditionalFormatting>
  <conditionalFormatting sqref="B111">
    <cfRule type="beginsWith" dxfId="6675" priority="326" stopIfTrue="1" operator="beginsWith" text="Functioning At Risk">
      <formula>LEFT(B111,LEN("Functioning At Risk"))="Functioning At Risk"</formula>
    </cfRule>
    <cfRule type="beginsWith" dxfId="6674" priority="327" stopIfTrue="1" operator="beginsWith" text="Not Functioning">
      <formula>LEFT(B111,LEN("Not Functioning"))="Not Functioning"</formula>
    </cfRule>
    <cfRule type="containsText" dxfId="6673" priority="328" operator="containsText" text="Functioning">
      <formula>NOT(ISERROR(SEARCH("Functioning",B111)))</formula>
    </cfRule>
  </conditionalFormatting>
  <conditionalFormatting sqref="B90 D90:D91">
    <cfRule type="beginsWith" dxfId="6672" priority="323" stopIfTrue="1" operator="beginsWith" text="Functioning At Risk">
      <formula>LEFT(B90,LEN("Functioning At Risk"))="Functioning At Risk"</formula>
    </cfRule>
    <cfRule type="beginsWith" dxfId="6671" priority="324" stopIfTrue="1" operator="beginsWith" text="Not Functioning">
      <formula>LEFT(B90,LEN("Not Functioning"))="Not Functioning"</formula>
    </cfRule>
    <cfRule type="containsText" dxfId="6670" priority="325" operator="containsText" text="Functioning">
      <formula>NOT(ISERROR(SEARCH("Functioning",B90)))</formula>
    </cfRule>
  </conditionalFormatting>
  <conditionalFormatting sqref="E119">
    <cfRule type="expression" dxfId="6669" priority="315">
      <formula>B1048511="Level 5 - Biology"</formula>
    </cfRule>
  </conditionalFormatting>
  <conditionalFormatting sqref="E116:E119">
    <cfRule type="beginsWith" dxfId="6668" priority="312" stopIfTrue="1" operator="beginsWith" text="Functioning At Risk">
      <formula>LEFT(E116,LEN("Functioning At Risk"))="Functioning At Risk"</formula>
    </cfRule>
    <cfRule type="beginsWith" dxfId="6667" priority="313" stopIfTrue="1" operator="beginsWith" text="Not Functioning">
      <formula>LEFT(E116,LEN("Not Functioning"))="Not Functioning"</formula>
    </cfRule>
    <cfRule type="containsText" dxfId="6666" priority="314" operator="containsText" text="Functioning">
      <formula>NOT(ISERROR(SEARCH("Functioning",E116)))</formula>
    </cfRule>
  </conditionalFormatting>
  <conditionalFormatting sqref="E116:E118">
    <cfRule type="expression" dxfId="6665" priority="316">
      <formula>B1048510="Level 5 - Biology"</formula>
    </cfRule>
  </conditionalFormatting>
  <conditionalFormatting sqref="C78">
    <cfRule type="beginsWith" dxfId="6664" priority="309" stopIfTrue="1" operator="beginsWith" text="Functioning At Risk">
      <formula>LEFT(C78,LEN("Functioning At Risk"))="Functioning At Risk"</formula>
    </cfRule>
    <cfRule type="beginsWith" dxfId="6663" priority="310" stopIfTrue="1" operator="beginsWith" text="Not Functioning">
      <formula>LEFT(C78,LEN("Not Functioning"))="Not Functioning"</formula>
    </cfRule>
    <cfRule type="containsText" dxfId="6662" priority="311" operator="containsText" text="Functioning">
      <formula>NOT(ISERROR(SEARCH("Functioning",C78)))</formula>
    </cfRule>
  </conditionalFormatting>
  <conditionalFormatting sqref="B116:B118">
    <cfRule type="beginsWith" dxfId="6661" priority="306" stopIfTrue="1" operator="beginsWith" text="Functioning At Risk">
      <formula>LEFT(B116,LEN("Functioning At Risk"))="Functioning At Risk"</formula>
    </cfRule>
    <cfRule type="beginsWith" dxfId="6660" priority="307" stopIfTrue="1" operator="beginsWith" text="Not Functioning">
      <formula>LEFT(B116,LEN("Not Functioning"))="Not Functioning"</formula>
    </cfRule>
    <cfRule type="containsText" dxfId="6659" priority="308" operator="containsText" text="Functioning">
      <formula>NOT(ISERROR(SEARCH("Functioning",B116)))</formula>
    </cfRule>
  </conditionalFormatting>
  <conditionalFormatting sqref="B76:B78">
    <cfRule type="beginsWith" dxfId="6658" priority="303" stopIfTrue="1" operator="beginsWith" text="Functioning At Risk">
      <formula>LEFT(B76,LEN("Functioning At Risk"))="Functioning At Risk"</formula>
    </cfRule>
    <cfRule type="beginsWith" dxfId="6657" priority="304" stopIfTrue="1" operator="beginsWith" text="Not Functioning">
      <formula>LEFT(B76,LEN("Not Functioning"))="Not Functioning"</formula>
    </cfRule>
    <cfRule type="containsText" dxfId="6656" priority="305" operator="containsText" text="Functioning">
      <formula>NOT(ISERROR(SEARCH("Functioning",B76)))</formula>
    </cfRule>
  </conditionalFormatting>
  <conditionalFormatting sqref="E112:E113">
    <cfRule type="expression" dxfId="6655" priority="529">
      <formula>B10="Level 4 - Physicochemical"</formula>
    </cfRule>
    <cfRule type="expression" dxfId="6654" priority="530">
      <formula>B10="Level 5 - Biology"</formula>
    </cfRule>
  </conditionalFormatting>
  <conditionalFormatting sqref="E115">
    <cfRule type="expression" dxfId="6653" priority="531">
      <formula>B10="Level 4 - Physicochemical"</formula>
    </cfRule>
    <cfRule type="expression" dxfId="6652" priority="532">
      <formula>B10="Level 5 - Biology"</formula>
    </cfRule>
  </conditionalFormatting>
  <conditionalFormatting sqref="E121">
    <cfRule type="expression" dxfId="6651" priority="533">
      <formula>B10="Level 5 - Biology"</formula>
    </cfRule>
  </conditionalFormatting>
  <conditionalFormatting sqref="E120">
    <cfRule type="expression" dxfId="6650" priority="534">
      <formula>B12="Level 5 - Biology"</formula>
    </cfRule>
  </conditionalFormatting>
  <conditionalFormatting sqref="C64:C65">
    <cfRule type="beginsWith" dxfId="6649" priority="300" stopIfTrue="1" operator="beginsWith" text="Functioning At Risk">
      <formula>LEFT(C64,LEN("Functioning At Risk"))="Functioning At Risk"</formula>
    </cfRule>
    <cfRule type="beginsWith" dxfId="6648" priority="301" stopIfTrue="1" operator="beginsWith" text="Not Functioning">
      <formula>LEFT(C64,LEN("Not Functioning"))="Not Functioning"</formula>
    </cfRule>
    <cfRule type="containsText" dxfId="6647" priority="302" operator="containsText" text="Functioning">
      <formula>NOT(ISERROR(SEARCH("Functioning",C64)))</formula>
    </cfRule>
  </conditionalFormatting>
  <conditionalFormatting sqref="D104 D96:D98">
    <cfRule type="beginsWith" dxfId="6646" priority="279" stopIfTrue="1" operator="beginsWith" text="Functioning At Risk">
      <formula>LEFT(D96,LEN("Functioning At Risk"))="Functioning At Risk"</formula>
    </cfRule>
    <cfRule type="beginsWith" dxfId="6645" priority="280" stopIfTrue="1" operator="beginsWith" text="Not Functioning">
      <formula>LEFT(D96,LEN("Not Functioning"))="Not Functioning"</formula>
    </cfRule>
    <cfRule type="containsText" dxfId="6644" priority="281" operator="containsText" text="Functioning">
      <formula>NOT(ISERROR(SEARCH("Functioning",D96)))</formula>
    </cfRule>
  </conditionalFormatting>
  <conditionalFormatting sqref="D99">
    <cfRule type="beginsWith" dxfId="6643" priority="276" stopIfTrue="1" operator="beginsWith" text="Functioning At Risk">
      <formula>LEFT(D99,LEN("Functioning At Risk"))="Functioning At Risk"</formula>
    </cfRule>
    <cfRule type="beginsWith" dxfId="6642" priority="277" stopIfTrue="1" operator="beginsWith" text="Not Functioning">
      <formula>LEFT(D99,LEN("Not Functioning"))="Not Functioning"</formula>
    </cfRule>
    <cfRule type="containsText" dxfId="6641" priority="278" operator="containsText" text="Functioning">
      <formula>NOT(ISERROR(SEARCH("Functioning",D99)))</formula>
    </cfRule>
  </conditionalFormatting>
  <conditionalFormatting sqref="D105">
    <cfRule type="beginsWith" dxfId="6640" priority="273" stopIfTrue="1" operator="beginsWith" text="Functioning At Risk">
      <formula>LEFT(D105,LEN("Functioning At Risk"))="Functioning At Risk"</formula>
    </cfRule>
    <cfRule type="beginsWith" dxfId="6639" priority="274" stopIfTrue="1" operator="beginsWith" text="Not Functioning">
      <formula>LEFT(D105,LEN("Not Functioning"))="Not Functioning"</formula>
    </cfRule>
    <cfRule type="containsText" dxfId="6638" priority="275" operator="containsText" text="Functioning">
      <formula>NOT(ISERROR(SEARCH("Functioning",D105)))</formula>
    </cfRule>
  </conditionalFormatting>
  <conditionalFormatting sqref="D100:D103">
    <cfRule type="beginsWith" dxfId="6637" priority="270" stopIfTrue="1" operator="beginsWith" text="Functioning At Risk">
      <formula>LEFT(D100,LEN("Functioning At Risk"))="Functioning At Risk"</formula>
    </cfRule>
    <cfRule type="beginsWith" dxfId="6636" priority="271" stopIfTrue="1" operator="beginsWith" text="Not Functioning">
      <formula>LEFT(D100,LEN("Not Functioning"))="Not Functioning"</formula>
    </cfRule>
    <cfRule type="containsText" dxfId="6635" priority="272" operator="containsText" text="Functioning">
      <formula>NOT(ISERROR(SEARCH("Functioning",D100)))</formula>
    </cfRule>
  </conditionalFormatting>
  <conditionalFormatting sqref="C110">
    <cfRule type="beginsWith" dxfId="6634" priority="243" stopIfTrue="1" operator="beginsWith" text="Functioning At Risk">
      <formula>LEFT(C110,LEN("Functioning At Risk"))="Functioning At Risk"</formula>
    </cfRule>
    <cfRule type="beginsWith" dxfId="6633" priority="244" stopIfTrue="1" operator="beginsWith" text="Not Functioning">
      <formula>LEFT(C110,LEN("Not Functioning"))="Not Functioning"</formula>
    </cfRule>
    <cfRule type="containsText" dxfId="6632" priority="245" operator="containsText" text="Functioning">
      <formula>NOT(ISERROR(SEARCH("Functioning",C110)))</formula>
    </cfRule>
  </conditionalFormatting>
  <conditionalFormatting sqref="E109">
    <cfRule type="beginsWith" dxfId="6631" priority="261" stopIfTrue="1" operator="beginsWith" text="Functioning At Risk">
      <formula>LEFT(E109,LEN("Functioning At Risk"))="Functioning At Risk"</formula>
    </cfRule>
    <cfRule type="beginsWith" dxfId="6630" priority="262" stopIfTrue="1" operator="beginsWith" text="Not Functioning">
      <formula>LEFT(E109,LEN("Not Functioning"))="Not Functioning"</formula>
    </cfRule>
    <cfRule type="containsText" dxfId="6629" priority="263" operator="containsText" text="Functioning">
      <formula>NOT(ISERROR(SEARCH("Functioning",E109)))</formula>
    </cfRule>
  </conditionalFormatting>
  <conditionalFormatting sqref="C96:C98 C113:C114 C107:C108 C119 C111 C88:C91 C116:C117">
    <cfRule type="beginsWith" dxfId="6628" priority="258" stopIfTrue="1" operator="beginsWith" text="Functioning At Risk">
      <formula>LEFT(C88,LEN("Functioning At Risk"))="Functioning At Risk"</formula>
    </cfRule>
    <cfRule type="beginsWith" dxfId="6627" priority="259" stopIfTrue="1" operator="beginsWith" text="Not Functioning">
      <formula>LEFT(C88,LEN("Not Functioning"))="Not Functioning"</formula>
    </cfRule>
    <cfRule type="containsText" dxfId="6626" priority="260" operator="containsText" text="Functioning">
      <formula>NOT(ISERROR(SEARCH("Functioning",C88)))</formula>
    </cfRule>
  </conditionalFormatting>
  <conditionalFormatting sqref="C99">
    <cfRule type="beginsWith" dxfId="6625" priority="255" stopIfTrue="1" operator="beginsWith" text="Functioning At Risk">
      <formula>LEFT(C99,LEN("Functioning At Risk"))="Functioning At Risk"</formula>
    </cfRule>
    <cfRule type="beginsWith" dxfId="6624" priority="256" stopIfTrue="1" operator="beginsWith" text="Not Functioning">
      <formula>LEFT(C99,LEN("Not Functioning"))="Not Functioning"</formula>
    </cfRule>
    <cfRule type="containsText" dxfId="6623" priority="257" operator="containsText" text="Functioning">
      <formula>NOT(ISERROR(SEARCH("Functioning",C99)))</formula>
    </cfRule>
  </conditionalFormatting>
  <conditionalFormatting sqref="C106">
    <cfRule type="beginsWith" dxfId="6622" priority="252" stopIfTrue="1" operator="beginsWith" text="Functioning At Risk">
      <formula>LEFT(C106,LEN("Functioning At Risk"))="Functioning At Risk"</formula>
    </cfRule>
    <cfRule type="beginsWith" dxfId="6621" priority="253" stopIfTrue="1" operator="beginsWith" text="Not Functioning">
      <formula>LEFT(C106,LEN("Not Functioning"))="Not Functioning"</formula>
    </cfRule>
    <cfRule type="containsText" dxfId="6620" priority="254" operator="containsText" text="Functioning">
      <formula>NOT(ISERROR(SEARCH("Functioning",C106)))</formula>
    </cfRule>
  </conditionalFormatting>
  <conditionalFormatting sqref="C100:C103">
    <cfRule type="beginsWith" dxfId="6619" priority="249" stopIfTrue="1" operator="beginsWith" text="Functioning At Risk">
      <formula>LEFT(C100,LEN("Functioning At Risk"))="Functioning At Risk"</formula>
    </cfRule>
    <cfRule type="beginsWith" dxfId="6618" priority="250" stopIfTrue="1" operator="beginsWith" text="Not Functioning">
      <formula>LEFT(C100,LEN("Not Functioning"))="Not Functioning"</formula>
    </cfRule>
    <cfRule type="containsText" dxfId="6617" priority="251" operator="containsText" text="Functioning">
      <formula>NOT(ISERROR(SEARCH("Functioning",C100)))</formula>
    </cfRule>
  </conditionalFormatting>
  <conditionalFormatting sqref="C109">
    <cfRule type="beginsWith" dxfId="6616" priority="246" stopIfTrue="1" operator="beginsWith" text="Functioning At Risk">
      <formula>LEFT(C109,LEN("Functioning At Risk"))="Functioning At Risk"</formula>
    </cfRule>
    <cfRule type="beginsWith" dxfId="6615" priority="247" stopIfTrue="1" operator="beginsWith" text="Not Functioning">
      <formula>LEFT(C109,LEN("Not Functioning"))="Not Functioning"</formula>
    </cfRule>
    <cfRule type="containsText" dxfId="6614" priority="248" operator="containsText" text="Functioning">
      <formula>NOT(ISERROR(SEARCH("Functioning",C109)))</formula>
    </cfRule>
  </conditionalFormatting>
  <conditionalFormatting sqref="C121">
    <cfRule type="beginsWith" dxfId="6613" priority="237" stopIfTrue="1" operator="beginsWith" text="Functioning At Risk">
      <formula>LEFT(C121,LEN("Functioning At Risk"))="Functioning At Risk"</formula>
    </cfRule>
    <cfRule type="beginsWith" dxfId="6612" priority="238" stopIfTrue="1" operator="beginsWith" text="Not Functioning">
      <formula>LEFT(C121,LEN("Not Functioning"))="Not Functioning"</formula>
    </cfRule>
    <cfRule type="containsText" dxfId="6611" priority="239" operator="containsText" text="Functioning">
      <formula>NOT(ISERROR(SEARCH("Functioning",C121)))</formula>
    </cfRule>
  </conditionalFormatting>
  <conditionalFormatting sqref="C120">
    <cfRule type="beginsWith" dxfId="6610" priority="240" stopIfTrue="1" operator="beginsWith" text="Functioning At Risk">
      <formula>LEFT(C120,LEN("Functioning At Risk"))="Functioning At Risk"</formula>
    </cfRule>
    <cfRule type="beginsWith" dxfId="6609" priority="241" stopIfTrue="1" operator="beginsWith" text="Not Functioning">
      <formula>LEFT(C120,LEN("Not Functioning"))="Not Functioning"</formula>
    </cfRule>
    <cfRule type="containsText" dxfId="6608" priority="242" operator="containsText" text="Functioning">
      <formula>NOT(ISERROR(SEARCH("Functioning",C120)))</formula>
    </cfRule>
  </conditionalFormatting>
  <conditionalFormatting sqref="C118">
    <cfRule type="beginsWith" dxfId="6607" priority="234" stopIfTrue="1" operator="beginsWith" text="Functioning At Risk">
      <formula>LEFT(C118,LEN("Functioning At Risk"))="Functioning At Risk"</formula>
    </cfRule>
    <cfRule type="beginsWith" dxfId="6606" priority="235" stopIfTrue="1" operator="beginsWith" text="Not Functioning">
      <formula>LEFT(C118,LEN("Not Functioning"))="Not Functioning"</formula>
    </cfRule>
    <cfRule type="containsText" dxfId="6605" priority="236" operator="containsText" text="Functioning">
      <formula>NOT(ISERROR(SEARCH("Functioning",C118)))</formula>
    </cfRule>
  </conditionalFormatting>
  <conditionalFormatting sqref="C104:C105">
    <cfRule type="beginsWith" dxfId="6604" priority="231" stopIfTrue="1" operator="beginsWith" text="Functioning At Risk">
      <formula>LEFT(C104,LEN("Functioning At Risk"))="Functioning At Risk"</formula>
    </cfRule>
    <cfRule type="beginsWith" dxfId="6603" priority="232" stopIfTrue="1" operator="beginsWith" text="Not Functioning">
      <formula>LEFT(C104,LEN("Not Functioning"))="Not Functioning"</formula>
    </cfRule>
    <cfRule type="containsText" dxfId="6602" priority="233" operator="containsText" text="Functioning">
      <formula>NOT(ISERROR(SEARCH("Functioning",C104)))</formula>
    </cfRule>
  </conditionalFormatting>
  <conditionalFormatting sqref="D5:D9">
    <cfRule type="beginsWith" dxfId="6601" priority="204" stopIfTrue="1" operator="beginsWith" text="Functioning At Risk">
      <formula>LEFT(D5,LEN("Functioning At Risk"))="Functioning At Risk"</formula>
    </cfRule>
    <cfRule type="beginsWith" dxfId="6600" priority="205" stopIfTrue="1" operator="beginsWith" text="Not Functioning">
      <formula>LEFT(D5,LEN("Not Functioning"))="Not Functioning"</formula>
    </cfRule>
    <cfRule type="containsText" dxfId="6599" priority="206" operator="containsText" text="Functioning">
      <formula>NOT(ISERROR(SEARCH("Functioning",D5)))</formula>
    </cfRule>
  </conditionalFormatting>
  <conditionalFormatting sqref="C29:D29 H30:K32 H36:K41 C33:D41 E48:E49 E66:E81 E88:E89 E106:E121">
    <cfRule type="expression" dxfId="6598" priority="203">
      <formula>$B$18="Ephemeral"</formula>
    </cfRule>
  </conditionalFormatting>
  <conditionalFormatting sqref="E48:E49 E66:E81 E88:E89 E106:E121">
    <cfRule type="expression" dxfId="6597" priority="202" stopIfTrue="1">
      <formula>ISBLANK($B$18)</formula>
    </cfRule>
  </conditionalFormatting>
  <conditionalFormatting sqref="C92:D94">
    <cfRule type="beginsWith" dxfId="6596" priority="171" stopIfTrue="1" operator="beginsWith" text="Functioning At Risk">
      <formula>LEFT(C92,LEN("Functioning At Risk"))="Functioning At Risk"</formula>
    </cfRule>
    <cfRule type="beginsWith" dxfId="6595" priority="172" stopIfTrue="1" operator="beginsWith" text="Not Functioning">
      <formula>LEFT(C92,LEN("Not Functioning"))="Not Functioning"</formula>
    </cfRule>
    <cfRule type="containsText" dxfId="6594" priority="173" operator="containsText" text="Functioning">
      <formula>NOT(ISERROR(SEARCH("Functioning",C92)))</formula>
    </cfRule>
  </conditionalFormatting>
  <conditionalFormatting sqref="B92">
    <cfRule type="beginsWith" dxfId="6593" priority="168" stopIfTrue="1" operator="beginsWith" text="Functioning At Risk">
      <formula>LEFT(B92,LEN("Functioning At Risk"))="Functioning At Risk"</formula>
    </cfRule>
    <cfRule type="beginsWith" dxfId="6592" priority="169" stopIfTrue="1" operator="beginsWith" text="Not Functioning">
      <formula>LEFT(B92,LEN("Not Functioning"))="Not Functioning"</formula>
    </cfRule>
    <cfRule type="containsText" dxfId="6591" priority="170" operator="containsText" text="Functioning">
      <formula>NOT(ISERROR(SEARCH("Functioning",B92)))</formula>
    </cfRule>
  </conditionalFormatting>
  <conditionalFormatting sqref="E93">
    <cfRule type="beginsWith" dxfId="6590" priority="165" stopIfTrue="1" operator="beginsWith" text="Functioning At Risk">
      <formula>LEFT(E93,LEN("Functioning At Risk"))="Functioning At Risk"</formula>
    </cfRule>
    <cfRule type="beginsWith" dxfId="6589" priority="166" stopIfTrue="1" operator="beginsWith" text="Not Functioning">
      <formula>LEFT(E93,LEN("Not Functioning"))="Not Functioning"</formula>
    </cfRule>
    <cfRule type="containsText" dxfId="6588" priority="167" operator="containsText" text="Functioning">
      <formula>NOT(ISERROR(SEARCH("Functioning",E93)))</formula>
    </cfRule>
  </conditionalFormatting>
  <conditionalFormatting sqref="E92">
    <cfRule type="beginsWith" dxfId="6587" priority="162" stopIfTrue="1" operator="beginsWith" text="Functioning At Risk">
      <formula>LEFT(E92,LEN("Functioning At Risk"))="Functioning At Risk"</formula>
    </cfRule>
    <cfRule type="beginsWith" dxfId="6586" priority="163" stopIfTrue="1" operator="beginsWith" text="Not Functioning">
      <formula>LEFT(E92,LEN("Not Functioning"))="Not Functioning"</formula>
    </cfRule>
    <cfRule type="containsText" dxfId="6585" priority="164" operator="containsText" text="Functioning">
      <formula>NOT(ISERROR(SEARCH("Functioning",E92)))</formula>
    </cfRule>
  </conditionalFormatting>
  <conditionalFormatting sqref="E92">
    <cfRule type="expression" dxfId="6584" priority="161" stopIfTrue="1">
      <formula>ISBLANK($B$18)</formula>
    </cfRule>
  </conditionalFormatting>
  <conditionalFormatting sqref="E94:E95">
    <cfRule type="beginsWith" dxfId="6583" priority="158" stopIfTrue="1" operator="beginsWith" text="Functioning At Risk">
      <formula>LEFT(E94,LEN("Functioning At Risk"))="Functioning At Risk"</formula>
    </cfRule>
    <cfRule type="beginsWith" dxfId="6582" priority="159" stopIfTrue="1" operator="beginsWith" text="Not Functioning">
      <formula>LEFT(E94,LEN("Not Functioning"))="Not Functioning"</formula>
    </cfRule>
    <cfRule type="containsText" dxfId="6581" priority="160" operator="containsText" text="Functioning">
      <formula>NOT(ISERROR(SEARCH("Functioning",E94)))</formula>
    </cfRule>
  </conditionalFormatting>
  <conditionalFormatting sqref="C52:D54">
    <cfRule type="beginsWith" dxfId="6580" priority="152" stopIfTrue="1" operator="beginsWith" text="Functioning At Risk">
      <formula>LEFT(C52,LEN("Functioning At Risk"))="Functioning At Risk"</formula>
    </cfRule>
    <cfRule type="beginsWith" dxfId="6579" priority="153" stopIfTrue="1" operator="beginsWith" text="Not Functioning">
      <formula>LEFT(C52,LEN("Not Functioning"))="Not Functioning"</formula>
    </cfRule>
    <cfRule type="containsText" dxfId="6578" priority="154" operator="containsText" text="Functioning">
      <formula>NOT(ISERROR(SEARCH("Functioning",C52)))</formula>
    </cfRule>
  </conditionalFormatting>
  <conditionalFormatting sqref="B52">
    <cfRule type="beginsWith" dxfId="6577" priority="149" stopIfTrue="1" operator="beginsWith" text="Functioning At Risk">
      <formula>LEFT(B52,LEN("Functioning At Risk"))="Functioning At Risk"</formula>
    </cfRule>
    <cfRule type="beginsWith" dxfId="6576" priority="150" stopIfTrue="1" operator="beginsWith" text="Not Functioning">
      <formula>LEFT(B52,LEN("Not Functioning"))="Not Functioning"</formula>
    </cfRule>
    <cfRule type="containsText" dxfId="6575" priority="151" operator="containsText" text="Functioning">
      <formula>NOT(ISERROR(SEARCH("Functioning",B52)))</formula>
    </cfRule>
  </conditionalFormatting>
  <conditionalFormatting sqref="E53">
    <cfRule type="beginsWith" dxfId="6574" priority="146" stopIfTrue="1" operator="beginsWith" text="Functioning At Risk">
      <formula>LEFT(E53,LEN("Functioning At Risk"))="Functioning At Risk"</formula>
    </cfRule>
    <cfRule type="beginsWith" dxfId="6573" priority="147" stopIfTrue="1" operator="beginsWith" text="Not Functioning">
      <formula>LEFT(E53,LEN("Not Functioning"))="Not Functioning"</formula>
    </cfRule>
    <cfRule type="containsText" dxfId="6572" priority="148" operator="containsText" text="Functioning">
      <formula>NOT(ISERROR(SEARCH("Functioning",E53)))</formula>
    </cfRule>
  </conditionalFormatting>
  <conditionalFormatting sqref="E52">
    <cfRule type="beginsWith" dxfId="6571" priority="143" stopIfTrue="1" operator="beginsWith" text="Functioning At Risk">
      <formula>LEFT(E52,LEN("Functioning At Risk"))="Functioning At Risk"</formula>
    </cfRule>
    <cfRule type="beginsWith" dxfId="6570" priority="144" stopIfTrue="1" operator="beginsWith" text="Not Functioning">
      <formula>LEFT(E52,LEN("Not Functioning"))="Not Functioning"</formula>
    </cfRule>
    <cfRule type="containsText" dxfId="6569" priority="145" operator="containsText" text="Functioning">
      <formula>NOT(ISERROR(SEARCH("Functioning",E52)))</formula>
    </cfRule>
  </conditionalFormatting>
  <conditionalFormatting sqref="E52">
    <cfRule type="expression" dxfId="6568" priority="142" stopIfTrue="1">
      <formula>ISBLANK($B$18)</formula>
    </cfRule>
  </conditionalFormatting>
  <conditionalFormatting sqref="E54:E55">
    <cfRule type="beginsWith" dxfId="6567" priority="139" stopIfTrue="1" operator="beginsWith" text="Functioning At Risk">
      <formula>LEFT(E54,LEN("Functioning At Risk"))="Functioning At Risk"</formula>
    </cfRule>
    <cfRule type="beginsWith" dxfId="6566" priority="140" stopIfTrue="1" operator="beginsWith" text="Not Functioning">
      <formula>LEFT(E54,LEN("Not Functioning"))="Not Functioning"</formula>
    </cfRule>
    <cfRule type="containsText" dxfId="6565" priority="141" operator="containsText" text="Functioning">
      <formula>NOT(ISERROR(SEARCH("Functioning",E54)))</formula>
    </cfRule>
  </conditionalFormatting>
  <conditionalFormatting sqref="H11">
    <cfRule type="beginsWith" dxfId="6564" priority="136" stopIfTrue="1" operator="beginsWith" text="Functioning At Risk">
      <formula>LEFT(H11,LEN("Functioning At Risk"))="Functioning At Risk"</formula>
    </cfRule>
    <cfRule type="beginsWith" dxfId="6563" priority="137" stopIfTrue="1" operator="beginsWith" text="Not Functioning">
      <formula>LEFT(H11,LEN("Not Functioning"))="Not Functioning"</formula>
    </cfRule>
    <cfRule type="containsText" dxfId="6562" priority="138" operator="containsText" text="Functioning">
      <formula>NOT(ISERROR(SEARCH("Functioning",H11)))</formula>
    </cfRule>
  </conditionalFormatting>
  <conditionalFormatting sqref="D18:D19 D15">
    <cfRule type="beginsWith" dxfId="6561" priority="133" stopIfTrue="1" operator="beginsWith" text="Functioning At Risk">
      <formula>LEFT(D15,LEN("Functioning At Risk"))="Functioning At Risk"</formula>
    </cfRule>
    <cfRule type="beginsWith" dxfId="6560" priority="134" stopIfTrue="1" operator="beginsWith" text="Not Functioning">
      <formula>LEFT(D15,LEN("Not Functioning"))="Not Functioning"</formula>
    </cfRule>
    <cfRule type="containsText" dxfId="6559" priority="135" operator="containsText" text="Functioning">
      <formula>NOT(ISERROR(SEARCH("Functioning",D15)))</formula>
    </cfRule>
  </conditionalFormatting>
  <conditionalFormatting sqref="D16">
    <cfRule type="beginsWith" dxfId="6558" priority="130" stopIfTrue="1" operator="beginsWith" text="Functioning At Risk">
      <formula>LEFT(D16,LEN("Functioning At Risk"))="Functioning At Risk"</formula>
    </cfRule>
    <cfRule type="beginsWith" dxfId="6557" priority="131" stopIfTrue="1" operator="beginsWith" text="Not Functioning">
      <formula>LEFT(D16,LEN("Not Functioning"))="Not Functioning"</formula>
    </cfRule>
    <cfRule type="containsText" dxfId="6556" priority="132" operator="containsText" text="Functioning">
      <formula>NOT(ISERROR(SEARCH("Functioning",D16)))</formula>
    </cfRule>
  </conditionalFormatting>
  <conditionalFormatting sqref="D20">
    <cfRule type="beginsWith" dxfId="6555" priority="127" stopIfTrue="1" operator="beginsWith" text="Functioning At Risk">
      <formula>LEFT(D20,LEN("Functioning At Risk"))="Functioning At Risk"</formula>
    </cfRule>
    <cfRule type="beginsWith" dxfId="6554" priority="128" stopIfTrue="1" operator="beginsWith" text="Not Functioning">
      <formula>LEFT(D20,LEN("Not Functioning"))="Not Functioning"</formula>
    </cfRule>
    <cfRule type="containsText" dxfId="6553" priority="129" operator="containsText" text="Functioning">
      <formula>NOT(ISERROR(SEARCH("Functioning",D20)))</formula>
    </cfRule>
  </conditionalFormatting>
  <conditionalFormatting sqref="E56:E58">
    <cfRule type="beginsWith" dxfId="6552" priority="124" stopIfTrue="1" operator="beginsWith" text="Functioning At Risk">
      <formula>LEFT(E56,LEN("Functioning At Risk"))="Functioning At Risk"</formula>
    </cfRule>
    <cfRule type="beginsWith" dxfId="6551" priority="125" stopIfTrue="1" operator="beginsWith" text="Not Functioning">
      <formula>LEFT(E56,LEN("Not Functioning"))="Not Functioning"</formula>
    </cfRule>
    <cfRule type="containsText" dxfId="6550" priority="126" operator="containsText" text="Functioning">
      <formula>NOT(ISERROR(SEARCH("Functioning",E56)))</formula>
    </cfRule>
  </conditionalFormatting>
  <conditionalFormatting sqref="E60:E61">
    <cfRule type="beginsWith" dxfId="6549" priority="121" stopIfTrue="1" operator="beginsWith" text="Functioning At Risk">
      <formula>LEFT(E60,LEN("Functioning At Risk"))="Functioning At Risk"</formula>
    </cfRule>
    <cfRule type="beginsWith" dxfId="6548" priority="122" stopIfTrue="1" operator="beginsWith" text="Not Functioning">
      <formula>LEFT(E60,LEN("Not Functioning"))="Not Functioning"</formula>
    </cfRule>
    <cfRule type="containsText" dxfId="6547" priority="123" operator="containsText" text="Functioning">
      <formula>NOT(ISERROR(SEARCH("Functioning",E60)))</formula>
    </cfRule>
  </conditionalFormatting>
  <conditionalFormatting sqref="A18">
    <cfRule type="beginsWith" dxfId="6546" priority="100" stopIfTrue="1" operator="beginsWith" text="Functioning At Risk">
      <formula>LEFT(A18,LEN("Functioning At Risk"))="Functioning At Risk"</formula>
    </cfRule>
    <cfRule type="beginsWith" dxfId="6545" priority="101" stopIfTrue="1" operator="beginsWith" text="Not Functioning">
      <formula>LEFT(A18,LEN("Not Functioning"))="Not Functioning"</formula>
    </cfRule>
    <cfRule type="containsText" dxfId="6544" priority="102" operator="containsText" text="Functioning">
      <formula>NOT(ISERROR(SEARCH("Functioning",A18)))</formula>
    </cfRule>
  </conditionalFormatting>
  <conditionalFormatting sqref="E50:E51">
    <cfRule type="beginsWith" dxfId="6543" priority="97" stopIfTrue="1" operator="beginsWith" text="Functioning At Risk">
      <formula>LEFT(E50,LEN("Functioning At Risk"))="Functioning At Risk"</formula>
    </cfRule>
    <cfRule type="beginsWith" dxfId="6542" priority="98" stopIfTrue="1" operator="beginsWith" text="Not Functioning">
      <formula>LEFT(E50,LEN("Not Functioning"))="Not Functioning"</formula>
    </cfRule>
    <cfRule type="containsText" dxfId="6541" priority="99" operator="containsText" text="Functioning">
      <formula>NOT(ISERROR(SEARCH("Functioning",E50)))</formula>
    </cfRule>
  </conditionalFormatting>
  <conditionalFormatting sqref="E96:E98">
    <cfRule type="beginsWith" dxfId="6540" priority="112" stopIfTrue="1" operator="beginsWith" text="Functioning At Risk">
      <formula>LEFT(E96,LEN("Functioning At Risk"))="Functioning At Risk"</formula>
    </cfRule>
    <cfRule type="beginsWith" dxfId="6539" priority="113" stopIfTrue="1" operator="beginsWith" text="Not Functioning">
      <formula>LEFT(E96,LEN("Not Functioning"))="Not Functioning"</formula>
    </cfRule>
    <cfRule type="containsText" dxfId="6538" priority="114" operator="containsText" text="Functioning">
      <formula>NOT(ISERROR(SEARCH("Functioning",E96)))</formula>
    </cfRule>
  </conditionalFormatting>
  <conditionalFormatting sqref="E100:E101">
    <cfRule type="beginsWith" dxfId="6537" priority="109" stopIfTrue="1" operator="beginsWith" text="Functioning At Risk">
      <formula>LEFT(E100,LEN("Functioning At Risk"))="Functioning At Risk"</formula>
    </cfRule>
    <cfRule type="beginsWith" dxfId="6536" priority="110" stopIfTrue="1" operator="beginsWith" text="Not Functioning">
      <formula>LEFT(E100,LEN("Not Functioning"))="Not Functioning"</formula>
    </cfRule>
    <cfRule type="containsText" dxfId="6535" priority="111" operator="containsText" text="Functioning">
      <formula>NOT(ISERROR(SEARCH("Functioning",E100)))</formula>
    </cfRule>
  </conditionalFormatting>
  <conditionalFormatting sqref="E90:E91">
    <cfRule type="beginsWith" dxfId="6534" priority="94" stopIfTrue="1" operator="beginsWith" text="Functioning At Risk">
      <formula>LEFT(E90,LEN("Functioning At Risk"))="Functioning At Risk"</formula>
    </cfRule>
    <cfRule type="beginsWith" dxfId="6533" priority="95" stopIfTrue="1" operator="beginsWith" text="Not Functioning">
      <formula>LEFT(E90,LEN("Not Functioning"))="Not Functioning"</formula>
    </cfRule>
    <cfRule type="containsText" dxfId="6532" priority="96" operator="containsText" text="Functioning">
      <formula>NOT(ISERROR(SEARCH("Functioning",E90)))</formula>
    </cfRule>
  </conditionalFormatting>
  <conditionalFormatting sqref="A6:A9">
    <cfRule type="beginsWith" dxfId="6531" priority="85" stopIfTrue="1" operator="beginsWith" text="Functioning At Risk">
      <formula>LEFT(A6,LEN("Functioning At Risk"))="Functioning At Risk"</formula>
    </cfRule>
    <cfRule type="beginsWith" dxfId="6530" priority="86" stopIfTrue="1" operator="beginsWith" text="Not Functioning">
      <formula>LEFT(A6,LEN("Not Functioning"))="Not Functioning"</formula>
    </cfRule>
    <cfRule type="containsText" dxfId="6529" priority="87" operator="containsText" text="Functioning">
      <formula>NOT(ISERROR(SEARCH("Functioning",A6)))</formula>
    </cfRule>
  </conditionalFormatting>
  <conditionalFormatting sqref="E62:E63">
    <cfRule type="beginsWith" dxfId="6528" priority="82" stopIfTrue="1" operator="beginsWith" text="Functioning At Risk">
      <formula>LEFT(E62,LEN("Functioning At Risk"))="Functioning At Risk"</formula>
    </cfRule>
    <cfRule type="beginsWith" dxfId="6527" priority="83" stopIfTrue="1" operator="beginsWith" text="Not Functioning">
      <formula>LEFT(E62,LEN("Not Functioning"))="Not Functioning"</formula>
    </cfRule>
    <cfRule type="containsText" dxfId="6526" priority="84" operator="containsText" text="Functioning">
      <formula>NOT(ISERROR(SEARCH("Functioning",E62)))</formula>
    </cfRule>
  </conditionalFormatting>
  <conditionalFormatting sqref="E64">
    <cfRule type="beginsWith" dxfId="6525" priority="79" stopIfTrue="1" operator="beginsWith" text="Functioning At Risk">
      <formula>LEFT(E64,LEN("Functioning At Risk"))="Functioning At Risk"</formula>
    </cfRule>
    <cfRule type="beginsWith" dxfId="6524" priority="80" stopIfTrue="1" operator="beginsWith" text="Not Functioning">
      <formula>LEFT(E64,LEN("Not Functioning"))="Not Functioning"</formula>
    </cfRule>
    <cfRule type="containsText" dxfId="6523" priority="81" operator="containsText" text="Functioning">
      <formula>NOT(ISERROR(SEARCH("Functioning",E64)))</formula>
    </cfRule>
  </conditionalFormatting>
  <conditionalFormatting sqref="E65">
    <cfRule type="beginsWith" dxfId="6522" priority="76" stopIfTrue="1" operator="beginsWith" text="Functioning At Risk">
      <formula>LEFT(E65,LEN("Functioning At Risk"))="Functioning At Risk"</formula>
    </cfRule>
    <cfRule type="beginsWith" dxfId="6521" priority="77" stopIfTrue="1" operator="beginsWith" text="Not Functioning">
      <formula>LEFT(E65,LEN("Not Functioning"))="Not Functioning"</formula>
    </cfRule>
    <cfRule type="containsText" dxfId="6520" priority="78" operator="containsText" text="Functioning">
      <formula>NOT(ISERROR(SEARCH("Functioning",E65)))</formula>
    </cfRule>
  </conditionalFormatting>
  <conditionalFormatting sqref="E102:E103">
    <cfRule type="beginsWith" dxfId="6519" priority="73" stopIfTrue="1" operator="beginsWith" text="Functioning At Risk">
      <formula>LEFT(E102,LEN("Functioning At Risk"))="Functioning At Risk"</formula>
    </cfRule>
    <cfRule type="beginsWith" dxfId="6518" priority="74" stopIfTrue="1" operator="beginsWith" text="Not Functioning">
      <formula>LEFT(E102,LEN("Not Functioning"))="Not Functioning"</formula>
    </cfRule>
    <cfRule type="containsText" dxfId="6517" priority="75" operator="containsText" text="Functioning">
      <formula>NOT(ISERROR(SEARCH("Functioning",E102)))</formula>
    </cfRule>
  </conditionalFormatting>
  <conditionalFormatting sqref="E104">
    <cfRule type="beginsWith" dxfId="6516" priority="70" stopIfTrue="1" operator="beginsWith" text="Functioning At Risk">
      <formula>LEFT(E104,LEN("Functioning At Risk"))="Functioning At Risk"</formula>
    </cfRule>
    <cfRule type="beginsWith" dxfId="6515" priority="71" stopIfTrue="1" operator="beginsWith" text="Not Functioning">
      <formula>LEFT(E104,LEN("Not Functioning"))="Not Functioning"</formula>
    </cfRule>
    <cfRule type="containsText" dxfId="6514" priority="72" operator="containsText" text="Functioning">
      <formula>NOT(ISERROR(SEARCH("Functioning",E104)))</formula>
    </cfRule>
  </conditionalFormatting>
  <conditionalFormatting sqref="E105">
    <cfRule type="beginsWith" dxfId="6513" priority="67" stopIfTrue="1" operator="beginsWith" text="Functioning At Risk">
      <formula>LEFT(E105,LEN("Functioning At Risk"))="Functioning At Risk"</formula>
    </cfRule>
    <cfRule type="beginsWith" dxfId="6512" priority="68" stopIfTrue="1" operator="beginsWith" text="Not Functioning">
      <formula>LEFT(E105,LEN("Not Functioning"))="Not Functioning"</formula>
    </cfRule>
    <cfRule type="containsText" dxfId="6511" priority="69" operator="containsText" text="Functioning">
      <formula>NOT(ISERROR(SEARCH("Functioning",E105)))</formula>
    </cfRule>
  </conditionalFormatting>
  <conditionalFormatting sqref="F71 F48:F49 F56:F59">
    <cfRule type="beginsWith" dxfId="6510" priority="52" stopIfTrue="1" operator="beginsWith" text="Functioning At Risk">
      <formula>LEFT(F48,LEN("Functioning At Risk"))="Functioning At Risk"</formula>
    </cfRule>
    <cfRule type="beginsWith" dxfId="6509" priority="53" stopIfTrue="1" operator="beginsWith" text="Not Functioning">
      <formula>LEFT(F48,LEN("Not Functioning"))="Not Functioning"</formula>
    </cfRule>
    <cfRule type="containsText" dxfId="6508" priority="54" operator="containsText" text="Functioning">
      <formula>NOT(ISERROR(SEARCH("Functioning",F48)))</formula>
    </cfRule>
  </conditionalFormatting>
  <conditionalFormatting sqref="F60:F61">
    <cfRule type="beginsWith" dxfId="6507" priority="49" stopIfTrue="1" operator="beginsWith" text="Functioning At Risk">
      <formula>LEFT(F60,LEN("Functioning At Risk"))="Functioning At Risk"</formula>
    </cfRule>
    <cfRule type="beginsWith" dxfId="6506" priority="50" stopIfTrue="1" operator="beginsWith" text="Not Functioning">
      <formula>LEFT(F60,LEN("Not Functioning"))="Not Functioning"</formula>
    </cfRule>
    <cfRule type="containsText" dxfId="6505" priority="51" operator="containsText" text="Functioning">
      <formula>NOT(ISERROR(SEARCH("Functioning",F60)))</formula>
    </cfRule>
  </conditionalFormatting>
  <conditionalFormatting sqref="F80:F81">
    <cfRule type="beginsWith" dxfId="6504" priority="46" stopIfTrue="1" operator="beginsWith" text="Functioning At Risk">
      <formula>LEFT(F80,LEN("Functioning At Risk"))="Functioning At Risk"</formula>
    </cfRule>
    <cfRule type="beginsWith" dxfId="6503" priority="47" stopIfTrue="1" operator="beginsWith" text="Not Functioning">
      <formula>LEFT(F80,LEN("Not Functioning"))="Not Functioning"</formula>
    </cfRule>
    <cfRule type="containsText" dxfId="6502" priority="48" operator="containsText" text="Functioning">
      <formula>NOT(ISERROR(SEARCH("Functioning",F80)))</formula>
    </cfRule>
  </conditionalFormatting>
  <conditionalFormatting sqref="F76:F79">
    <cfRule type="beginsWith" dxfId="6501" priority="43" stopIfTrue="1" operator="beginsWith" text="Functioning At Risk">
      <formula>LEFT(F76,LEN("Functioning At Risk"))="Functioning At Risk"</formula>
    </cfRule>
    <cfRule type="beginsWith" dxfId="6500" priority="44" stopIfTrue="1" operator="beginsWith" text="Not Functioning">
      <formula>LEFT(F76,LEN("Not Functioning"))="Not Functioning"</formula>
    </cfRule>
    <cfRule type="containsText" dxfId="6499" priority="45" operator="containsText" text="Functioning">
      <formula>NOT(ISERROR(SEARCH("Functioning",F76)))</formula>
    </cfRule>
  </conditionalFormatting>
  <conditionalFormatting sqref="F64">
    <cfRule type="beginsWith" dxfId="6498" priority="40" stopIfTrue="1" operator="beginsWith" text="Functioning At Risk">
      <formula>LEFT(F64,LEN("Functioning At Risk"))="Functioning At Risk"</formula>
    </cfRule>
    <cfRule type="beginsWith" dxfId="6497" priority="41" stopIfTrue="1" operator="beginsWith" text="Not Functioning">
      <formula>LEFT(F64,LEN("Not Functioning"))="Not Functioning"</formula>
    </cfRule>
    <cfRule type="containsText" dxfId="6496" priority="42" operator="containsText" text="Functioning">
      <formula>NOT(ISERROR(SEARCH("Functioning",F64)))</formula>
    </cfRule>
  </conditionalFormatting>
  <conditionalFormatting sqref="F50:F51">
    <cfRule type="beginsWith" dxfId="6495" priority="37" stopIfTrue="1" operator="beginsWith" text="Functioning At Risk">
      <formula>LEFT(F50,LEN("Functioning At Risk"))="Functioning At Risk"</formula>
    </cfRule>
    <cfRule type="beginsWith" dxfId="6494" priority="38" stopIfTrue="1" operator="beginsWith" text="Not Functioning">
      <formula>LEFT(F50,LEN("Not Functioning"))="Not Functioning"</formula>
    </cfRule>
    <cfRule type="containsText" dxfId="6493" priority="39" operator="containsText" text="Functioning">
      <formula>NOT(ISERROR(SEARCH("Functioning",F50)))</formula>
    </cfRule>
  </conditionalFormatting>
  <conditionalFormatting sqref="F53">
    <cfRule type="beginsWith" dxfId="6492" priority="34" stopIfTrue="1" operator="beginsWith" text="Functioning At Risk">
      <formula>LEFT(F53,LEN("Functioning At Risk"))="Functioning At Risk"</formula>
    </cfRule>
    <cfRule type="beginsWith" dxfId="6491" priority="35" stopIfTrue="1" operator="beginsWith" text="Not Functioning">
      <formula>LEFT(F53,LEN("Not Functioning"))="Not Functioning"</formula>
    </cfRule>
    <cfRule type="containsText" dxfId="6490" priority="36" operator="containsText" text="Functioning">
      <formula>NOT(ISERROR(SEARCH("Functioning",F53)))</formula>
    </cfRule>
  </conditionalFormatting>
  <conditionalFormatting sqref="F68">
    <cfRule type="beginsWith" dxfId="6489" priority="31" stopIfTrue="1" operator="beginsWith" text="Functioning At Risk">
      <formula>LEFT(F68,LEN("Functioning At Risk"))="Functioning At Risk"</formula>
    </cfRule>
    <cfRule type="beginsWith" dxfId="6488" priority="32" stopIfTrue="1" operator="beginsWith" text="Not Functioning">
      <formula>LEFT(F68,LEN("Not Functioning"))="Not Functioning"</formula>
    </cfRule>
    <cfRule type="containsText" dxfId="6487" priority="33" operator="containsText" text="Functioning">
      <formula>NOT(ISERROR(SEARCH("Functioning",F68)))</formula>
    </cfRule>
  </conditionalFormatting>
  <conditionalFormatting sqref="F65">
    <cfRule type="beginsWith" dxfId="6486" priority="28" stopIfTrue="1" operator="beginsWith" text="Functioning At Risk">
      <formula>LEFT(F65,LEN("Functioning At Risk"))="Functioning At Risk"</formula>
    </cfRule>
    <cfRule type="beginsWith" dxfId="6485" priority="29" stopIfTrue="1" operator="beginsWith" text="Not Functioning">
      <formula>LEFT(F65,LEN("Not Functioning"))="Not Functioning"</formula>
    </cfRule>
    <cfRule type="containsText" dxfId="6484" priority="30" operator="containsText" text="Functioning">
      <formula>NOT(ISERROR(SEARCH("Functioning",F65)))</formula>
    </cfRule>
  </conditionalFormatting>
  <conditionalFormatting sqref="F111 F88:F89 F96:F99">
    <cfRule type="beginsWith" dxfId="6483" priority="25" stopIfTrue="1" operator="beginsWith" text="Functioning At Risk">
      <formula>LEFT(F88,LEN("Functioning At Risk"))="Functioning At Risk"</formula>
    </cfRule>
    <cfRule type="beginsWith" dxfId="6482" priority="26" stopIfTrue="1" operator="beginsWith" text="Not Functioning">
      <formula>LEFT(F88,LEN("Not Functioning"))="Not Functioning"</formula>
    </cfRule>
    <cfRule type="containsText" dxfId="6481" priority="27" operator="containsText" text="Functioning">
      <formula>NOT(ISERROR(SEARCH("Functioning",F88)))</formula>
    </cfRule>
  </conditionalFormatting>
  <conditionalFormatting sqref="F100:F101">
    <cfRule type="beginsWith" dxfId="6480" priority="22" stopIfTrue="1" operator="beginsWith" text="Functioning At Risk">
      <formula>LEFT(F100,LEN("Functioning At Risk"))="Functioning At Risk"</formula>
    </cfRule>
    <cfRule type="beginsWith" dxfId="6479" priority="23" stopIfTrue="1" operator="beginsWith" text="Not Functioning">
      <formula>LEFT(F100,LEN("Not Functioning"))="Not Functioning"</formula>
    </cfRule>
    <cfRule type="containsText" dxfId="6478" priority="24" operator="containsText" text="Functioning">
      <formula>NOT(ISERROR(SEARCH("Functioning",F100)))</formula>
    </cfRule>
  </conditionalFormatting>
  <conditionalFormatting sqref="F120:F121">
    <cfRule type="beginsWith" dxfId="6477" priority="19" stopIfTrue="1" operator="beginsWith" text="Functioning At Risk">
      <formula>LEFT(F120,LEN("Functioning At Risk"))="Functioning At Risk"</formula>
    </cfRule>
    <cfRule type="beginsWith" dxfId="6476" priority="20" stopIfTrue="1" operator="beginsWith" text="Not Functioning">
      <formula>LEFT(F120,LEN("Not Functioning"))="Not Functioning"</formula>
    </cfRule>
    <cfRule type="containsText" dxfId="6475" priority="21" operator="containsText" text="Functioning">
      <formula>NOT(ISERROR(SEARCH("Functioning",F120)))</formula>
    </cfRule>
  </conditionalFormatting>
  <conditionalFormatting sqref="F116:F119">
    <cfRule type="beginsWith" dxfId="6474" priority="16" stopIfTrue="1" operator="beginsWith" text="Functioning At Risk">
      <formula>LEFT(F116,LEN("Functioning At Risk"))="Functioning At Risk"</formula>
    </cfRule>
    <cfRule type="beginsWith" dxfId="6473" priority="17" stopIfTrue="1" operator="beginsWith" text="Not Functioning">
      <formula>LEFT(F116,LEN("Not Functioning"))="Not Functioning"</formula>
    </cfRule>
    <cfRule type="containsText" dxfId="6472" priority="18" operator="containsText" text="Functioning">
      <formula>NOT(ISERROR(SEARCH("Functioning",F116)))</formula>
    </cfRule>
  </conditionalFormatting>
  <conditionalFormatting sqref="F104">
    <cfRule type="beginsWith" dxfId="6471" priority="13" stopIfTrue="1" operator="beginsWith" text="Functioning At Risk">
      <formula>LEFT(F104,LEN("Functioning At Risk"))="Functioning At Risk"</formula>
    </cfRule>
    <cfRule type="beginsWith" dxfId="6470" priority="14" stopIfTrue="1" operator="beginsWith" text="Not Functioning">
      <formula>LEFT(F104,LEN("Not Functioning"))="Not Functioning"</formula>
    </cfRule>
    <cfRule type="containsText" dxfId="6469" priority="15" operator="containsText" text="Functioning">
      <formula>NOT(ISERROR(SEARCH("Functioning",F104)))</formula>
    </cfRule>
  </conditionalFormatting>
  <conditionalFormatting sqref="F90:F91">
    <cfRule type="beginsWith" dxfId="6468" priority="10" stopIfTrue="1" operator="beginsWith" text="Functioning At Risk">
      <formula>LEFT(F90,LEN("Functioning At Risk"))="Functioning At Risk"</formula>
    </cfRule>
    <cfRule type="beginsWith" dxfId="6467" priority="11" stopIfTrue="1" operator="beginsWith" text="Not Functioning">
      <formula>LEFT(F90,LEN("Not Functioning"))="Not Functioning"</formula>
    </cfRule>
    <cfRule type="containsText" dxfId="6466" priority="12" operator="containsText" text="Functioning">
      <formula>NOT(ISERROR(SEARCH("Functioning",F90)))</formula>
    </cfRule>
  </conditionalFormatting>
  <conditionalFormatting sqref="F93">
    <cfRule type="beginsWith" dxfId="6465" priority="7" stopIfTrue="1" operator="beginsWith" text="Functioning At Risk">
      <formula>LEFT(F93,LEN("Functioning At Risk"))="Functioning At Risk"</formula>
    </cfRule>
    <cfRule type="beginsWith" dxfId="6464" priority="8" stopIfTrue="1" operator="beginsWith" text="Not Functioning">
      <formula>LEFT(F93,LEN("Not Functioning"))="Not Functioning"</formula>
    </cfRule>
    <cfRule type="containsText" dxfId="6463" priority="9" operator="containsText" text="Functioning">
      <formula>NOT(ISERROR(SEARCH("Functioning",F93)))</formula>
    </cfRule>
  </conditionalFormatting>
  <conditionalFormatting sqref="F108">
    <cfRule type="beginsWith" dxfId="6462" priority="4" stopIfTrue="1" operator="beginsWith" text="Functioning At Risk">
      <formula>LEFT(F108,LEN("Functioning At Risk"))="Functioning At Risk"</formula>
    </cfRule>
    <cfRule type="beginsWith" dxfId="6461" priority="5" stopIfTrue="1" operator="beginsWith" text="Not Functioning">
      <formula>LEFT(F108,LEN("Not Functioning"))="Not Functioning"</formula>
    </cfRule>
    <cfRule type="containsText" dxfId="6460" priority="6" operator="containsText" text="Functioning">
      <formula>NOT(ISERROR(SEARCH("Functioning",F108)))</formula>
    </cfRule>
  </conditionalFormatting>
  <conditionalFormatting sqref="F105">
    <cfRule type="beginsWith" dxfId="6459" priority="1" stopIfTrue="1" operator="beginsWith" text="Functioning At Risk">
      <formula>LEFT(F105,LEN("Functioning At Risk"))="Functioning At Risk"</formula>
    </cfRule>
    <cfRule type="beginsWith" dxfId="6458" priority="2" stopIfTrue="1" operator="beginsWith" text="Not Functioning">
      <formula>LEFT(F105,LEN("Not Functioning"))="Not Functioning"</formula>
    </cfRule>
    <cfRule type="containsText" dxfId="6457" priority="3" operator="containsText" text="Functioning">
      <formula>NOT(ISERROR(SEARCH("Functioning",F105)))</formula>
    </cfRule>
  </conditionalFormatting>
  <dataValidations count="14">
    <dataValidation type="decimal" allowBlank="1" showErrorMessage="1" prompt="The user should input a value for either basal area or density, not both. " sqref="E60:E63 E100:E103">
      <formula1>0</formula1>
      <formula2>5280</formula2>
    </dataValidation>
    <dataValidation allowBlank="1" showErrorMessage="1" prompt="The user should input a value for either basal area or density, not both. " sqref="E64:E65 E104:E105"/>
    <dataValidation allowBlank="1" showInputMessage="1" showErrorMessage="1" prompt="The user should not input values for all 4 measurement methods. If the user is not using TMI, then the remaining 3 measurement methods should be used together." sqref="E76:E79 E116:E119"/>
    <dataValidation allowBlank="1" showErrorMessage="1" prompt="The user can only input a value for either leaf litter processing rate or shredders for organic matter, not both. " sqref="E73 E113"/>
    <dataValidation type="decimal" allowBlank="1" showInputMessage="1" showErrorMessage="1" sqref="E56:E59 E96:E99">
      <formula1>0</formula1>
      <formula2>5280</formula2>
    </dataValidation>
    <dataValidation allowBlank="1" showInputMessage="1" showErrorMessage="1" prompt="This measurement method should be used in combination with either Erosion Rate or Dominant BEHI/NBS." sqref="E94 E54"/>
    <dataValidation allowBlank="1" showInputMessage="1" showErrorMessage="1" prompt="The user should input a value for either BEHI/NBS or Erosion Rate, not both. " sqref="E92 E52"/>
    <dataValidation allowBlank="1" showErrorMessage="1" prompt="Select catchment conditon level from the completed catchment assessment form. " sqref="E46:E47 E86:E87"/>
    <dataValidation type="list" allowBlank="1" showErrorMessage="1" sqref="B12">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93 E53">
      <formula1>BEHI.NBS</formula1>
    </dataValidation>
    <dataValidation type="list" allowBlank="1" showErrorMessage="1" sqref="B14">
      <formula1>BedMaterial</formula1>
    </dataValidation>
    <dataValidation allowBlank="1" showErrorMessage="1" sqref="B13 E106 E66 E95 E55"/>
    <dataValidation type="list" allowBlank="1" showErrorMessage="1" sqref="B10:B11">
      <formula1>StreamType</formula1>
    </dataValidation>
    <dataValidation allowBlank="1" showInputMessage="1" showErrorMessage="1" prompt="The user should only input a value for either LWDI or # Pieces, not both. " sqref="E50:E51 E90:E91"/>
  </dataValidations>
  <pageMargins left="0.25" right="0.25" top="0.75" bottom="0.75" header="0.3" footer="0.3"/>
  <pageSetup paperSize="3" fitToWidth="0" fitToHeight="0" orientation="landscape" r:id="rId1"/>
  <headerFooter>
    <oddHeader>&amp;C&amp;"-,Bold"TN SQT v1.0
Quantification Tool Spreadsheet Reach 3</oddHeader>
  </headerFooter>
  <rowBreaks count="2" manualBreakCount="2">
    <brk id="42" max="16383" man="1"/>
    <brk id="82" max="16383" man="1"/>
  </rowBreaks>
  <legacyDrawing r:id="rId2"/>
  <extLst>
    <ext xmlns:x14="http://schemas.microsoft.com/office/spreadsheetml/2009/9/main" uri="{78C0D931-6437-407d-A8EE-F0AAD7539E65}">
      <x14:conditionalFormattings>
        <x14:conditionalFormatting xmlns:xm="http://schemas.microsoft.com/office/excel/2006/main">
          <x14:cfRule type="beginsWith" priority="180" stopIfTrue="1" operator="beginsWith" text="Functioning At Risk" id="{43C2D326-184A-4970-BA45-CEE9F5C64449}">
            <xm:f>LEFT('Quantification Tool R2'!A42,LEN("Functioning At Risk"))="Functioning At Risk"</xm:f>
            <x14:dxf>
              <fill>
                <patternFill>
                  <bgColor rgb="FFFFFF00"/>
                </patternFill>
              </fill>
            </x14:dxf>
          </x14:cfRule>
          <x14:cfRule type="beginsWith" priority="181" stopIfTrue="1" operator="beginsWith" text="Not Functioning" id="{8981DC78-DC5D-433E-A132-A982714B2C49}">
            <xm:f>LEFT('Quantification Tool R2'!A42,LEN("Not Functioning"))="Not Functioning"</xm:f>
            <x14:dxf>
              <font>
                <strike val="0"/>
                <color auto="1"/>
              </font>
              <fill>
                <patternFill patternType="solid">
                  <bgColor rgb="FFFF0000"/>
                </patternFill>
              </fill>
            </x14:dxf>
          </x14:cfRule>
          <x14:cfRule type="containsText" priority="182" operator="containsText" text="Functioning" id="{9A58017F-C31A-4295-9D8E-2DE667E0E1F5}">
            <xm:f>NOT(ISERROR(SEARCH("Functioning",'Quantification Tool R2'!A42)))</xm:f>
            <x14:dxf>
              <fill>
                <patternFill>
                  <bgColor rgb="FF00B050"/>
                </patternFill>
              </fill>
            </x14:dxf>
          </x14:cfRule>
          <xm:sqref>C43:K43 A43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'Pull Down Notes'!$B$100:$B$103</xm:f>
          </x14:formula1>
          <xm:sqref>B21</xm:sqref>
        </x14:dataValidation>
        <x14:dataValidation type="list" allowBlank="1" showInputMessage="1" showErrorMessage="1">
          <x14:formula1>
            <xm:f>'Pull Down Notes'!$B$96:$B$98</xm:f>
          </x14:formula1>
          <xm:sqref>B20</xm:sqref>
        </x14:dataValidation>
        <x14:dataValidation type="list" allowBlank="1" showInputMessage="1" showErrorMessage="1">
          <x14:formula1>
            <xm:f>'Pull Down Notes'!$B$93:$B$94</xm:f>
          </x14:formula1>
          <xm:sqref>B19</xm:sqref>
        </x14:dataValidation>
        <x14:dataValidation type="list" allowBlank="1" showErrorMessage="1">
          <x14:formula1>
            <xm:f>'Pull Down Notes'!$B$107:$B$108</xm:f>
          </x14:formula1>
          <xm:sqref>B18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3"/>
  <sheetViews>
    <sheetView zoomScale="70" zoomScaleNormal="70" zoomScalePageLayoutView="70" workbookViewId="0">
      <selection activeCell="E3" sqref="E3:E38"/>
    </sheetView>
  </sheetViews>
  <sheetFormatPr defaultColWidth="8.88671875" defaultRowHeight="14.4" x14ac:dyDescent="0.3"/>
  <cols>
    <col min="1" max="1" width="35.88671875" style="14" bestFit="1" customWidth="1"/>
    <col min="2" max="2" width="35.6640625" style="14" bestFit="1" customWidth="1"/>
    <col min="3" max="4" width="24" style="14" customWidth="1"/>
    <col min="5" max="6" width="12.88671875" style="14" customWidth="1"/>
    <col min="7" max="7" width="10.5546875" style="14" customWidth="1"/>
    <col min="8" max="8" width="10.6640625" style="14" customWidth="1"/>
    <col min="9" max="9" width="12.5546875" style="316" customWidth="1"/>
    <col min="10" max="10" width="10.5546875" style="14" customWidth="1"/>
    <col min="11" max="11" width="12.5546875" style="316" customWidth="1"/>
    <col min="12" max="12" width="18.5546875" style="14" customWidth="1"/>
    <col min="13" max="13" width="13.6640625" style="14" customWidth="1"/>
    <col min="14" max="16384" width="8.88671875" style="14"/>
  </cols>
  <sheetData>
    <row r="1" spans="1:15" ht="21" x14ac:dyDescent="0.4">
      <c r="A1" s="544" t="s">
        <v>131</v>
      </c>
      <c r="B1" s="545"/>
      <c r="C1" s="545"/>
      <c r="D1" s="545"/>
      <c r="E1" s="545"/>
      <c r="F1" s="546"/>
      <c r="G1" s="544" t="s">
        <v>18</v>
      </c>
      <c r="H1" s="545"/>
      <c r="I1" s="545"/>
      <c r="J1" s="545"/>
      <c r="K1" s="546"/>
      <c r="L1" s="21"/>
    </row>
    <row r="2" spans="1:15" ht="15.6" x14ac:dyDescent="0.3">
      <c r="A2" s="158" t="s">
        <v>1</v>
      </c>
      <c r="B2" s="158" t="s">
        <v>2</v>
      </c>
      <c r="C2" s="542" t="s">
        <v>3</v>
      </c>
      <c r="D2" s="644"/>
      <c r="E2" s="158" t="s">
        <v>15</v>
      </c>
      <c r="F2" s="158" t="s">
        <v>16</v>
      </c>
      <c r="G2" s="158" t="s">
        <v>19</v>
      </c>
      <c r="H2" s="158" t="s">
        <v>20</v>
      </c>
      <c r="I2" s="314" t="s">
        <v>20</v>
      </c>
      <c r="J2" s="158" t="s">
        <v>21</v>
      </c>
      <c r="K2" s="315" t="s">
        <v>21</v>
      </c>
      <c r="L2" s="21"/>
    </row>
    <row r="3" spans="1:15" ht="15.6" x14ac:dyDescent="0.3">
      <c r="A3" s="540" t="s">
        <v>60</v>
      </c>
      <c r="B3" s="299" t="s">
        <v>86</v>
      </c>
      <c r="C3" s="52" t="s">
        <v>388</v>
      </c>
      <c r="D3" s="52"/>
      <c r="E3" s="162"/>
      <c r="F3" s="338" t="str">
        <f>IF(E3="","",IF(E3&lt;=0,0,IF(E3&gt;=0.95,1,ROUND('Reference Standards'!C$14*E3+'Reference Standards'!C$15,2))))</f>
        <v/>
      </c>
      <c r="G3" s="83" t="str">
        <f>IFERROR(AVERAGE(F3),"")</f>
        <v/>
      </c>
      <c r="H3" s="522" t="str">
        <f>IFERROR(ROUND(AVERAGE(G3:G4),2),"")</f>
        <v/>
      </c>
      <c r="I3" s="519" t="str">
        <f>IF(H3="","",IF(H3&gt;0.69,"Functioning",IF(H3&gt;0.29,"Functioning At Risk",IF(H3&gt;-1,"Not Functioning"))))</f>
        <v/>
      </c>
      <c r="J3" s="559" t="str">
        <f>IF(AND(H3="",H5="",H7="",H29="",H33=""),"",ROUND((IF(H3="",0,H3)*0.2)+(IF(H5="",0,H5)*0.2)+(IF(H7="",0,H7)*0.2)+(IF(H29="",0,H29)*0.2)+(IF(H33="",0,H33)*0.2),2))</f>
        <v/>
      </c>
      <c r="K3" s="555" t="str">
        <f>IF(J3="","",IF(J3&lt;0.3, "Not Functioning",IF(OR(H3&lt;0.7,H5&lt;0.7,H7&lt;0.7,H29&lt;0.7,H33&lt;0.7),"Functioning At Risk",IF(J3&lt;0.7,"Functioning At Risk","Functioning"))))</f>
        <v/>
      </c>
      <c r="L3" s="21"/>
      <c r="N3" s="19"/>
    </row>
    <row r="4" spans="1:15" ht="15.6" x14ac:dyDescent="0.3">
      <c r="A4" s="541"/>
      <c r="B4" s="371" t="s">
        <v>128</v>
      </c>
      <c r="C4" s="373" t="s">
        <v>161</v>
      </c>
      <c r="D4" s="374"/>
      <c r="E4" s="43"/>
      <c r="F4" s="372" t="str">
        <f>IF(E4="","",IF(E4&gt;=1,1,IF(E4&lt;=0,0,ROUND(E4,2))))</f>
        <v/>
      </c>
      <c r="G4" s="367" t="str">
        <f>IFERROR(AVERAGE(F4:F4),"")</f>
        <v/>
      </c>
      <c r="H4" s="523"/>
      <c r="I4" s="519"/>
      <c r="J4" s="559"/>
      <c r="K4" s="555"/>
      <c r="L4" s="21"/>
      <c r="N4" s="19"/>
    </row>
    <row r="5" spans="1:15" ht="15.6" x14ac:dyDescent="0.3">
      <c r="A5" s="524" t="s">
        <v>6</v>
      </c>
      <c r="B5" s="572" t="s">
        <v>7</v>
      </c>
      <c r="C5" s="54" t="s">
        <v>8</v>
      </c>
      <c r="D5" s="54"/>
      <c r="E5" s="162"/>
      <c r="F5" s="339" t="str">
        <f>IF(E5="","",ROUND(IF(E5&gt;1.6,0,IF(E5&lt;=1,1,E5^2*'Reference Standards'!K$14+E5*'Reference Standards'!K$15+'Reference Standards'!K$16)),2))</f>
        <v/>
      </c>
      <c r="G5" s="579" t="str">
        <f>IFERROR(AVERAGE(F5:F6),"")</f>
        <v/>
      </c>
      <c r="H5" s="579" t="str">
        <f>IFERROR(ROUND(AVERAGE(G5),2),"")</f>
        <v/>
      </c>
      <c r="I5" s="569" t="str">
        <f>IF(H5="","",IF(H5&gt;0.69,"Functioning",IF(H5&gt;0.29,"Functioning At Risk",IF(H5&gt;-1,"Not Functioning"))))</f>
        <v/>
      </c>
      <c r="J5" s="559"/>
      <c r="K5" s="555"/>
      <c r="L5" s="21"/>
      <c r="N5" s="19"/>
      <c r="O5" s="19"/>
    </row>
    <row r="6" spans="1:15" ht="15.6" x14ac:dyDescent="0.3">
      <c r="A6" s="525"/>
      <c r="B6" s="572"/>
      <c r="C6" s="54" t="s">
        <v>9</v>
      </c>
      <c r="D6" s="54"/>
      <c r="E6" s="163"/>
      <c r="F6" s="339" t="str">
        <f>IF(E6="","",(IF(OR('Quantification Tool R3'!B$11="A",'Quantification Tool R3'!B$11="B",'Quantification Tool R3'!$B$11="Bc"),IF(E6&lt;1.2,0,IF(E6&gt;=2.2,1,ROUND(IF(E6&lt;1.4,E6*'Reference Standards'!$K$84+'Reference Standards'!$K$85,E6*'Reference Standards'!$L$84+'Reference Standards'!$L$85),2))),IF(OR('Quantification Tool R3'!B$11="C",'Quantification Tool R3'!B$11="E"),IF(E6&lt;2,0,IF(E6&gt;=5,1,ROUND(IF(E6&lt;2.4,E6*'Reference Standards'!$L$49+'Reference Standards'!$L$50,E6*'Reference Standards'!$K$49+'Reference Standards'!$K$50),2)))))))</f>
        <v/>
      </c>
      <c r="G6" s="581"/>
      <c r="H6" s="580"/>
      <c r="I6" s="570"/>
      <c r="J6" s="559"/>
      <c r="K6" s="555"/>
      <c r="L6" s="21"/>
      <c r="N6" s="19"/>
      <c r="O6" s="19"/>
    </row>
    <row r="7" spans="1:15" ht="15.6" x14ac:dyDescent="0.3">
      <c r="A7" s="526" t="s">
        <v>26</v>
      </c>
      <c r="B7" s="557" t="s">
        <v>27</v>
      </c>
      <c r="C7" s="60" t="s">
        <v>333</v>
      </c>
      <c r="D7" s="244"/>
      <c r="E7" s="61"/>
      <c r="F7" s="340" t="str">
        <f>IF(E7="","",IF(OR(LEFT('Quantification Tool R3'!$B$12,2)="65",LEFT('Quantification Tool R3'!$B$12,2)="66",LEFT('Quantification Tool R3'!$B$12,2)="71"),IF(E7&gt;=850,1,IF(E7&lt;250,ROUND('Reference Standards'!$S$17*(E7)+'Reference Standards'!$S$18,2),ROUND('Reference Standards'!$T$17*E7+'Reference Standards'!$T$18,2))),  IF(E7&gt;=345,1,IF(E7&lt;=180,ROUND('Reference Standards'!$U$17*(E7)+'Reference Standards'!$U$18,2),ROUND('Reference Standards'!$V$17*E7+'Reference Standards'!$V$18,2))))    )</f>
        <v/>
      </c>
      <c r="G7" s="528" t="str">
        <f>IFERROR(AVERAGE(F7:F8),"")</f>
        <v/>
      </c>
      <c r="H7" s="566" t="str">
        <f>IFERROR(ROUND(AVERAGE(G7:G28),2),"")</f>
        <v/>
      </c>
      <c r="I7" s="555" t="str">
        <f>IF(H7="","",IF(H7&gt;0.69,"Functioning",IF(H7&gt;0.29,"Functioning At Risk",IF(H7&gt;-1,"Not Functioning"))))</f>
        <v/>
      </c>
      <c r="J7" s="559"/>
      <c r="K7" s="555"/>
      <c r="L7" s="21"/>
      <c r="N7" s="19"/>
      <c r="O7" s="19"/>
    </row>
    <row r="8" spans="1:15" ht="15.6" x14ac:dyDescent="0.3">
      <c r="A8" s="520"/>
      <c r="B8" s="558"/>
      <c r="C8" s="63" t="s">
        <v>323</v>
      </c>
      <c r="D8" s="245"/>
      <c r="E8" s="53"/>
      <c r="F8" s="341" t="str">
        <f>IF(E8="","",IF(OR(LEFT('Quantification Tool R3'!$B$12,2)="65",LEFT('Quantification Tool R3'!$B$12,2)="66",LEFT('Quantification Tool R3'!$B$12,2)="71"),IF(E8&gt;=30,1,IF(E8&lt;13,ROUND('Reference Standards'!$S$53*(E8)+'Reference Standards'!$S$54,2),ROUND('Reference Standards'!$T$53*E8+'Reference Standards'!$T$54,2))),  IF(E8&gt;=16,1,IF(E8&lt;=9,ROUND('Reference Standards'!$U$53*(E8)+'Reference Standards'!$U$54,2),ROUND('Reference Standards'!$V$53*E8+'Reference Standards'!$V$54,2))))    )</f>
        <v/>
      </c>
      <c r="G8" s="530"/>
      <c r="H8" s="566"/>
      <c r="I8" s="555"/>
      <c r="J8" s="559"/>
      <c r="K8" s="555"/>
      <c r="L8" s="21"/>
      <c r="N8" s="19"/>
      <c r="O8" s="19"/>
    </row>
    <row r="9" spans="1:15" ht="15.6" x14ac:dyDescent="0.3">
      <c r="A9" s="520"/>
      <c r="B9" s="520" t="s">
        <v>395</v>
      </c>
      <c r="C9" s="58" t="s">
        <v>80</v>
      </c>
      <c r="D9" s="58"/>
      <c r="E9" s="165"/>
      <c r="F9" s="340" t="str">
        <f>IF(E9="","",ROUND(IF(E9&gt;0.7,0,IF(E9&lt;=0.1,1,E9^3*'Reference Standards'!S$87+E9^2*'Reference Standards'!S$88+E9*'Reference Standards'!S$89+'Reference Standards'!S$90)),2))</f>
        <v/>
      </c>
      <c r="G9" s="528" t="str">
        <f>IFERROR(ROUND(AVERAGE(F9:F12),2),"")</f>
        <v/>
      </c>
      <c r="H9" s="567"/>
      <c r="I9" s="555"/>
      <c r="J9" s="559"/>
      <c r="K9" s="555"/>
      <c r="L9" s="21"/>
      <c r="N9" s="19"/>
      <c r="O9" s="19"/>
    </row>
    <row r="10" spans="1:15" ht="15.6" x14ac:dyDescent="0.3">
      <c r="A10" s="520"/>
      <c r="B10" s="520"/>
      <c r="C10" s="58" t="s">
        <v>49</v>
      </c>
      <c r="D10" s="58"/>
      <c r="E10" s="165"/>
      <c r="F10" s="84" t="str">
        <f>IF(E10="","",IF(OR(E10="Ex/Ex",E10="Ex/VH"),0, IF(OR(E10="Ex/H",E10="VH/Ex",E10="VH/VH", E10="H/Ex",E10="H/VH",E10="M/Ex"),0.1,IF(OR(E10="Ex/M",E10="VH/H",E10="H/H", E10="M/VH"),0.2, IF(OR(E10="Ex/L",E10="VH/M",E10="H/M", E10="M/H",E10="L/Ex"),0.3, IF(OR(E10="Ex/VL",E10="VH/L",E10="H/L"),0.4, IF(OR(E10="VH/VL",E10="H/VL",E10="M/M", E10="L/VH"),0.5, IF(OR(E10="M/L",E10="L/H"),0.6, IF(OR(E10="M/VL",E10="L/M"),0.7, IF(OR(E10="L/L",E10="L/VL"),1))))))))))</f>
        <v/>
      </c>
      <c r="G10" s="529"/>
      <c r="H10" s="567"/>
      <c r="I10" s="555"/>
      <c r="J10" s="559"/>
      <c r="K10" s="555"/>
      <c r="L10" s="21"/>
      <c r="N10" s="19"/>
      <c r="O10" s="19"/>
    </row>
    <row r="11" spans="1:15" ht="15.6" x14ac:dyDescent="0.3">
      <c r="A11" s="520"/>
      <c r="B11" s="520"/>
      <c r="C11" s="58" t="s">
        <v>87</v>
      </c>
      <c r="D11" s="58"/>
      <c r="E11" s="165"/>
      <c r="F11" s="84" t="str">
        <f>IF(E11="","",ROUND(IF(E11&gt;40,0,IF(E11&lt;5,1,E11^3*'Reference Standards'!S$122+E11^2*'Reference Standards'!S$123+E11*'Reference Standards'!S$124+'Reference Standards'!S$125)),2))</f>
        <v/>
      </c>
      <c r="G11" s="529"/>
      <c r="H11" s="567"/>
      <c r="I11" s="555"/>
      <c r="J11" s="559"/>
      <c r="K11" s="555"/>
      <c r="L11" s="21"/>
      <c r="N11" s="19"/>
      <c r="O11" s="19"/>
    </row>
    <row r="12" spans="1:15" ht="15.6" x14ac:dyDescent="0.3">
      <c r="A12" s="520"/>
      <c r="B12" s="521"/>
      <c r="C12" s="59" t="s">
        <v>394</v>
      </c>
      <c r="D12" s="59"/>
      <c r="E12" s="167"/>
      <c r="F12" s="341" t="str">
        <f>IF(E12="","",ROUND(IF(E12&gt;=30,0,IF(E12&lt;=0,1,E12*'Reference Standards'!S$156+'Reference Standards'!S$157)),2))</f>
        <v/>
      </c>
      <c r="G12" s="530"/>
      <c r="H12" s="567"/>
      <c r="I12" s="555"/>
      <c r="J12" s="559"/>
      <c r="K12" s="555"/>
      <c r="L12" s="21"/>
      <c r="N12" s="19"/>
      <c r="O12" s="19"/>
    </row>
    <row r="13" spans="1:15" ht="15.6" x14ac:dyDescent="0.3">
      <c r="A13" s="520"/>
      <c r="B13" s="520" t="s">
        <v>50</v>
      </c>
      <c r="C13" s="60" t="s">
        <v>377</v>
      </c>
      <c r="D13" s="64"/>
      <c r="E13" s="136"/>
      <c r="F13" s="294" t="str">
        <f>IF(E13="","",ROUND(IF(E13&gt;9.2,1,E13*'Reference Standards'!$S$189+'Reference Standards'!$S$190),2))</f>
        <v/>
      </c>
      <c r="G13" s="552" t="str">
        <f>IFERROR(ROUND(AVERAGE(F13:F22),2),"")</f>
        <v/>
      </c>
      <c r="H13" s="567"/>
      <c r="I13" s="555"/>
      <c r="J13" s="559"/>
      <c r="K13" s="555"/>
      <c r="L13" s="21"/>
      <c r="N13" s="19"/>
      <c r="O13" s="19"/>
    </row>
    <row r="14" spans="1:15" ht="15.6" x14ac:dyDescent="0.3">
      <c r="A14" s="520"/>
      <c r="B14" s="520"/>
      <c r="C14" s="62" t="s">
        <v>378</v>
      </c>
      <c r="D14" s="58"/>
      <c r="E14" s="162"/>
      <c r="F14" s="294" t="str">
        <f>IF(E14="","",ROUND(IF(E14&gt;9.2,1,E14*'Reference Standards'!$S$189+'Reference Standards'!$S$190),2))</f>
        <v/>
      </c>
      <c r="G14" s="553"/>
      <c r="H14" s="567"/>
      <c r="I14" s="555"/>
      <c r="J14" s="559"/>
      <c r="K14" s="555"/>
      <c r="L14" s="21"/>
      <c r="N14" s="19"/>
      <c r="O14" s="19"/>
    </row>
    <row r="15" spans="1:15" ht="15.6" x14ac:dyDescent="0.3">
      <c r="A15" s="520"/>
      <c r="B15" s="520"/>
      <c r="C15" s="62" t="s">
        <v>379</v>
      </c>
      <c r="D15" s="58"/>
      <c r="E15" s="162"/>
      <c r="F15" s="294" t="str">
        <f>IF(E15="","",ROUND( IF(E15&gt;=200,1,IF(E15&lt;50, E15^2*'Reference Standards'!S$224+E15*'Reference Standards'!S$225+'Reference Standards'!S$226, E15*'Reference Standards'!T$224+'Reference Standards'!T$225)),2))</f>
        <v/>
      </c>
      <c r="G15" s="553"/>
      <c r="H15" s="567"/>
      <c r="I15" s="555"/>
      <c r="J15" s="559"/>
      <c r="K15" s="555"/>
      <c r="L15" s="21"/>
      <c r="N15" s="19"/>
      <c r="O15" s="19"/>
    </row>
    <row r="16" spans="1:15" ht="15.6" x14ac:dyDescent="0.3">
      <c r="A16" s="520"/>
      <c r="B16" s="520"/>
      <c r="C16" s="62" t="s">
        <v>380</v>
      </c>
      <c r="D16" s="58"/>
      <c r="E16" s="162"/>
      <c r="F16" s="294" t="str">
        <f>IF(E16="","",ROUND( IF(E16&gt;=200,1,IF(E16&lt;50, E16^2*'Reference Standards'!S$224+E16*'Reference Standards'!S$225+'Reference Standards'!S$226, E16*'Reference Standards'!T$224+'Reference Standards'!T$225)),2))</f>
        <v/>
      </c>
      <c r="G16" s="553"/>
      <c r="H16" s="567"/>
      <c r="I16" s="555"/>
      <c r="J16" s="559"/>
      <c r="K16" s="555"/>
      <c r="L16" s="21"/>
      <c r="N16" s="19"/>
      <c r="O16" s="19"/>
    </row>
    <row r="17" spans="1:15" ht="15.6" x14ac:dyDescent="0.3">
      <c r="A17" s="520"/>
      <c r="B17" s="520"/>
      <c r="C17" s="58" t="s">
        <v>381</v>
      </c>
      <c r="D17" s="58"/>
      <c r="E17" s="162"/>
      <c r="F17" s="294" t="str">
        <f>IF(E17="","",ROUND(IF(AND(E17&gt;=135,E17&lt;=262),1,IF(  E17&gt;=366,0.5, IF(E17&lt;135,E17*'Reference Standards'!S$259+'Reference Standards'!S$260, E17*'Reference Standards'!T$259+'Reference Standards'!T$260))),2))</f>
        <v/>
      </c>
      <c r="G17" s="553"/>
      <c r="H17" s="567"/>
      <c r="I17" s="555"/>
      <c r="J17" s="559"/>
      <c r="K17" s="555"/>
      <c r="L17" s="21"/>
      <c r="N17" s="19"/>
      <c r="O17" s="19"/>
    </row>
    <row r="18" spans="1:15" ht="15.6" x14ac:dyDescent="0.3">
      <c r="A18" s="520"/>
      <c r="B18" s="520"/>
      <c r="C18" s="58" t="s">
        <v>382</v>
      </c>
      <c r="D18" s="58"/>
      <c r="E18" s="162"/>
      <c r="F18" s="294" t="str">
        <f>IF(E18="","",ROUND(IF(AND(E18&gt;=135,E18&lt;=262),1,IF(  E18&gt;=366,0.5, IF(E18&lt;135,E18*'Reference Standards'!S$259+'Reference Standards'!S$260, E18*'Reference Standards'!T$259+'Reference Standards'!T$260))),2))</f>
        <v/>
      </c>
      <c r="G18" s="553"/>
      <c r="H18" s="567"/>
      <c r="I18" s="555"/>
      <c r="J18" s="559"/>
      <c r="K18" s="555"/>
      <c r="L18" s="21"/>
      <c r="N18" s="19"/>
      <c r="O18" s="19"/>
    </row>
    <row r="19" spans="1:15" ht="15.6" x14ac:dyDescent="0.3">
      <c r="A19" s="520"/>
      <c r="B19" s="520"/>
      <c r="C19" s="58" t="s">
        <v>383</v>
      </c>
      <c r="D19" s="58"/>
      <c r="E19" s="162"/>
      <c r="F19" s="84" t="str">
        <f>IF(E19="","",ROUND(IF(E19&gt;=75,1,IF(E19&lt;=0,0,E19*'Reference Standards'!S$330)),2))</f>
        <v/>
      </c>
      <c r="G19" s="553"/>
      <c r="H19" s="567"/>
      <c r="I19" s="555"/>
      <c r="J19" s="559"/>
      <c r="K19" s="555"/>
      <c r="L19" s="21"/>
      <c r="N19" s="19"/>
      <c r="O19" s="19"/>
    </row>
    <row r="20" spans="1:15" ht="15.6" x14ac:dyDescent="0.3">
      <c r="A20" s="520"/>
      <c r="B20" s="520"/>
      <c r="C20" s="58" t="s">
        <v>384</v>
      </c>
      <c r="D20" s="58"/>
      <c r="E20" s="162"/>
      <c r="F20" s="84" t="str">
        <f>IF(E20="","",ROUND(IF(E20&gt;=75,1,IF(E20&lt;=0,0,E20*'Reference Standards'!S$330)),2))</f>
        <v/>
      </c>
      <c r="G20" s="553"/>
      <c r="H20" s="567"/>
      <c r="I20" s="555"/>
      <c r="J20" s="559"/>
      <c r="K20" s="555"/>
      <c r="L20" s="21"/>
      <c r="N20" s="19"/>
      <c r="O20" s="19"/>
    </row>
    <row r="21" spans="1:15" ht="15.6" x14ac:dyDescent="0.3">
      <c r="A21" s="520"/>
      <c r="B21" s="520"/>
      <c r="C21" s="58" t="s">
        <v>385</v>
      </c>
      <c r="D21" s="58"/>
      <c r="E21" s="162"/>
      <c r="F21" s="294" t="str">
        <f>IF(E21="","",ROUND(IF(AND(E21&gt;=36.3,E21&lt;=68),1,IF(E21&gt;100,0,IF(E21&lt;36.3,(('Reference Standards'!S$297*(E21^2))+('Reference Standards'!S$298*E21)+'Reference Standards'!S$299),IF(E21&gt;68,(('Reference Standards'!T$297*(E21^2))+('Reference Standards'!T$298*E21)+'Reference Standards'!T$299))))),2))</f>
        <v/>
      </c>
      <c r="G21" s="553"/>
      <c r="H21" s="567"/>
      <c r="I21" s="555"/>
      <c r="J21" s="559"/>
      <c r="K21" s="555"/>
      <c r="L21" s="21"/>
      <c r="N21" s="19"/>
      <c r="O21" s="19"/>
    </row>
    <row r="22" spans="1:15" ht="15.6" x14ac:dyDescent="0.3">
      <c r="A22" s="520"/>
      <c r="B22" s="521"/>
      <c r="C22" s="58" t="s">
        <v>386</v>
      </c>
      <c r="D22" s="65"/>
      <c r="E22" s="162"/>
      <c r="F22" s="294" t="str">
        <f>IF(E22="","",ROUND(IF(AND(E22&gt;=36.3,E22&lt;=68),1,IF(E22&gt;100,0,IF(E22&lt;36.3,(('Reference Standards'!S$297*(E22^2))+('Reference Standards'!S$298*E22)+'Reference Standards'!S$299),IF(E22&gt;68,(('Reference Standards'!T$297*(E22^2))+('Reference Standards'!T$298*E22)+'Reference Standards'!T$299))))),2))</f>
        <v/>
      </c>
      <c r="G22" s="554"/>
      <c r="H22" s="567"/>
      <c r="I22" s="555"/>
      <c r="J22" s="559"/>
      <c r="K22" s="555"/>
      <c r="L22" s="21"/>
      <c r="N22" s="19"/>
      <c r="O22" s="19"/>
    </row>
    <row r="23" spans="1:15" ht="15.6" x14ac:dyDescent="0.3">
      <c r="A23" s="520"/>
      <c r="B23" s="56" t="s">
        <v>108</v>
      </c>
      <c r="C23" s="72" t="s">
        <v>130</v>
      </c>
      <c r="D23" s="58"/>
      <c r="E23" s="43"/>
      <c r="F23" s="82" t="str">
        <f>IF(E23="","",IF(OR('Quantification Tool R3'!B$14="Gravel",'Quantification Tool R3'!B$14="Cobble"),IF(E23&gt;0.1,1,IF(E23&lt;=0.01,0,ROUND(E23*'Reference Standards'!$S$362+'Reference Standards'!$S$363,2)))))</f>
        <v/>
      </c>
      <c r="G23" s="82" t="str">
        <f>IFERROR(AVERAGE(F23),"")</f>
        <v/>
      </c>
      <c r="H23" s="567"/>
      <c r="I23" s="555"/>
      <c r="J23" s="559"/>
      <c r="K23" s="555"/>
      <c r="L23" s="21"/>
      <c r="N23" s="19"/>
      <c r="O23" s="19"/>
    </row>
    <row r="24" spans="1:15" ht="15.6" x14ac:dyDescent="0.3">
      <c r="A24" s="520"/>
      <c r="B24" s="526" t="s">
        <v>51</v>
      </c>
      <c r="C24" s="64" t="s">
        <v>52</v>
      </c>
      <c r="D24" s="64"/>
      <c r="E24" s="166"/>
      <c r="F24" s="337" t="str">
        <f>IF(E24="","",IF(ISNUMBER('Quantification Tool R3'!$B$17),IF('Quantification Tool R3'!$B$17&lt;=2,IF(AND(E24&gt;=3,E24&lt;=5),1,IF(OR(E24&lt;=1,E24&gt;=7),0,ROUND(IF(E24&lt;3,E24*'Reference Standards'!S$398+'Reference Standards'!S$399,E24*'Reference Standards'!T$398+'Reference Standards'!T$399),2))),IF(E24&lt;=2.5,1,IF(E24&gt;=5.8,0,ROUND(E24*'Reference Standards'!S$430+'Reference Standards'!S$431,2))))))</f>
        <v/>
      </c>
      <c r="G24" s="528" t="str">
        <f>IFERROR(AVERAGE(F24:F27),"")</f>
        <v/>
      </c>
      <c r="H24" s="567"/>
      <c r="I24" s="555"/>
      <c r="J24" s="559"/>
      <c r="K24" s="555"/>
      <c r="L24" s="21"/>
      <c r="N24" s="19"/>
      <c r="O24" s="19"/>
    </row>
    <row r="25" spans="1:15" ht="15.6" x14ac:dyDescent="0.3">
      <c r="A25" s="520"/>
      <c r="B25" s="520"/>
      <c r="C25" s="58" t="s">
        <v>53</v>
      </c>
      <c r="D25" s="58"/>
      <c r="E25" s="165"/>
      <c r="F25" s="84" t="str">
        <f>IF(E25="","", IF( E25&gt;=2.4,1, IF(E25&lt;=1,0,  ROUND(IF(E25&lt;2.4, E25*'Reference Standards'!$S$464+'Reference Standards'!$S$465  ),2))))</f>
        <v/>
      </c>
      <c r="G25" s="529"/>
      <c r="H25" s="567"/>
      <c r="I25" s="555"/>
      <c r="J25" s="559"/>
      <c r="K25" s="555"/>
      <c r="L25" s="21"/>
      <c r="N25" s="19"/>
      <c r="O25" s="19"/>
    </row>
    <row r="26" spans="1:15" ht="15.6" x14ac:dyDescent="0.3">
      <c r="A26" s="520"/>
      <c r="B26" s="520"/>
      <c r="C26" s="58" t="s">
        <v>334</v>
      </c>
      <c r="D26" s="58"/>
      <c r="E26" s="165"/>
      <c r="F26" s="390" t="str">
        <f>IF(E26="","", IF(LEFT('Quantification Tool R3'!$B$12,2)="67",  IF( AND(E26&gt;=45,E26&lt;=65),1, IF(OR(E26&lt;=20,E26&gt;=90),0, ROUND(  IF(E26&lt;45, E26*'Reference Standards'!$S$498+'Reference Standards'!$S$499,E26*'Reference Standards'!$T$498+'Reference Standards'!$T$499),2))), IF(OR(  LEFT('Quantification Tool R3'!$B$12,2)="68", LEFT('Quantification Tool R3'!$B$12,2)="69",LEFT('Quantification Tool R3'!$B$12,2)="71"),  IF( AND(E26&gt;=30,E26&lt;=50),1, IF(OR(E26&lt;=10,E26&gt;=70),0, ROUND(  IF(E26&lt;30, E26*'Reference Standards'!$S$533+'Reference Standards'!$S$534,E26*'Reference Standards'!$T$533+'Reference Standards'!$T$534),2))), IF(LEFT('Quantification Tool R3'!$B$12,2)="66",  IF( AND(E26&gt;=20,E26&lt;=45),1, IF(OR(E26&lt;=0,E26&gt;=90),0, ROUND(  IF(E26&lt;20, E26*'Reference Standards'!$S$567+'Reference Standards'!$S$568,E26*'Reference Standards'!$T$567+'Reference Standards'!$T$568),2))), IF(OR(  LEFT('Quantification Tool R3'!$B$12,2)="65", LEFT('Quantification Tool R3'!$B$12,2)="74", LEFT('Quantification Tool R3'!$B$12,2)="73"),  IF( AND(E26&gt;=20,E26&lt;=30),1, IF(OR(E26&lt;=0,E26&gt;=50),0, ROUND(  IF(E26&lt;20, E26*'Reference Standards'!$S$601+'Reference Standards'!$S$602,E26*'Reference Standards'!$T$601+'Reference Standards'!$T$602),2))))))))</f>
        <v/>
      </c>
      <c r="G26" s="529"/>
      <c r="H26" s="567"/>
      <c r="I26" s="555"/>
      <c r="J26" s="559"/>
      <c r="K26" s="555"/>
      <c r="L26" s="21"/>
      <c r="N26" s="19"/>
      <c r="O26" s="19"/>
    </row>
    <row r="27" spans="1:15" ht="15.6" x14ac:dyDescent="0.3">
      <c r="A27" s="520"/>
      <c r="B27" s="521"/>
      <c r="C27" s="62" t="s">
        <v>210</v>
      </c>
      <c r="D27" s="58"/>
      <c r="E27" s="167"/>
      <c r="F27" s="391" t="str">
        <f>IF(E27="","",IF(E27&gt;=1.6,0,IF(E27&lt;=1,1,ROUND('Reference Standards'!$S$633*E27^3+'Reference Standards'!$S$634*E27^2+'Reference Standards'!$S$635*E27+'Reference Standards'!$S$636,2))))</f>
        <v/>
      </c>
      <c r="G27" s="530"/>
      <c r="H27" s="567"/>
      <c r="I27" s="555"/>
      <c r="J27" s="559"/>
      <c r="K27" s="555"/>
      <c r="L27" s="21"/>
      <c r="N27" s="19"/>
      <c r="O27" s="19"/>
    </row>
    <row r="28" spans="1:15" ht="15.6" x14ac:dyDescent="0.3">
      <c r="A28" s="521"/>
      <c r="B28" s="296" t="s">
        <v>55</v>
      </c>
      <c r="C28" s="242" t="s">
        <v>54</v>
      </c>
      <c r="D28" s="243"/>
      <c r="E28" s="163"/>
      <c r="F28" s="342" t="str">
        <f>IF(E28="","",IF(AND('Quantification Tool R3'!B$11="E",'Quantification Tool R3'!$B$14="Sand",'Quantification Tool R3'!$B$21="Unconfined Alluvial"),ROUND(IF(OR(E28&gt;1.8,E28&lt;1.3),0,IF(E28&lt;=1.6,1,E28*'Reference Standards'!S$667+'Reference Standards'!S$668)),2),    IF('Quantification Tool R3'!$B$21="Unconfined Alluvial",ROUND(IF(OR(E28&lt;1.2, E28&gt;1.5),0,IF(E28&lt;=1.4,1,E28*'Reference Standards'!$S$700+'Reference Standards'!$S$701)),2), IF('Quantification Tool R3'!$B$21="Confined Alluvial",ROUND(IF(E28&lt;1.15,0,IF(E28&lt;=1.4,E28*'Reference Standards'!$S$729+'Reference Standards'!$S$730,1)),2),  IF('Quantification Tool R3'!$B$21="Colluvial",ROUND(IF(E28&gt;1.3,0,IF(E28&gt;1.2,E28*'Reference Standards'!$S$760+'Reference Standards'!$S$761,1)),2) )))))</f>
        <v/>
      </c>
      <c r="G28" s="84" t="str">
        <f>IFERROR(AVERAGE(F28),"")</f>
        <v/>
      </c>
      <c r="H28" s="567"/>
      <c r="I28" s="555"/>
      <c r="J28" s="559"/>
      <c r="K28" s="555"/>
      <c r="L28" s="21"/>
      <c r="N28" s="19"/>
      <c r="O28" s="19"/>
    </row>
    <row r="29" spans="1:15" ht="15.6" x14ac:dyDescent="0.3">
      <c r="A29" s="537" t="s">
        <v>58</v>
      </c>
      <c r="B29" s="67" t="s">
        <v>88</v>
      </c>
      <c r="C29" s="70" t="s">
        <v>338</v>
      </c>
      <c r="D29" s="70"/>
      <c r="E29" s="43"/>
      <c r="F29" s="343" t="str">
        <f>IF(E29="","",ROUND(IF(E29&gt;=942,0,IF(E29&lt;=487,E29*'Reference Standards'!AB$15+'Reference Standards'!AB$16,E29*'Reference Standards'!$AC$15+'Reference Standards'!$AC$16)),2))</f>
        <v/>
      </c>
      <c r="G29" s="85" t="str">
        <f>IFERROR(AVERAGE(F29),"")</f>
        <v/>
      </c>
      <c r="H29" s="547" t="str">
        <f>IFERROR(ROUND(AVERAGE(G29:G32),2),"")</f>
        <v/>
      </c>
      <c r="I29" s="534" t="str">
        <f>IF(H29="","",IF(H29&gt;0.69,"Functioning",IF(H29&gt;0.29,"Functioning At Risk",IF(H29&gt;-1,"Not Functioning"))))</f>
        <v/>
      </c>
      <c r="J29" s="559"/>
      <c r="K29" s="555"/>
      <c r="L29" s="21"/>
      <c r="O29" s="19"/>
    </row>
    <row r="30" spans="1:15" ht="15.6" x14ac:dyDescent="0.3">
      <c r="A30" s="538"/>
      <c r="B30" s="297" t="s">
        <v>362</v>
      </c>
      <c r="C30" s="66" t="s">
        <v>354</v>
      </c>
      <c r="D30" s="66"/>
      <c r="E30" s="163"/>
      <c r="F30" s="344" t="str">
        <f>IF(E30="","",IF(OR('Quantification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June")),IF(E30&gt;93,0,IF(E30&lt;13,1,ROUND('Reference Standards'!$AB$53*E30^2+'Reference Standards'!$AB$54*E30+'Reference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R3'!$B$12="73b"),IF(E30&gt;94,0,IF(E30&lt;17,1,ROUND('Reference Standards'!$AC$53*E30^2+'Reference Standards'!$AC$54*E30+'Reference Standards'!$AC$55,2))),    IF(OR(AND(OR('Quantification Tool R3'!$B$12="68b",'Quantification Tool R3'!$B$12="71i"),'Quantification Tool R3'!$B$13&gt;2), 'Quantification Tool R3'!$B$12="71e"),IF(E30&gt;91,0,IF(E30&lt;24,1,ROUND('Reference Standards'!$AD$53*E30^2+'Reference Standards'!$AD$54*E30+'Reference Standards'!$AD$55,2))),  IF(OR(AND(OR('Quantification Tool R3'!$B$12="71f",'Quantification Tool R3'!$B$12="71g",'Quantification Tool R3'!$B$12="71h",'Quantification Tool R3'!$B$12="71i"),'Quantification Tool R3'!$B$13&lt;=2), AND('Quantification Tool R3'!$B$12="74a",'Quantification Tool R3'!$B$13&gt;2)),IF(E30&gt;95,0,IF(E30&lt;=36,1,ROUND('Reference Standards'!$AE$53*E30^2+'Reference Standards'!$AE$54*E30+'Reference Standards'!$AE$55,2))))))))</f>
        <v/>
      </c>
      <c r="G30" s="236" t="str">
        <f>IFERROR(AVERAGE(F30:F30),"")</f>
        <v/>
      </c>
      <c r="H30" s="548"/>
      <c r="I30" s="535"/>
      <c r="J30" s="559"/>
      <c r="K30" s="555"/>
      <c r="L30" s="21"/>
      <c r="O30" s="19"/>
    </row>
    <row r="31" spans="1:15" ht="15.6" x14ac:dyDescent="0.3">
      <c r="A31" s="538"/>
      <c r="B31" s="67" t="s">
        <v>81</v>
      </c>
      <c r="C31" s="68" t="s">
        <v>281</v>
      </c>
      <c r="D31" s="68"/>
      <c r="E31" s="162"/>
      <c r="F31" s="344" t="str">
        <f>IF(E31="","",IF(ISNUMBER('Quantification Tool R3'!$B$13),IF(OR('Quantification Tool R3'!$B$12="66e",'Quantification Tool R3'!$B$12="66f",'Quantification Tool R3'!$B$12="66g"),ROUND(IF(E31&gt;=0.61,0,IF(E31&lt;=0.01,1,IF(E31&lt;=0.06,E31*'Reference Standards'!$AD$197+'Reference Standards'!$AD$198,E31^2*'Reference Standards'!$AB$196+E31*'Reference Standards'!$AB$197+'Reference Standards'!$AB$198))),2),IF('Quantification Tool R3'!$B$12="68b",ROUND(IF(E31&gt;=1.1,0,IF(E31&lt;=0.17,1,IF(E31&lt;=0.22,E31*'Reference Standards'!$AE$197+'Reference Standards'!$AE$198,E31^2*'Reference Standards'!$AC$196+E31*'Reference Standards'!$AC$197+'Reference Standards'!$AC$198))),2),IF('Quantification Tool R3'!$B$13&lt;=2.5,IF('Quantification Tool R3'!$B$12="69de",ROUND(IF(E31&gt;=0.22,0,IF(E31&lt;=0.01,1,E31^2*'Reference Standards'!$AB$90+E31*'Reference Standards'!$AB$91+'Reference Standards'!$AB$92)),2),IF('Quantification Tool R3'!$B$12="68c",ROUND(IF(E31&gt;=0.87,0,IF(E31&lt;=0.01,1,E31^2*'Reference Standards'!$AC$90+E31*'Reference Standards'!$AC$91+'Reference Standards'!$AC$92)),2),IF('Quantification Tool R3'!$B$12="68a",ROUND(IF(E31&gt;=0.81,0,IF(E31&lt;=0.01,1,E31^2*'Reference Standards'!$AD$90+E31*'Reference Standards'!$AD$91+'Reference Standards'!$AD$92)),2),IF('Quantification Tool R3'!$B$12="65abei",ROUND(IF(E31&gt;=0.67,0,IF(E31&lt;=0.01,1,IF(E31&lt;=0.18,E31*'Reference Standards'!$AG$91+'Reference Standards'!$AG$92,E31*'Reference Standards'!$AE$91+'Reference Standards'!$AE$92))),2),IF('Quantification Tool R3'!$B$12="65j",ROUND(IF(E31&gt;=0.32,0,IF(E31&lt;=0.01,1,IF(E31&lt;=0.25,E31*'Reference Standards'!$AH$91+'Reference Standards'!$AH$92,E31*'Reference Standards'!$AF$91+'Reference Standards'!$AF$92))),2),IF('Quantification Tool R3'!$B$12="71f",ROUND(IF(E31&gt;=3,0,IF(E31&lt;=0,1,IF(E31&lt;=0.01,0.7,E31^2*'Reference Standards'!$AB$126+E31*'Reference Standards'!$AB$127+'Reference Standards'!$AB$128))),2),IF('Quantification Tool R3'!$B$12="74a",ROUND(IF(E31&gt;=0.14,0,IF(E31&lt;=0.01,1,IF(E31&lt;=0.02,0.7,E31^2*'Reference Standards'!$AC$126+E31*'Reference Standards'!$AC$127+'Reference Standards'!$AC$128))),2),IF(OR('Quantification Tool R3'!$B$12="67fhi",'Quantification Tool R3'!$B$12="67g"),ROUND(IF(E31&gt;=1.9,0,IF(E31&lt;=0.01,1,IF(E31&lt;=0.05,E31*'Reference Standards'!$AF$127+'Reference Standards'!$AF$128,E31^2*'Reference Standards'!$AD$126+E31*'Reference Standards'!$AD$127+'Reference Standards'!$AD$128))),2),IF('Quantification Tool R3'!$B$12="73a",ROUND(IF(E31&gt;=1.44,0,IF(E31&lt;=0.01,1,IF(E31&lt;=0.12,E31*'Reference Standards'!$AG$127+'Reference Standards'!$AG$128,E31^2*'Reference Standards'!$AE$126+E31*'Reference Standards'!$AE$127+'Reference Standards'!$AE$128))),2),IF('Quantification Tool R3'!$B$12="66d",ROUND(IF(E31&gt;=0.46,0,IF(E31&lt;=0.02,1,IF(E31&lt;=0.08,E31*'Reference Standards'!$AF$163+'Reference Standards'!$AF$164,E31^2*'Reference Standards'!$AB$162+E31*'Reference Standards'!$AB$163+'Reference Standards'!$AB$164))),2),IF(OR('Quantification Tool R3'!$B$12="71g",'Quantification Tool R3'!$B$12="71h",'Quantification Tool R3'!$B$12="71i"),ROUND(IF(E31&gt;=3,0,IF(E31&lt;=0.06,1,IF(E31&lt;=0.24,E31*'Reference Standards'!$AG$163+'Reference Standards'!$AG$164,E31^2*'Reference Standards'!$AC$162+E31*'Reference Standards'!$AC$163+'Reference Standards'!$AC$164))),2),IF('Quantification Tool R3'!$B$12="74b",ROUND(IF(E31&gt;=1.3,0,IF(E31&lt;=0.29,1,IF(E31&lt;=0.48,E31*'Reference Standards'!$AH$163+'Reference Standards'!$AH$164,E31^2*'Reference Standards'!$AD$162+E31*'Reference Standards'!$AD$163+'Reference Standards'!$AD$164))),2),IF('Quantification Tool R3'!$B$12="71e",ROUND(IF(E31&gt;=4.3,0,IF(E31&lt;=0.53,1,IF(E31&lt;=0.67,E31*'Reference Standards'!$AI$163+'Reference Standards'!$AI$164,E31^2*'Reference Standards'!$AE$162+E31*'Reference Standards'!$AE$163+'Reference Standards'!$AE$164))),2)))))))))))))),IF('Quantification Tool R3'!$B$13&gt;2.5,IF('Quantification Tool R3'!$B$12="73a",ROUND(IF(E31&gt;=0.55,0,IF(E31&lt;=0,1,E31^2*'Reference Standards'!$AB$232+E31*'Reference Standards'!$AB$233+'Reference Standards'!$AB$234)),2),IF('Quantification Tool R3'!$B$12="68a",ROUND(IF(E31&gt;=0.54,0,IF(E31&lt;=0,1,IF(E31&lt;=0.01,0.85,E31^2*'Reference Standards'!$AC$232+E31*'Reference Standards'!$AC$233+'Reference Standards'!$AC$234))),2),IF('Quantification Tool R3'!$B$12="74a",ROUND(IF(E31&gt;=0.47,0,IF(E31&lt;=0.01,1,IF(E31&lt;=0.02,0.7,E31^2*'Reference Standards'!$AD$232+E31*'Reference Standards'!$AD$233+'Reference Standards'!$AD$234))),2),IF('Quantification Tool R3'!$B$12="69de",ROUND(IF(E31&gt;=0.26,0,IF(E31&lt;=0.01,1,IF(E31&lt;=0.02,0.85,E31^2*'Reference Standards'!$AE$232+E31*'Reference Standards'!$AE$233+'Reference Standards'!$AE$234))),2),IF('Quantification Tool R3'!$B$12="71f",ROUND(IF(E31&gt;=0.87,0,IF(E31&lt;=0.01,1,IF(E31&lt;=0.04,E31*'Reference Standards'!$AF$269+'Reference Standards'!$AF$270,E31^2*'Reference Standards'!$AB$268+E31*'Reference Standards'!$AB$269+'Reference Standards'!$AB$270))),2),IF('Quantification Tool R3'!$B$12="65abei",ROUND(IF(E31&gt;=0.82,0,IF(E31&lt;=0.01,1,IF(E31&lt;=0.06,E31*'Reference Standards'!$AG$269+'Reference Standards'!$AG$270,E31^2*'Reference Standards'!$AC$268+E31*'Reference Standards'!$AC$269+'Reference Standards'!$AC$270))),2),IF('Quantification Tool R3'!$B$12="65j",ROUND(IF(E31&gt;=0.33,0,IF(E31&lt;=0.03,1,IF(E31&lt;=0.09,E31*'Reference Standards'!$AH$269+'Reference Standards'!$AH$270,E31^2*'Reference Standards'!$AD$268+E31*'Reference Standards'!$AD$269+'Reference Standards'!$AD$270))),2),IF('Quantification Tool R3'!$B$12="68c",ROUND(IF(E31&gt;=0.7,0,IF(E31&lt;=0.07,1,IF(E31&lt;=0.12,E31*'Reference Standards'!$AI$269+'Reference Standards'!$AI$270,E31^2*'Reference Standards'!$AE$268+E31*'Reference Standards'!$AE$269+'Reference Standards'!$AE$270))),2),IF(OR('Quantification Tool R3'!$B$12="67fhi",'Quantification Tool R3'!$B$12="67g"),ROUND(IF(E31&gt;=1.8,0,IF(E31&lt;=0.08,1,IF(E31&lt;=0.2,E31*'Reference Standards'!$AF$306+'Reference Standards'!$AF$307,E31^2*'Reference Standards'!$AB$305+E31*'Reference Standards'!$AB$306+'Reference Standards'!$AB$307))),2),IF('Quantification Tool R3'!$B$12="74b",ROUND(IF(E31&gt;=0.96,0,IF(E31&lt;=0.12,1,IF(E31&lt;=0.16,E31*'Reference Standards'!$AG$306+'Reference Standards'!$AG$307,E31^2*'Reference Standards'!$AC$305+E31*'Reference Standards'!$AC$306+'Reference Standards'!$AC$307))),2),IF('Quantification Tool R3'!$B$12="66d",ROUND(IF(E31&gt;=0.75,0,IF(E31&lt;=0.13,1,IF(E31&lt;=0.2,E31*'Reference Standards'!$AH$306+'Reference Standards'!$AH$307,E31^2*'Reference Standards'!$AD$305+E31*'Reference Standards'!$AD$306+'Reference Standards'!$AD$307))),2),IF(OR('Quantification Tool R3'!$B$12="71g",'Quantification Tool R3'!$B$12="71h",'Quantification Tool R3'!$B$12="71i"),ROUND(IF(E31&gt;=1.68,0,IF(E31&lt;=0.08,1,IF(E31&lt;=0.23,E31*'Reference Standards'!$AI$306+'Reference Standards'!$AI$307,E31^2*'Reference Standards'!$AE$305+E31*'Reference Standards'!$AE$306+'Reference Standards'!$AE$307))),2),IF('Quantification Tool R3'!$B$12="71e",ROUND(IF(E31&gt;=5.3,0,IF(E31&lt;=0.94,1,IF(E31&lt;=1.4,E31*'Reference Standards'!$AF$310+'Reference Standards'!$AF$311,E31^2*'Reference Standards'!$AB$309+E31*'Reference Standards'!$AB$310+'Reference Standards'!$AB$311))),2))))))))))))))))))))</f>
        <v/>
      </c>
      <c r="G31" s="86" t="str">
        <f>IFERROR(AVERAGE(F31),"")</f>
        <v/>
      </c>
      <c r="H31" s="548"/>
      <c r="I31" s="535"/>
      <c r="J31" s="559"/>
      <c r="K31" s="555"/>
      <c r="L31" s="21"/>
      <c r="O31" s="19"/>
    </row>
    <row r="32" spans="1:15" ht="15.6" x14ac:dyDescent="0.3">
      <c r="A32" s="539"/>
      <c r="B32" s="298" t="s">
        <v>82</v>
      </c>
      <c r="C32" s="66" t="s">
        <v>280</v>
      </c>
      <c r="D32" s="66"/>
      <c r="E32" s="136"/>
      <c r="F32" s="343" t="str">
        <f>IF(E32="","",IF(ISNUMBER('Quantification Tool R3'!$B$13),IF('Quantification Tool R3'!$B$13&gt;2.5,IF(OR('Quantification Tool R3'!$B$12="71h",'Quantification Tool R3'!$B$12="71i",'Quantification Tool R3'!$B$12="73a",'Quantification Tool R3'!$B$12="74a"),IF(E32&lt;=0.01,1,IF(OR('Quantification Tool R3'!$B$12="71h",'Quantification Tool R3'!$B$12="71i"),IF(E32&gt;0.37,0,ROUND(IF(E32&gt;0.03,'Reference Standards'!$AB$425*E32^2+'Reference Standards'!$AB$426*E32+'Reference Standards'!$AB$427,'Reference Standards'!$AF$426*E32+'Reference Standards'!$AF$427),2)),IF('Quantification Tool R3'!$B$12="73a",IF(E32&gt;0.405,0,ROUND(IF(E32&gt;0.046,'Reference Standards'!$AC$425*E32^2+'Reference Standards'!$AC$426*E32+'Reference Standards'!$AC$427,'Reference Standards'!$AG$426*E32+'Reference Standards'!$AG$427),2)),IF('Quantification Tool R3'!$B$12="74a",IF(E32&gt;0.3,0,ROUND(IF(E32&gt;0.052,'Reference Standards'!$AD$425*E32^2+'Reference Standards'!$AD$426*E32+'Reference Standards'!$AD$427,'Reference Standards'!$AH$426*E32+'Reference Standards'!$AH$427),2)))))),IF(E32&lt;=0.002,1,IF(OR('Quantification Tool R3'!$B$12="66d",'Quantification Tool R3'!$B$12="66e",'Quantification Tool R3'!$B$12="66g"),IF(E32&gt;0.053,0,ROUND(E32^2*'Reference Standards'!$AB$347+E32*'Reference Standards'!$AB$348+'Reference Standards'!$AB$349,2)),IF('Quantification Tool R3'!$B$12="68b",IF(E32&gt;0.05,0,ROUND(E32^2*'Reference Standards'!$AC$347+E32*'Reference Standards'!$AC$348+'Reference Standards'!$AC$349,2)),IF(OR('Quantification Tool R3'!$B$12="68a",'Quantification Tool R3'!$B$12="68c"),IF(E32&gt;0.07,0,ROUND(E32^2*'Reference Standards'!$AD$347+E32*'Reference Standards'!$AD$348+'Reference Standards'!$AD$349,2)),IF(OR('Quantification Tool R3'!$B$12="71f",'Quantification Tool R3'!$B$12="71g"),IF(E32&gt;0.13,0,ROUND(IF(E32&gt;0.042,E32*'Reference Standards'!$AE$348+'Reference Standards'!$AE$349,E32*'Reference Standards'!$AF$348+'Reference Standards'!$AF$349),2)),IF('Quantification Tool R3'!$B$12="67fhi",IF(E32&gt;0.16,0,ROUND(E32^2*'Reference Standards'!$AG$347+E32*'Reference Standards'!$AG$348+'Reference Standards'!$AG$349,2)),IF('Quantification Tool R3'!$B$12="65j",IF(E32&gt;0.035,0,ROUND(IF(E32&lt;=0.003,0.7,E32^2*'Reference Standards'!$AB$387+E32*'Reference Standards'!$AB$388+'Reference Standards'!$AB$389),2)),IF('Quantification Tool R3'!$B$12="69de",IF(E32&gt;0.037,0,ROUND(IF(E32&lt;=0.003,0.7,E32^2*'Reference Standards'!$AC$387+E32*'Reference Standards'!$AC$388+'Reference Standards'!$AC$389),2)),IF('Quantification Tool R3'!$B$12="71e",IF(E32&gt;0.23,0,ROUND(IF(E32&lt;=0.003,0.7,E32^2*'Reference Standards'!$AD$387+E32*'Reference Standards'!$AD$388+'Reference Standards'!$AD$389),2)),IF('Quantification Tool R3'!$B$12="66f",IF(E32&gt;0.06,0,ROUND(IF(E32&lt;=0.003,0.85,IF(E32&lt;=0.004,0.7,E32^2*'Reference Standards'!$AE$387+E32*'Reference Standards'!$AE$388+'Reference Standards'!$AE$389)),2)),IF('Quantification Tool R3'!$B$12="67g",IF(E32&gt;0.11,0,ROUND(IF(E32&lt;=0.01,E32*'Reference Standards'!$AH$388+'Reference Standards'!$AH$389,E32^2*'Reference Standards'!$AF$387+E32*'Reference Standards'!$AF$388+'Reference Standards'!$AF$389),2)),IF('Quantification Tool R3'!$B$12="74b",IF(E32&gt;0.49,0,ROUND(IF(E32&lt;=0.01,E32*'Reference Standards'!$AH$388+'Reference Standards'!$AH$389,E32^2*'Reference Standards'!$AG$387+E32*'Reference Standards'!$AG$388+'Reference Standards'!$AG$389),2)),IF('Quantification Tool R3'!$B$12="65abei",IF(E32&gt;0.199,0,ROUND(IF(E32&lt;=0.01,E32*'Reference Standards'!$AI$426+'Reference Standards'!$AI$427,E32^2*'Reference Standards'!$AE$425+E32*'Reference Standards'!$AE$426+'Reference Standards'!$AE$427),2)))))))))))))))),IF('Quantification Tool R3'!$B$13&lt;=2.5,IF(OR('Quantification Tool R3'!$B$12="66d",'Quantification Tool R3'!$B$12="66e",'Quantification Tool R3'!$B$12="66g"),IF(E32&gt;0.05,0,ROUND(IF(E32&lt;=0.002,1,IF(E32&lt;=0.005,E32*'Reference Standards'!$AF$464+'Reference Standards'!$AF$465,E32^2*'Reference Standards'!$AB$463+E32*'Reference Standards'!$AB$464+'Reference Standards'!$AB$465)),2)),IF('Quantification Tool R3'!$B$12="67fhi",IF(E32&gt;0.1,0,ROUND(IF(E32&lt;=0.002,1,IF(E32&lt;=0.006,E32*'Reference Standards'!$AG$464+'Reference Standards'!$AG$465,E32^2*'Reference Standards'!$AC$463+E32*'Reference Standards'!$AC$464+'Reference Standards'!$AC$465)),2)),IF('Quantification Tool R3'!$B$12="65abei",IF(E32&gt;0.13,0,ROUND(IF(E32&lt;=0.003,1,IF(E32&lt;=0.008,E32*'Reference Standards'!$AH$464+'Reference Standards'!$AH$465,E32^2*'Reference Standards'!$AD$463+E32*'Reference Standards'!$AD$464+'Reference Standards'!$AD$465)),2)),IF('Quantification Tool R3'!$B$12="68b",IF(E32&gt;0.043,0,ROUND(IF(E32&lt;=0.004,1,IF(E32&lt;=0.005,0.7,E32^2*'Reference Standards'!$AE$463+E32*'Reference Standards'!$AE$464+'Reference Standards'!$AE$465)),2)),IF('Quantification Tool R3'!$B$12="69de",IF(E32&gt;=0.034,0,ROUND(IF(E32&lt;=0.003,1,IF(E32&lt;=0.006,E32*'Reference Standards'!$AG$500+'Reference Standards'!$AG$501,E32*'Reference Standards'!$AB$500+'Reference Standards'!$AB$501)),2)),IF(OR('Quantification Tool R3'!$B$12="68a",'Quantification Tool R3'!$B$12="68c"),IF(E32&gt;0.202,0,ROUND(IF(E32&lt;=0.003,1,IF(E32&lt;=0.006,E32*'Reference Standards'!$AG$500+'Reference Standards'!$AG$501,IF(E32&gt;=0.04,E32*'Reference Standards'!$AC$500+'Reference Standards'!$AC$501,E32*'Reference Standards'!$AE$500+'Reference Standards'!$AE$501))),2)),IF(OR('Quantification Tool R3'!$B$12="71f",'Quantification Tool R3'!$B$12="71g"),IF(E32&gt;0.631,0,ROUND(IF(E32&lt;=0.003,1,IF(E32&lt;=0.006,E32*'Reference Standards'!$AG$500+'Reference Standards'!$AG$501,IF(E32&gt;=0.17,E32*'Reference Standards'!$AD$500+'Reference Standards'!$AD$501,E32*'Reference Standards'!$AF$500+'Reference Standards'!$AF$501))),2)),IF('Quantification Tool R3'!$B$12="71e",IF(E32&gt;1.23,0,ROUND(IF(E32&lt;=0.004,1,IF(E32&lt;=0.006,E32*'Reference Standards'!$AF$538+'Reference Standards'!$AF$539,E32^2*'Reference Standards'!$AB$537+E32*'Reference Standards'!$AB$538+'Reference Standards'!$AB$539)),2)),IF('Quantification Tool R3'!$B$12="67g",IF(E32&gt;0.11,0,ROUND(IF(E32&lt;=0.006,1,IF(E32&lt;=0.011,E32*'Reference Standards'!$AG$538+'Reference Standards'!$AG$539,E32^2*'Reference Standards'!$AC$537+E32*'Reference Standards'!$AC$538+'Reference Standards'!$AC$539)),2)),IF('Quantification Tool R3'!$B$12="65j",IF(E32&gt;0.046,0,ROUND(IF(E32&lt;=0.007,1,IF(E32&lt;=0.012,E32*'Reference Standards'!$AH$538+'Reference Standards'!$AH$539,E32^2*'Reference Standards'!$AD$537+E32*'Reference Standards'!$AD$538+'Reference Standards'!$AD$539)),2)),IF('Quantification Tool R3'!$B$12="66f",IF(E32&gt;0.081,0,ROUND(IF(E32&lt;=0.008,1,IF(E32&lt;=0.011,E32*'Reference Standards'!$AI$538+'Reference Standards'!$AI$539,E32^2*'Reference Standards'!$AE$537+E32*'Reference Standards'!$AE$538+'Reference Standards'!$AE$539)),2)),IF(OR('Quantification Tool R3'!$B$12="71h",'Quantification Tool R3'!$B$12="71i"),IF(E32&gt;0.37,0,ROUND(IF(E32&lt;=0.013,1,IF(E32&lt;=0.032,E32*'Reference Standards'!$AH$576+'Reference Standards'!$AH$577,IF(E32&lt;=0.3,E32*'Reference Standards'!$AF$576+'Reference Standards'!$AF$577,E32*'Reference Standards'!$AB$576+'Reference Standards'!$AB$577))),2)),IF('Quantification Tool R3'!$B$12="73a",IF(E32&gt;0.448,0,ROUND(IF(E32&lt;=0.071,1,IF(E32&lt;=0.086,E32*'Reference Standards'!$AJ$576+'Reference Standards'!$AJ$577,IF(E32&lt;=0.165,E32*'Reference Standards'!$AG$576+'Reference Standards'!$AG$577,E32*'Reference Standards'!$AE$576+'Reference Standards'!$AE$577))),2)),IF('Quantification Tool R3'!$B$12="74b",IF(E32&gt;0.43,0,ROUND(IF(E32&lt;=0.018,1,IF(E32&lt;=0.019,0.85,IF(E32&lt;=0.02,0.7,E32^2*'Reference Standards'!$AC$575+E32*'Reference Standards'!$AC$576+'Reference Standards'!$AC$577))),2)),IF('Quantification Tool R3'!$B$12="74a",IF(E32&gt;0.217,0,ROUND(IF(E32&lt;=0.02,1,IF(E32&lt;=0.033,E32*'Reference Standards'!$AI$576+'Reference Standards'!$AI$577,E32^2*'Reference Standards'!$AD$575+E32*'Reference Standards'!$AD$576+'Reference Standards'!$AD$577)),2)))))))))))))))))))))</f>
        <v/>
      </c>
      <c r="G32" s="87" t="str">
        <f>IFERROR(AVERAGE(F32),"")</f>
        <v/>
      </c>
      <c r="H32" s="549"/>
      <c r="I32" s="536"/>
      <c r="J32" s="559"/>
      <c r="K32" s="555"/>
      <c r="L32" s="21"/>
      <c r="O32" s="19"/>
    </row>
    <row r="33" spans="1:15" ht="15.6" x14ac:dyDescent="0.3">
      <c r="A33" s="550" t="s">
        <v>59</v>
      </c>
      <c r="B33" s="560" t="s">
        <v>340</v>
      </c>
      <c r="C33" s="125" t="s">
        <v>331</v>
      </c>
      <c r="D33" s="126"/>
      <c r="E33" s="166"/>
      <c r="F33" s="345" t="str">
        <f>IF(E33="","",IF(OR('Quantification Tool R3'!B$12="73a",'Quantification Tool R3'!B$12="73b"),IF(E33&lt;1,0,IF(E33&gt;=30,1,ROUND(IF(E33&lt;22,'Reference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531" t="str">
        <f>IFERROR(AVERAGE(F33:F36),"")</f>
        <v/>
      </c>
      <c r="H33" s="568" t="str">
        <f>IFERROR(ROUND(AVERAGE(G33:G38),2),"")</f>
        <v/>
      </c>
      <c r="I33" s="519" t="str">
        <f>IF(H33="","",IF(H33&gt;0.69,"Functioning",IF(H33&gt;0.29,"Functioning At Risk",IF(H33&gt;-1,"Not Functioning"))))</f>
        <v/>
      </c>
      <c r="J33" s="559"/>
      <c r="K33" s="555"/>
      <c r="L33" s="21"/>
      <c r="O33" s="19"/>
    </row>
    <row r="34" spans="1:15" ht="15.6" x14ac:dyDescent="0.3">
      <c r="A34" s="556"/>
      <c r="B34" s="561"/>
      <c r="C34" s="174" t="s">
        <v>335</v>
      </c>
      <c r="D34" s="175"/>
      <c r="E34" s="165"/>
      <c r="F34" s="346" t="str">
        <f>IF(E34="","",IF(AND('Quantification Tool R3'!$B$12="74b",'Quantification Tool R3'!$B$13&lt;=2),IF(E34&lt;0,0,IF(E34&gt;15.6,0.69,ROUND('Reference Standards'!$AL$54*E34^2+'Reference Standards'!$AL$55*E34+'Reference Standards'!$AL$56,2))),IF(AND('Quantification Tool R3'!$B$12="65abei",'Quantification Tool R3'!$B$13&lt;=2),IF(E34&lt;0,0,IF(E34&gt;=20,0.69,ROUND('Reference Standards'!$AM$54*E34^2+'Reference Standards'!$AM$55*E34+'Reference Standards'!$AM$56,2))),IF(OR(AND('Quantification Tool R3'!$B$12="74a",'Quantification Tool R3'!$B$13&gt;2,'Quantification Tool R3'!$B$19="January - June"),AND('Quantification Tool R3'!$B$12="71i",'Quantification Tool R3'!$B$13&gt;2,'Quantification Tool R3'!$B$20="SQBANK")),IF(E34&lt;0,0,IF(E34&gt;24.7,0.69,ROUND('Reference Standards'!$AN$54*E34^2+'Reference Standards'!$AN$55*E34+'Reference Standards'!$AN$56,2))),IF(OR('Quantification Tool R3'!$B$12="74b",'Quantification Tool R3'!$B$12="65abei"),IF(E34&lt;0,0,IF(E34&gt;32.7,0.69,ROUND('Reference Standards'!$AO$54*E34^2+'Reference Standards'!$AO$55*E34+'Reference Standards'!$AO$56,2))),IF(AND('Quantification Tool R3'!$B$12="68b",'Quantification Tool R3'!$B$13&gt;2),IF(E34&lt;0,0,IF(E34&gt;41.2,0.69,ROUND('Reference Standards'!$AP$54*E34^2+'Reference Standards'!$AP$55*E34+'Reference Standards'!$AP$56,2))),IF(OR(AND('Quantification Tool R3'!$B$12="71i",'Quantification Tool R3'!$B$13&lt;=2),AND(OR('Quantification Tool R3'!$B$12="68c",'Quantification Tool R3'!$B$12="68d"),'Quantification Tool R3'!$B$19="January - June")),IF(E34&lt;0,0,IF(E34&gt;49.2,0.69,ROUND('Reference Standards'!$AL$94*E34^2+'Reference Standards'!$AL$95*E34+'Reference Standards'!$AL$96,2))),IF(OR(AND('Quantification Tool R3'!$B$12="68a",'Quantification Tool R3'!$B$19="January - June"),AND(OR('Quantification Tool R3'!$B$12="68c",'Quantification Tool R3'!$B$12="68d"),'Quantification Tool R3'!$B$19="July - December")),IF(E34&lt;0,0,IF(E34&gt;53.4,0.69,ROUND('Reference Standards'!$AM$94*E34^2+'Reference Standards'!$AM$95*E34+'Reference Standards'!$AM$96,2))),IF(OR(AND('Quantification Tool R3'!$B$12="71i",'Quantification Tool R3'!$B$13&gt;2,'Quantification Tool R3'!$B$20="SQKICK"),AND(OR('Quantification Tool R3'!$B$12="67fhi",'Quantification Tool R3'!$B$12="67g"),'Quantification Tool R3'!$B$13&lt;=2),'Quantification Tool R3'!$B$12="65j"),IF(E34&lt;0,0,IF(E34&gt;57.8,0.69,ROUND('Reference Standards'!$AN$94*E34^2+'Reference Standards'!$AN$95*E34+'Reference Standards'!$AN$96,2))),IF(OR(AND('Quantification Tool R3'!$B$12="74a",'Quantification Tool R3'!$B$13&gt;2,'Quantification Tool R3'!$B$19="July - December"),AND(OR('Quantification Tool R3'!$B$12="67fhi",'Quantification Tool R3'!$B$12="67g"),'Quantification Tool R3'!$B$13&gt;2),'Quantification Tool R3'!$B$12="69de"),IF(E34&lt;0,0,IF(E34&gt;62.5,0.69,ROUND('Reference Standards'!$AO$94*E34^2+'Reference Standards'!$AO$95*E34+'Reference Standards'!$AO$96,2))),  IF(OR('Quantification Tool R3'!$B$12="66d",'Quantification Tool R3'!$B$12="66e",'Quantification Tool R3'!$B$12="66ik",'Quantification Tool R3'!$B$12="71e",'Quantification Tool R3'!$B$12="71f",'Quantification Tool R3'!$B$12="71g",'Quantification Tool R3'!$B$12="71h"),IF(E34&lt;0,0,IF(E34&gt;66.5,0.69,ROUND('Reference Standards'!$AP$94*E34^2+'Reference Standards'!$AP$95*E34+'Reference Standards'!$AP$96,2))),IF(OR('Quantification Tool R3'!$B$12="66f",'Quantification Tool R3'!$B$12="66g",'Quantification Tool R3'!$B$12="66j",AND('Quantification Tool R3'!$B$12="68a",'Quantification Tool R3'!$B$19="July - December")), IF(E34&lt;0,0,IF(E34&gt;69,0.69,ROUND('Reference Standards'!$AQ$94*E34^2+'Reference Standards'!$AQ$95*E34+'Reference Standards'!$AQ$96,2))))   )))))))))))</f>
        <v/>
      </c>
      <c r="G34" s="531"/>
      <c r="H34" s="568"/>
      <c r="I34" s="519"/>
      <c r="J34" s="559"/>
      <c r="K34" s="555"/>
      <c r="L34" s="21"/>
      <c r="O34" s="19"/>
    </row>
    <row r="35" spans="1:15" ht="15.6" x14ac:dyDescent="0.3">
      <c r="A35" s="556"/>
      <c r="B35" s="561"/>
      <c r="C35" s="174" t="s">
        <v>339</v>
      </c>
      <c r="D35" s="175"/>
      <c r="E35" s="165"/>
      <c r="F35" s="346" t="str">
        <f>IF(E35="","",IF(AND('Quantification Tool R3'!$B$12="74b",'Quantification Tool R3'!$B$13&lt;=2),IF(E35&lt;0,0,IF(E35&gt;8.1,0.69,ROUND('Reference Standards'!$AL$131*E35^2+'Reference Standards'!$AL$132*E35+'Reference Standards'!$AL$133,2))),IF(OR('Quantification Tool R3'!$B$12="73a",'Quantification Tool R3'!$B$12="73b"),IF(E35&lt;0,0,IF(E35&gt;=28,0.69,ROUND('Reference Standards'!$AM$131*E35^2+'Reference Standards'!$AM$132*E35+'Reference Standards'!$AM$133,2))),IF(AND('Quantification Tool R3'!$B$12="74a",'Quantification Tool R3'!$B$13&gt;2,'Quantification Tool R3'!$B$19="January - June"),IF(E35&lt;0,0,IF(E35&gt;=32.5,0.69,ROUND('Reference Standards'!$AN$131*E35^2+'Reference Standards'!$AN$132*E35+'Reference Standards'!$AN$133,2))),IF(AND('Quantification Tool R3'!$B$12="71i",'Quantification Tool R3'!$B$13&gt;2,'Quantification Tool R3'!$B$20="SQBANK"),IF(E35&lt;0,0,IF(E35&gt;=37,0.69,ROUND('Reference Standards'!$AO$131*E35^2+'Reference Standards'!$AO$132*E35+'Reference Standards'!$AO$133,2))),IF(OR(AND(OR('Quantification Tool R3'!$B$12="65abei",'Quantification Tool R3'!$B$12="74b"),'Quantification Tool R3'!$B$13&gt;2),AND('Quantification Tool R3'!$B$12="71i",'Quantification Tool R3'!$B$13&gt;2,'Quantification Tool R3'!$B$20="SQKICK")),IF(E35&lt;0,0,IF(E35&gt;42.6,0.69,ROUND('Reference Standards'!$AP$131*E35^2+'Reference Standards'!$AP$132*E35+'Reference Standards'!$AP$133,2))),     IF(OR(AND('Quantification Tool R3'!$B$12="65abei",'Quantification Tool R3'!$B$13&lt;=2),AND(OR('Quantification Tool R3'!$B$12="68c",'Quantification Tool R3'!$B$12="68d"),'Quantification Tool R3'!$B$19="July - December"),'Quantification Tool R3'!$B$12="71e"),IF(E35&lt;0,0,IF(E35&gt;=48,0.69,ROUND('Reference Standards'!$AL$171*E35^2+'Reference Standards'!$AL$172*E35+'Reference Standards'!$AL$173,2))),IF(OR('Quantification Tool R3'!$B$12="65j",'Quantification Tool R3'!$B$12="67fhi",'Quantification Tool R3'!$B$12="67g",AND('Quantification Tool R3'!$B$12="74a",'Quantification Tool R3'!$B$19="July - December",'Quantification Tool R3'!$B$13&gt;2),AND('Quantification Tool R3'!$B$12="71i",'Quantification Tool R3'!$B$13&lt;=2)),IF(E35&lt;0,0,IF(E35&gt;=53,0.69,ROUND('Reference Standards'!$AM$171*E35^2+'Reference Standards'!$AM$172*E35+'Reference Standards'!$AM$173,2))),IF(OR(AND(OR('Quantification Tool R3'!$B$12="68b",'Quantification Tool R3'!$B$12="71f",'Quantification Tool R3'!$B$12="71g",'Quantification Tool R3'!$B$12="71h"),'Quantification Tool R3'!$B$13&gt;2),'Quantification Tool R3'!$B$12="68a"),IF(E35&lt;0,0,IF(E35&gt;=57,0.69,ROUND('Reference Standards'!$AN$171*E35^2+'Reference Standards'!$AN$172*E35+'Reference Standards'!$AN$173,2))),IF(OR('Quantification Tool R3'!$B$12="66f",'Quantification Tool R3'!$B$12="66g",'Quantification Tool R3'!$B$12="66j",AND(OR('Quantification Tool R3'!$B$12="71f",'Quantification Tool R3'!$B$12="71g",'Quantification Tool R3'!$B$12="71h"),'Quantification Tool R3'!$B$13&lt;=2)),IF(E35&lt;0,0,IF(E35&gt;=60,0.69,ROUND('Reference Standards'!$AO$171*E35^2+'Reference Standards'!$AO$172*E35+'Reference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December")),IF(E35&lt;0,0,IF(E35&gt;=67.5,0.69,ROUND('Reference Standards'!$AP$171*E35^2+'Reference Standards'!$AP$172*E35+'Reference Standards'!$AP$173,2))),IF(AND('Quantification Tool R3'!$B$12="69de",'Quantification Tool R3'!$B$19="January - June"), IF(E35&lt;0,0,IF(E35&gt;=72,0.69,ROUND('Reference Standards'!$AQ$171*E35^2+'Reference Standards'!$AQ$172*E35+'Reference Standards'!$AQ$173,2))))   )))))))))))</f>
        <v/>
      </c>
      <c r="G35" s="531"/>
      <c r="H35" s="568"/>
      <c r="I35" s="519"/>
      <c r="J35" s="559"/>
      <c r="K35" s="555"/>
      <c r="L35" s="21"/>
      <c r="O35" s="19"/>
    </row>
    <row r="36" spans="1:15" ht="15.6" x14ac:dyDescent="0.3">
      <c r="A36" s="556"/>
      <c r="B36" s="562"/>
      <c r="C36" s="127" t="s">
        <v>336</v>
      </c>
      <c r="D36" s="71"/>
      <c r="E36" s="167"/>
      <c r="F36" s="346" t="str">
        <f>IF(E36="","",IF(OR('Quantification Tool R3'!$B$12="67fhi",'Quantification Tool R3'!$B$12="67g",'Quantification Tool R3'!$B$12="71e",'Quantification Tool R3'!$B$12="73a",'Quantification Tool R3'!$B$12="73b",AND(OR('Quantification Tool R3'!$B$12="71f",'Quantification Tool R3'!$B$12="71g",'Quantification Tool R3'!$B$12="71h"),'Quantification Tool R3'!$B$13&gt;2)),IF(E36&gt;100,0,IF(E36&lt;15,0.69,ROUND('Reference Standards'!$AL$208*E36^2+'Reference Standards'!$AL$209*E36+'Reference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),IF(E36&gt;100,0,IF(E36&lt;19,0.69,ROUND('Reference Standards'!$AM$208*E36^2+'Reference Standards'!$AM$209*E36+'Reference Standards'!$AM$210,2))),    IF(OR(AND('Quantification Tool R3'!$B$12="69de",'Quantification Tool R3'!$B$19="January - June"),AND('Quantification Tool R3'!$B$12="71i",'Quantification Tool R3'!$B$13&gt;2,'Quantification Tool R3'!$B$20="SQKICK" )),IF(E36&gt;100,0,IF(E36&lt;22,0.69,ROUND('Reference Standards'!$AN$208*E36^2+'Reference Standards'!$AN$209*E36+'Reference Standards'!$AN$210,2))),    IF(OR('Quantification Tool R3'!$B$12="65j",AND('Quantification Tool R3'!$B$12="68b",'Quantification Tool R3'!$B$13&gt;2)),IF(E36&gt;100,0,IF(E36&lt;24,0.69,ROUND('Reference Standards'!$AO$208*E36^2+'Reference Standards'!$AO$209*E36+'Reference Standards'!$AO$210,2))),    IF(AND(OR('Quantification Tool R3'!$B$12="65abei",'Quantification Tool R3'!$B$12="71f",'Quantification Tool R3'!$B$12="71g",'Quantification Tool R3'!$B$12="71h"),'Quantification Tool R3'!$B$13&lt;=2),IF(E36&gt;95,0,IF(E36&lt;33,0.69,ROUND('Reference Standards'!$AL$246*E36^2+'Reference Standards'!$AL$247*E36+'Reference Standards'!$AL$248,2))),   IF(AND(OR('Quantification Tool R3'!$B$12="65abei",'Quantification Tool R3'!$B$12="74b"),'Quantification Tool R3'!$B$13&gt;2),IF(E36&gt;97,0,IF(E36&lt;36,0.69,ROUND('Reference Standards'!$AM$246*E36^2+'Reference Standards'!$AM$247*E36+'Reference Standards'!$AM$248,2))),  IF(AND('Quantification Tool R3'!$B$12="74a",'Quantification Tool R3'!$B$19="January - June",'Quantification Tool R3'!$B$13&gt;2),IF(E36&gt;93,0,IF(E36&lt;52,0.69,ROUND('Reference Standards'!$AN$246*E36^2+'Reference Standards'!$AN$247*E36+'Reference Standards'!$AN$248,2))),   IF(AND('Quantification Tool R3'!$B$12="74b",'Quantification Tool R3'!$B$13&lt;=2),IF(E36&gt;97,0,IF(E36&lt;62,0.69,ROUND('Reference Standards'!$AO$246*E36^2+'Reference Standards'!$AO$247*E36+'Reference Standards'!$AO$248,2)))  )))))))))</f>
        <v/>
      </c>
      <c r="G36" s="531"/>
      <c r="H36" s="568"/>
      <c r="I36" s="519"/>
      <c r="J36" s="559"/>
      <c r="K36" s="555"/>
      <c r="L36" s="21"/>
      <c r="O36" s="19"/>
    </row>
    <row r="37" spans="1:15" ht="15.6" x14ac:dyDescent="0.3">
      <c r="A37" s="556"/>
      <c r="B37" s="563" t="s">
        <v>74</v>
      </c>
      <c r="C37" s="125" t="s">
        <v>211</v>
      </c>
      <c r="D37" s="126"/>
      <c r="E37" s="166"/>
      <c r="F37" s="345" t="str">
        <f>IF(E37="","",IF(E37=1,0.15,IF(E37=3,0.5,IF(E37=5,0.85,0))))</f>
        <v/>
      </c>
      <c r="G37" s="564" t="str">
        <f>IFERROR(AVERAGE(F37:F38),"")</f>
        <v/>
      </c>
      <c r="H37" s="568"/>
      <c r="I37" s="519"/>
      <c r="J37" s="559"/>
      <c r="K37" s="555"/>
      <c r="L37" s="21"/>
    </row>
    <row r="38" spans="1:15" ht="15.6" x14ac:dyDescent="0.3">
      <c r="A38" s="551"/>
      <c r="B38" s="563"/>
      <c r="C38" s="127" t="s">
        <v>332</v>
      </c>
      <c r="D38" s="71"/>
      <c r="E38" s="167"/>
      <c r="F38" s="347" t="str">
        <f>IF(E38="","",IF(E38=1,0.15,IF(E38=3,0.5,IF(E38=5,0.85,0))))</f>
        <v/>
      </c>
      <c r="G38" s="565"/>
      <c r="H38" s="568"/>
      <c r="I38" s="519"/>
      <c r="J38" s="559"/>
      <c r="K38" s="555"/>
      <c r="L38" s="21"/>
    </row>
    <row r="39" spans="1:15" x14ac:dyDescent="0.3">
      <c r="J39" s="13"/>
      <c r="K39" s="317"/>
      <c r="L39" s="21"/>
    </row>
    <row r="40" spans="1:15" ht="21" x14ac:dyDescent="0.4">
      <c r="A40" s="148" t="s">
        <v>135</v>
      </c>
      <c r="B40" s="246"/>
      <c r="C40" s="249" t="s">
        <v>324</v>
      </c>
      <c r="D40" s="246"/>
      <c r="E40" s="247"/>
      <c r="F40" s="248"/>
      <c r="G40" s="544" t="s">
        <v>18</v>
      </c>
      <c r="H40" s="545"/>
      <c r="I40" s="545"/>
      <c r="J40" s="545"/>
      <c r="K40" s="546"/>
      <c r="L40" s="21"/>
    </row>
    <row r="41" spans="1:15" ht="15.6" x14ac:dyDescent="0.3">
      <c r="A41" s="158" t="s">
        <v>1</v>
      </c>
      <c r="B41" s="158" t="s">
        <v>2</v>
      </c>
      <c r="C41" s="542" t="s">
        <v>3</v>
      </c>
      <c r="D41" s="644"/>
      <c r="E41" s="158" t="s">
        <v>15</v>
      </c>
      <c r="F41" s="158" t="s">
        <v>16</v>
      </c>
      <c r="G41" s="158" t="s">
        <v>19</v>
      </c>
      <c r="H41" s="158" t="s">
        <v>20</v>
      </c>
      <c r="I41" s="314" t="s">
        <v>20</v>
      </c>
      <c r="J41" s="158" t="s">
        <v>21</v>
      </c>
      <c r="K41" s="315" t="s">
        <v>21</v>
      </c>
    </row>
    <row r="42" spans="1:15" ht="15.6" x14ac:dyDescent="0.3">
      <c r="A42" s="540" t="s">
        <v>60</v>
      </c>
      <c r="B42" s="299" t="s">
        <v>86</v>
      </c>
      <c r="C42" s="52" t="s">
        <v>388</v>
      </c>
      <c r="D42" s="52"/>
      <c r="E42" s="162"/>
      <c r="F42" s="338" t="str">
        <f>IF(E42="","",IF(E42&lt;=0,0,IF(E42&gt;=0.95,1,ROUND('Reference Standards'!C$14*E42+'Reference Standards'!C$15,2))))</f>
        <v/>
      </c>
      <c r="G42" s="83" t="str">
        <f>IFERROR(AVERAGE(F42),"")</f>
        <v/>
      </c>
      <c r="H42" s="522" t="str">
        <f>IFERROR(ROUND(AVERAGE(G42:G43),2),"")</f>
        <v/>
      </c>
      <c r="I42" s="519" t="str">
        <f>IF(H42="","",IF(H42&gt;0.69,"Functioning",IF(H42&gt;0.29,"Functioning At Risk",IF(H42&gt;-1,"Not Functioning"))))</f>
        <v/>
      </c>
      <c r="J42" s="559" t="str">
        <f>IF(AND(H42="",H44="",H46="",H68="",H72=""),"",ROUND((IF(H42="",0,H42)*0.2)+(IF(H44="",0,H44)*0.2)+(IF(H46="",0,H46)*0.2)+(IF(H68="",0,H68)*0.2)+(IF(H72="",0,H72)*0.2),2))</f>
        <v/>
      </c>
      <c r="K42" s="555" t="str">
        <f>IF(J42="","",IF(J42&lt;0.3, "Not Functioning",IF(OR(H42&lt;0.7,H44&lt;0.7,H46&lt;0.7,H68&lt;0.7,H72&lt;0.7),"Functioning At Risk",IF(J42&lt;0.7,"Functioning At Risk","Functioning"))))</f>
        <v/>
      </c>
    </row>
    <row r="43" spans="1:15" ht="15.6" x14ac:dyDescent="0.3">
      <c r="A43" s="541"/>
      <c r="B43" s="371" t="s">
        <v>128</v>
      </c>
      <c r="C43" s="373" t="s">
        <v>161</v>
      </c>
      <c r="D43" s="374"/>
      <c r="E43" s="43"/>
      <c r="F43" s="372" t="str">
        <f>IF(E43="","",IF(E43&gt;=1,1,IF(E43&lt;=0,0,ROUND(E43,2))))</f>
        <v/>
      </c>
      <c r="G43" s="367" t="str">
        <f>IFERROR(AVERAGE(F43:F43),"")</f>
        <v/>
      </c>
      <c r="H43" s="523"/>
      <c r="I43" s="519"/>
      <c r="J43" s="559"/>
      <c r="K43" s="555"/>
    </row>
    <row r="44" spans="1:15" ht="15.6" x14ac:dyDescent="0.3">
      <c r="A44" s="524" t="s">
        <v>6</v>
      </c>
      <c r="B44" s="572" t="s">
        <v>7</v>
      </c>
      <c r="C44" s="54" t="s">
        <v>8</v>
      </c>
      <c r="D44" s="54"/>
      <c r="E44" s="162"/>
      <c r="F44" s="339" t="str">
        <f>IF(E44="","",ROUND(IF(E44&gt;1.6,0,IF(E44&lt;=1,1,E44^2*'Reference Standards'!K$14+E44*'Reference Standards'!K$15+'Reference Standards'!K$16)),2))</f>
        <v/>
      </c>
      <c r="G44" s="579" t="str">
        <f>IFERROR(AVERAGE(F44:F45),"")</f>
        <v/>
      </c>
      <c r="H44" s="579" t="str">
        <f>IFERROR(ROUND(AVERAGE(G44),2),"")</f>
        <v/>
      </c>
      <c r="I44" s="569" t="str">
        <f>IF(H44="","",IF(H44&gt;0.69,"Functioning",IF(H44&gt;0.29,"Functioning At Risk",IF(H44&gt;-1,"Not Functioning"))))</f>
        <v/>
      </c>
      <c r="J44" s="559"/>
      <c r="K44" s="555"/>
    </row>
    <row r="45" spans="1:15" ht="15.6" x14ac:dyDescent="0.3">
      <c r="A45" s="525"/>
      <c r="B45" s="572"/>
      <c r="C45" s="54" t="s">
        <v>9</v>
      </c>
      <c r="D45" s="54"/>
      <c r="E45" s="163"/>
      <c r="F45" s="339" t="str">
        <f>IF(E45="","",(IF(OR('Quantification Tool R3'!B$11="A",'Quantification Tool R3'!B$11="B",'Quantification Tool R3'!$B$11="Bc"),IF(E45&lt;1.2,0,IF(E45&gt;=2.2,1,ROUND(IF(E45&lt;1.4,E45*'Reference Standards'!$K$84+'Reference Standards'!$K$85,E45*'Reference Standards'!$L$84+'Reference Standards'!$L$85),2))),IF(OR('Quantification Tool R3'!B$11="C",'Quantification Tool R3'!B$11="E"),IF(E45&lt;2,0,IF(E45&gt;=5,1,ROUND(IF(E45&lt;2.4,E45*'Reference Standards'!$L$49+'Reference Standards'!$L$50,E45*'Reference Standards'!$K$49+'Reference Standards'!$K$50),2)))))))</f>
        <v/>
      </c>
      <c r="G45" s="581"/>
      <c r="H45" s="580"/>
      <c r="I45" s="570"/>
      <c r="J45" s="559"/>
      <c r="K45" s="555"/>
    </row>
    <row r="46" spans="1:15" ht="15.6" x14ac:dyDescent="0.3">
      <c r="A46" s="526" t="s">
        <v>26</v>
      </c>
      <c r="B46" s="557" t="s">
        <v>27</v>
      </c>
      <c r="C46" s="60" t="s">
        <v>333</v>
      </c>
      <c r="D46" s="244"/>
      <c r="E46" s="61"/>
      <c r="F46" s="340" t="str">
        <f>IF(E46="","",IF(OR(LEFT('Quantification Tool R3'!$B$12,2)="65",LEFT('Quantification Tool R3'!$B$12,2)="66",LEFT('Quantification Tool R3'!$B$12,2)="71"),IF(E46&gt;=850,1,IF(E46&lt;250,ROUND('Reference Standards'!$S$17*(E46)+'Reference Standards'!$S$18,2),ROUND('Reference Standards'!$T$17*E46+'Reference Standards'!$T$18,2))),  IF(E46&gt;=345,1,IF(E46&lt;=180,ROUND('Reference Standards'!$U$17*(E46)+'Reference Standards'!$U$18,2),ROUND('Reference Standards'!$V$17*E46+'Reference Standards'!$V$18,2))))    )</f>
        <v/>
      </c>
      <c r="G46" s="528" t="str">
        <f>IFERROR(AVERAGE(F46:F47),"")</f>
        <v/>
      </c>
      <c r="H46" s="566" t="str">
        <f>IFERROR(ROUND(AVERAGE(G46:G67),2),"")</f>
        <v/>
      </c>
      <c r="I46" s="555" t="str">
        <f>IF(H46="","",IF(H46&gt;0.69,"Functioning",IF(H46&gt;0.29,"Functioning At Risk",IF(H46&gt;-1,"Not Functioning"))))</f>
        <v/>
      </c>
      <c r="J46" s="559"/>
      <c r="K46" s="555"/>
    </row>
    <row r="47" spans="1:15" ht="15.6" x14ac:dyDescent="0.3">
      <c r="A47" s="520"/>
      <c r="B47" s="558"/>
      <c r="C47" s="63" t="s">
        <v>323</v>
      </c>
      <c r="D47" s="245"/>
      <c r="E47" s="53"/>
      <c r="F47" s="341" t="str">
        <f>IF(E47="","",IF(OR(LEFT('Quantification Tool R3'!$B$12,2)="65",LEFT('Quantification Tool R3'!$B$12,2)="66",LEFT('Quantification Tool R3'!$B$12,2)="71"),IF(E47&gt;=30,1,IF(E47&lt;13,ROUND('Reference Standards'!$S$53*(E47)+'Reference Standards'!$S$54,2),ROUND('Reference Standards'!$T$53*E47+'Reference Standards'!$T$54,2))),  IF(E47&gt;=16,1,IF(E47&lt;=9,ROUND('Reference Standards'!$U$53*(E47)+'Reference Standards'!$U$54,2),ROUND('Reference Standards'!$V$53*E47+'Reference Standards'!$V$54,2))))    )</f>
        <v/>
      </c>
      <c r="G47" s="530"/>
      <c r="H47" s="566"/>
      <c r="I47" s="555"/>
      <c r="J47" s="559"/>
      <c r="K47" s="555"/>
    </row>
    <row r="48" spans="1:15" ht="15.6" x14ac:dyDescent="0.3">
      <c r="A48" s="520"/>
      <c r="B48" s="520" t="s">
        <v>395</v>
      </c>
      <c r="C48" s="58" t="s">
        <v>80</v>
      </c>
      <c r="D48" s="58"/>
      <c r="E48" s="165"/>
      <c r="F48" s="340" t="str">
        <f>IF(E48="","",ROUND(IF(E48&gt;0.7,0,IF(E48&lt;=0.1,1,E48^3*'Reference Standards'!S$87+E48^2*'Reference Standards'!S$88+E48*'Reference Standards'!S$89+'Reference Standards'!S$90)),2))</f>
        <v/>
      </c>
      <c r="G48" s="528" t="str">
        <f>IFERROR(ROUND(AVERAGE(F48:F51),2),"")</f>
        <v/>
      </c>
      <c r="H48" s="567"/>
      <c r="I48" s="555"/>
      <c r="J48" s="559"/>
      <c r="K48" s="555"/>
    </row>
    <row r="49" spans="1:13" ht="15.6" x14ac:dyDescent="0.3">
      <c r="A49" s="520"/>
      <c r="B49" s="520"/>
      <c r="C49" s="58" t="s">
        <v>49</v>
      </c>
      <c r="D49" s="58"/>
      <c r="E49" s="165"/>
      <c r="F49" s="84" t="str">
        <f>IF(E49="","",IF(OR(E49="Ex/Ex",E49="Ex/VH"),0, IF(OR(E49="Ex/H",E49="VH/Ex",E49="VH/VH", E49="H/Ex",E49="H/VH",E49="M/Ex"),0.1,IF(OR(E49="Ex/M",E49="VH/H",E49="H/H", E49="M/VH"),0.2, IF(OR(E49="Ex/L",E49="VH/M",E49="H/M", E49="M/H",E49="L/Ex"),0.3, IF(OR(E49="Ex/VL",E49="VH/L",E49="H/L"),0.4, IF(OR(E49="VH/VL",E49="H/VL",E49="M/M", E49="L/VH"),0.5, IF(OR(E49="M/L",E49="L/H"),0.6, IF(OR(E49="M/VL",E49="L/M"),0.7, IF(OR(E49="L/L",E49="L/VL"),1))))))))))</f>
        <v/>
      </c>
      <c r="G49" s="529"/>
      <c r="H49" s="567"/>
      <c r="I49" s="555"/>
      <c r="J49" s="559"/>
      <c r="K49" s="555"/>
    </row>
    <row r="50" spans="1:13" ht="15.6" x14ac:dyDescent="0.3">
      <c r="A50" s="520"/>
      <c r="B50" s="520"/>
      <c r="C50" s="58" t="s">
        <v>87</v>
      </c>
      <c r="D50" s="58"/>
      <c r="E50" s="165"/>
      <c r="F50" s="84" t="str">
        <f>IF(E50="","",ROUND(IF(E50&gt;40,0,IF(E50&lt;5,1,E50^3*'Reference Standards'!S$122+E50^2*'Reference Standards'!S$123+E50*'Reference Standards'!S$124+'Reference Standards'!S$125)),2))</f>
        <v/>
      </c>
      <c r="G50" s="529"/>
      <c r="H50" s="567"/>
      <c r="I50" s="555"/>
      <c r="J50" s="559"/>
      <c r="K50" s="555"/>
    </row>
    <row r="51" spans="1:13" ht="15.6" x14ac:dyDescent="0.3">
      <c r="A51" s="520"/>
      <c r="B51" s="521"/>
      <c r="C51" s="59" t="s">
        <v>394</v>
      </c>
      <c r="D51" s="59"/>
      <c r="E51" s="167"/>
      <c r="F51" s="341" t="str">
        <f>IF(E51="","",ROUND(IF(E51&gt;=30,0,IF(E51&lt;=0,1,E51*'Reference Standards'!S$156+'Reference Standards'!S$157)),2))</f>
        <v/>
      </c>
      <c r="G51" s="530"/>
      <c r="H51" s="567"/>
      <c r="I51" s="555"/>
      <c r="J51" s="559"/>
      <c r="K51" s="555"/>
    </row>
    <row r="52" spans="1:13" ht="15.6" x14ac:dyDescent="0.3">
      <c r="A52" s="520"/>
      <c r="B52" s="520" t="s">
        <v>50</v>
      </c>
      <c r="C52" s="60" t="s">
        <v>377</v>
      </c>
      <c r="D52" s="64"/>
      <c r="E52" s="136"/>
      <c r="F52" s="294" t="str">
        <f>IF(E52="","",ROUND(IF(E52&gt;9.2,1,E52*'Reference Standards'!$S$189+'Reference Standards'!$S$190),2))</f>
        <v/>
      </c>
      <c r="G52" s="552" t="str">
        <f>IFERROR(ROUND(AVERAGE(F52:F61),2),"")</f>
        <v/>
      </c>
      <c r="H52" s="567"/>
      <c r="I52" s="555"/>
      <c r="J52" s="559"/>
      <c r="K52" s="555"/>
    </row>
    <row r="53" spans="1:13" ht="15.6" x14ac:dyDescent="0.3">
      <c r="A53" s="520"/>
      <c r="B53" s="520"/>
      <c r="C53" s="62" t="s">
        <v>378</v>
      </c>
      <c r="D53" s="58"/>
      <c r="E53" s="162"/>
      <c r="F53" s="294" t="str">
        <f>IF(E53="","",ROUND(IF(E53&gt;9.2,1,E53*'Reference Standards'!$S$189+'Reference Standards'!$S$190),2))</f>
        <v/>
      </c>
      <c r="G53" s="553"/>
      <c r="H53" s="567"/>
      <c r="I53" s="555"/>
      <c r="J53" s="559"/>
      <c r="K53" s="555"/>
    </row>
    <row r="54" spans="1:13" ht="15.6" x14ac:dyDescent="0.3">
      <c r="A54" s="520"/>
      <c r="B54" s="520"/>
      <c r="C54" s="62" t="s">
        <v>379</v>
      </c>
      <c r="D54" s="58"/>
      <c r="E54" s="162"/>
      <c r="F54" s="294" t="str">
        <f>IF(E54="","",ROUND( IF(E54&gt;=200,1,IF(E54&lt;50, E54^2*'Reference Standards'!S$224+E54*'Reference Standards'!S$225+'Reference Standards'!S$226, E54*'Reference Standards'!T$224+'Reference Standards'!T$225)),2))</f>
        <v/>
      </c>
      <c r="G54" s="553"/>
      <c r="H54" s="567"/>
      <c r="I54" s="555"/>
      <c r="J54" s="559"/>
      <c r="K54" s="555"/>
    </row>
    <row r="55" spans="1:13" ht="15.6" x14ac:dyDescent="0.3">
      <c r="A55" s="520"/>
      <c r="B55" s="520"/>
      <c r="C55" s="62" t="s">
        <v>380</v>
      </c>
      <c r="D55" s="58"/>
      <c r="E55" s="162"/>
      <c r="F55" s="294" t="str">
        <f>IF(E55="","",ROUND( IF(E55&gt;=200,1,IF(E55&lt;50, E55^2*'Reference Standards'!S$224+E55*'Reference Standards'!S$225+'Reference Standards'!S$226, E55*'Reference Standards'!T$224+'Reference Standards'!T$225)),2))</f>
        <v/>
      </c>
      <c r="G55" s="553"/>
      <c r="H55" s="567"/>
      <c r="I55" s="555"/>
      <c r="J55" s="559"/>
      <c r="K55" s="555"/>
    </row>
    <row r="56" spans="1:13" ht="15.6" x14ac:dyDescent="0.3">
      <c r="A56" s="520"/>
      <c r="B56" s="520"/>
      <c r="C56" s="58" t="s">
        <v>381</v>
      </c>
      <c r="D56" s="58"/>
      <c r="E56" s="162"/>
      <c r="F56" s="294" t="str">
        <f>IF(E56="","",ROUND(IF(AND(E56&gt;=135,E56&lt;=262),1,IF(  E56&gt;=366,0.5, IF(E56&lt;135,E56*'Reference Standards'!S$259+'Reference Standards'!S$260, E56*'Reference Standards'!T$259+'Reference Standards'!T$260))),2))</f>
        <v/>
      </c>
      <c r="G56" s="553"/>
      <c r="H56" s="567"/>
      <c r="I56" s="555"/>
      <c r="J56" s="559"/>
      <c r="K56" s="555"/>
    </row>
    <row r="57" spans="1:13" ht="15.6" x14ac:dyDescent="0.3">
      <c r="A57" s="520"/>
      <c r="B57" s="520"/>
      <c r="C57" s="58" t="s">
        <v>382</v>
      </c>
      <c r="D57" s="58"/>
      <c r="E57" s="162"/>
      <c r="F57" s="294" t="str">
        <f>IF(E57="","",ROUND(IF(AND(E57&gt;=135,E57&lt;=262),1,IF(  E57&gt;=366,0.5, IF(E57&lt;135,E57*'Reference Standards'!S$259+'Reference Standards'!S$260, E57*'Reference Standards'!T$259+'Reference Standards'!T$260))),2))</f>
        <v/>
      </c>
      <c r="G57" s="553"/>
      <c r="H57" s="567"/>
      <c r="I57" s="555"/>
      <c r="J57" s="559"/>
      <c r="K57" s="555"/>
    </row>
    <row r="58" spans="1:13" ht="15.6" x14ac:dyDescent="0.3">
      <c r="A58" s="520"/>
      <c r="B58" s="520"/>
      <c r="C58" s="58" t="s">
        <v>383</v>
      </c>
      <c r="D58" s="58"/>
      <c r="E58" s="162"/>
      <c r="F58" s="84" t="str">
        <f>IF(E58="","",ROUND(IF(E58&gt;=75,1,IF(E58&lt;=0,0,E58*'Reference Standards'!S$330)),2))</f>
        <v/>
      </c>
      <c r="G58" s="553"/>
      <c r="H58" s="567"/>
      <c r="I58" s="555"/>
      <c r="J58" s="559"/>
      <c r="K58" s="555"/>
    </row>
    <row r="59" spans="1:13" ht="15.6" x14ac:dyDescent="0.3">
      <c r="A59" s="520"/>
      <c r="B59" s="520"/>
      <c r="C59" s="58" t="s">
        <v>384</v>
      </c>
      <c r="D59" s="58"/>
      <c r="E59" s="162"/>
      <c r="F59" s="84" t="str">
        <f>IF(E59="","",ROUND(IF(E59&gt;=75,1,IF(E59&lt;=0,0,E59*'Reference Standards'!S$330)),2))</f>
        <v/>
      </c>
      <c r="G59" s="553"/>
      <c r="H59" s="567"/>
      <c r="I59" s="555"/>
      <c r="J59" s="559"/>
      <c r="K59" s="555"/>
    </row>
    <row r="60" spans="1:13" ht="15.6" x14ac:dyDescent="0.3">
      <c r="A60" s="520"/>
      <c r="B60" s="520"/>
      <c r="C60" s="58" t="s">
        <v>385</v>
      </c>
      <c r="D60" s="58"/>
      <c r="E60" s="162"/>
      <c r="F60" s="294" t="str">
        <f>IF(E60="","",ROUND(IF(AND(E60&gt;=36.3,E60&lt;=68),1,IF(E60&gt;100,0,IF(E60&lt;36.3,(('Reference Standards'!S$297*(E60^2))+('Reference Standards'!S$298*E60)+'Reference Standards'!S$299),IF(E60&gt;68,(('Reference Standards'!T$297*(E60^2))+('Reference Standards'!T$298*E60)+'Reference Standards'!T$299))))),2))</f>
        <v/>
      </c>
      <c r="G60" s="553"/>
      <c r="H60" s="567"/>
      <c r="I60" s="555"/>
      <c r="J60" s="559"/>
      <c r="K60" s="555"/>
      <c r="M60" s="21"/>
    </row>
    <row r="61" spans="1:13" ht="15.6" x14ac:dyDescent="0.3">
      <c r="A61" s="520"/>
      <c r="B61" s="521"/>
      <c r="C61" s="58" t="s">
        <v>386</v>
      </c>
      <c r="D61" s="65"/>
      <c r="E61" s="162"/>
      <c r="F61" s="294" t="str">
        <f>IF(E61="","",ROUND(IF(AND(E61&gt;=36.3,E61&lt;=68),1,IF(E61&gt;100,0,IF(E61&lt;36.3,(('Reference Standards'!S$297*(E61^2))+('Reference Standards'!S$298*E61)+'Reference Standards'!S$299),IF(E61&gt;68,(('Reference Standards'!T$297*(E61^2))+('Reference Standards'!T$298*E61)+'Reference Standards'!T$299))))),2))</f>
        <v/>
      </c>
      <c r="G61" s="554"/>
      <c r="H61" s="567"/>
      <c r="I61" s="555"/>
      <c r="J61" s="559"/>
      <c r="K61" s="555"/>
    </row>
    <row r="62" spans="1:13" ht="15.6" x14ac:dyDescent="0.3">
      <c r="A62" s="520"/>
      <c r="B62" s="56" t="s">
        <v>108</v>
      </c>
      <c r="C62" s="72" t="s">
        <v>130</v>
      </c>
      <c r="D62" s="58"/>
      <c r="E62" s="43"/>
      <c r="F62" s="82" t="str">
        <f>IF(E62="","",IF(OR('Quantification Tool R3'!B$14="Gravel",'Quantification Tool R3'!B$14="Cobble"),IF(E62&gt;0.1,1,IF(E62&lt;=0.01,0,ROUND(E62*'Reference Standards'!$S$362+'Reference Standards'!$S$363,2)))))</f>
        <v/>
      </c>
      <c r="G62" s="82" t="str">
        <f>IFERROR(AVERAGE(F62),"")</f>
        <v/>
      </c>
      <c r="H62" s="567"/>
      <c r="I62" s="555"/>
      <c r="J62" s="559"/>
      <c r="K62" s="555"/>
    </row>
    <row r="63" spans="1:13" ht="15.6" x14ac:dyDescent="0.3">
      <c r="A63" s="520"/>
      <c r="B63" s="526" t="s">
        <v>51</v>
      </c>
      <c r="C63" s="64" t="s">
        <v>52</v>
      </c>
      <c r="D63" s="64"/>
      <c r="E63" s="166"/>
      <c r="F63" s="337" t="str">
        <f>IF(E63="","",IF(ISNUMBER('Quantification Tool R3'!$B$17),IF('Quantification Tool R3'!$B$17&lt;=2,IF(AND(E63&gt;=3,E63&lt;=5),1,IF(OR(E63&lt;=1,E63&gt;=7),0,ROUND(IF(E63&lt;3,E63*'Reference Standards'!S$398+'Reference Standards'!S$399,E63*'Reference Standards'!T$398+'Reference Standards'!T$399),2))),IF(E63&lt;=2.5,1,IF(E63&gt;=5.8,0,ROUND(E63*'Reference Standards'!S$430+'Reference Standards'!S$431,2))))))</f>
        <v/>
      </c>
      <c r="G63" s="528" t="str">
        <f>IFERROR(AVERAGE(F63:F66),"")</f>
        <v/>
      </c>
      <c r="H63" s="567"/>
      <c r="I63" s="555"/>
      <c r="J63" s="559"/>
      <c r="K63" s="555"/>
    </row>
    <row r="64" spans="1:13" ht="15.6" x14ac:dyDescent="0.3">
      <c r="A64" s="520"/>
      <c r="B64" s="520"/>
      <c r="C64" s="58" t="s">
        <v>53</v>
      </c>
      <c r="D64" s="58"/>
      <c r="E64" s="165"/>
      <c r="F64" s="84" t="str">
        <f>IF(E64="","", IF( E64&gt;=2.4,1, IF(E64&lt;=1,0,  ROUND(IF(E64&lt;2.4, E64*'Reference Standards'!$S$464+'Reference Standards'!$S$465  ),2))))</f>
        <v/>
      </c>
      <c r="G64" s="529"/>
      <c r="H64" s="567"/>
      <c r="I64" s="555"/>
      <c r="J64" s="559"/>
      <c r="K64" s="555"/>
    </row>
    <row r="65" spans="1:12" ht="15.6" x14ac:dyDescent="0.3">
      <c r="A65" s="520"/>
      <c r="B65" s="520"/>
      <c r="C65" s="58" t="s">
        <v>334</v>
      </c>
      <c r="D65" s="58"/>
      <c r="E65" s="165"/>
      <c r="F65" s="390" t="str">
        <f>IF(E65="","", IF(LEFT('Quantification Tool R3'!$B$12,2)="67",  IF( AND(E65&gt;=45,E65&lt;=65),1, IF(OR(E65&lt;=20,E65&gt;=90),0, ROUND(  IF(E65&lt;45, E65*'Reference Standards'!$S$498+'Reference Standards'!$S$499,E65*'Reference Standards'!$T$498+'Reference Standards'!$T$499),2))), IF(OR(  LEFT('Quantification Tool R3'!$B$12,2)="68", LEFT('Quantification Tool R3'!$B$12,2)="69",LEFT('Quantification Tool R3'!$B$12,2)="71"),  IF( AND(E65&gt;=30,E65&lt;=50),1, IF(OR(E65&lt;=10,E65&gt;=70),0, ROUND(  IF(E65&lt;30, E65*'Reference Standards'!$S$533+'Reference Standards'!$S$534,E65*'Reference Standards'!$T$533+'Reference Standards'!$T$534),2))), IF(LEFT('Quantification Tool R3'!$B$12,2)="66",  IF( AND(E65&gt;=20,E65&lt;=45),1, IF(OR(E65&lt;=0,E65&gt;=90),0, ROUND(  IF(E65&lt;20, E65*'Reference Standards'!$S$567+'Reference Standards'!$S$568,E65*'Reference Standards'!$T$567+'Reference Standards'!$T$568),2))), IF(OR(  LEFT('Quantification Tool R3'!$B$12,2)="65", LEFT('Quantification Tool R3'!$B$12,2)="74", LEFT('Quantification Tool R3'!$B$12,2)="73"),  IF( AND(E65&gt;=20,E65&lt;=30),1, IF(OR(E65&lt;=0,E65&gt;=50),0, ROUND(  IF(E65&lt;20, E65*'Reference Standards'!$S$601+'Reference Standards'!$S$602,E65*'Reference Standards'!$T$601+'Reference Standards'!$T$602),2))))))))</f>
        <v/>
      </c>
      <c r="G65" s="529"/>
      <c r="H65" s="567"/>
      <c r="I65" s="555"/>
      <c r="J65" s="559"/>
      <c r="K65" s="555"/>
    </row>
    <row r="66" spans="1:12" ht="15.6" x14ac:dyDescent="0.3">
      <c r="A66" s="520"/>
      <c r="B66" s="521"/>
      <c r="C66" s="62" t="s">
        <v>210</v>
      </c>
      <c r="D66" s="58"/>
      <c r="E66" s="167"/>
      <c r="F66" s="391" t="str">
        <f>IF(E66="","",IF(E66&gt;=1.6,0,IF(E66&lt;=1,1,ROUND('Reference Standards'!$S$633*E66^3+'Reference Standards'!$S$634*E66^2+'Reference Standards'!$S$635*E66+'Reference Standards'!$S$636,2))))</f>
        <v/>
      </c>
      <c r="G66" s="530"/>
      <c r="H66" s="567"/>
      <c r="I66" s="555"/>
      <c r="J66" s="559"/>
      <c r="K66" s="555"/>
      <c r="L66" s="13"/>
    </row>
    <row r="67" spans="1:12" ht="15.6" x14ac:dyDescent="0.3">
      <c r="A67" s="521"/>
      <c r="B67" s="296" t="s">
        <v>55</v>
      </c>
      <c r="C67" s="242" t="s">
        <v>54</v>
      </c>
      <c r="D67" s="243"/>
      <c r="E67" s="163"/>
      <c r="F67" s="342" t="str">
        <f>IF(E67="","",IF(AND('Quantification Tool R3'!B$11="E",'Quantification Tool R3'!$B$14="Sand",'Quantification Tool R3'!$B$21="Unconfined Alluvial"),ROUND(IF(OR(E67&gt;1.8,E67&lt;1.3),0,IF(E67&lt;=1.6,1,E67*'Reference Standards'!S$667+'Reference Standards'!S$668)),2),    IF('Quantification Tool R3'!$B$21="Unconfined Alluvial",ROUND(IF(OR(E67&lt;1.2, E67&gt;1.5),0,IF(E67&lt;=1.4,1,E67*'Reference Standards'!$S$700+'Reference Standards'!$S$701)),2), IF('Quantification Tool R3'!$B$21="Confined Alluvial",ROUND(IF(E67&lt;1.15,0,IF(E67&lt;=1.4,E67*'Reference Standards'!$S$729+'Reference Standards'!$S$730,1)),2),  IF('Quantification Tool R3'!$B$21="Colluvial",ROUND(IF(E67&gt;1.3,0,IF(E67&gt;1.2,E67*'Reference Standards'!$S$760+'Reference Standards'!$S$761,1)),2) )))))</f>
        <v/>
      </c>
      <c r="G67" s="84" t="str">
        <f>IFERROR(AVERAGE(F67),"")</f>
        <v/>
      </c>
      <c r="H67" s="567"/>
      <c r="I67" s="555"/>
      <c r="J67" s="559"/>
      <c r="K67" s="555"/>
      <c r="L67" s="13"/>
    </row>
    <row r="68" spans="1:12" ht="15.6" x14ac:dyDescent="0.3">
      <c r="A68" s="537" t="s">
        <v>58</v>
      </c>
      <c r="B68" s="67" t="s">
        <v>88</v>
      </c>
      <c r="C68" s="70" t="s">
        <v>338</v>
      </c>
      <c r="D68" s="70"/>
      <c r="E68" s="43"/>
      <c r="F68" s="343" t="str">
        <f>IF(E68="","",ROUND(IF(E68&gt;=942,0,IF(E68&lt;=487,E68*'Reference Standards'!AB$15+'Reference Standards'!AB$16,E68*'Reference Standards'!$AC$15+'Reference Standards'!$AC$16)),2))</f>
        <v/>
      </c>
      <c r="G68" s="85" t="str">
        <f>IFERROR(AVERAGE(F68),"")</f>
        <v/>
      </c>
      <c r="H68" s="547" t="str">
        <f>IFERROR(ROUND(AVERAGE(G68:G71),2),"")</f>
        <v/>
      </c>
      <c r="I68" s="534" t="str">
        <f>IF(H68="","",IF(H68&gt;0.69,"Functioning",IF(H68&gt;0.29,"Functioning At Risk",IF(H68&gt;-1,"Not Functioning"))))</f>
        <v/>
      </c>
      <c r="J68" s="559"/>
      <c r="K68" s="555"/>
      <c r="L68" s="21"/>
    </row>
    <row r="69" spans="1:12" ht="15.6" x14ac:dyDescent="0.3">
      <c r="A69" s="538"/>
      <c r="B69" s="297" t="s">
        <v>362</v>
      </c>
      <c r="C69" s="66" t="s">
        <v>354</v>
      </c>
      <c r="D69" s="66"/>
      <c r="E69" s="163"/>
      <c r="F69" s="344" t="str">
        <f>IF(E69="","",IF(OR('Quantification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June")),IF(E69&gt;93,0,IF(E69&lt;13,1,ROUND('Reference Standards'!$AB$53*E69^2+'Reference Standards'!$AB$54*E69+'Reference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R3'!$B$12="73b"),IF(E69&gt;94,0,IF(E69&lt;17,1,ROUND('Reference Standards'!$AC$53*E69^2+'Reference Standards'!$AC$54*E69+'Reference Standards'!$AC$55,2))),    IF(OR(AND(OR('Quantification Tool R3'!$B$12="68b",'Quantification Tool R3'!$B$12="71i"),'Quantification Tool R3'!$B$13&gt;2), 'Quantification Tool R3'!$B$12="71e"),IF(E69&gt;91,0,IF(E69&lt;24,1,ROUND('Reference Standards'!$AD$53*E69^2+'Reference Standards'!$AD$54*E69+'Reference Standards'!$AD$55,2))),  IF(OR(AND(OR('Quantification Tool R3'!$B$12="71f",'Quantification Tool R3'!$B$12="71g",'Quantification Tool R3'!$B$12="71h",'Quantification Tool R3'!$B$12="71i"),'Quantification Tool R3'!$B$13&lt;=2), AND('Quantification Tool R3'!$B$12="74a",'Quantification Tool R3'!$B$13&gt;2)),IF(E69&gt;95,0,IF(E69&lt;=36,1,ROUND('Reference Standards'!$AE$53*E69^2+'Reference Standards'!$AE$54*E69+'Reference Standards'!$AE$55,2))))))))</f>
        <v/>
      </c>
      <c r="G69" s="236" t="str">
        <f>IFERROR(AVERAGE(F69:F69),"")</f>
        <v/>
      </c>
      <c r="H69" s="548"/>
      <c r="I69" s="535"/>
      <c r="J69" s="559"/>
      <c r="K69" s="555"/>
      <c r="L69" s="21"/>
    </row>
    <row r="70" spans="1:12" ht="15.6" x14ac:dyDescent="0.3">
      <c r="A70" s="538"/>
      <c r="B70" s="67" t="s">
        <v>81</v>
      </c>
      <c r="C70" s="68" t="s">
        <v>281</v>
      </c>
      <c r="D70" s="68"/>
      <c r="E70" s="162"/>
      <c r="F70" s="344" t="str">
        <f>IF(E70="","",IF(ISNUMBER('Quantification Tool R3'!$B$13),IF(OR('Quantification Tool R3'!$B$12="66e",'Quantification Tool R3'!$B$12="66f",'Quantification Tool R3'!$B$12="66g"),ROUND(IF(E70&gt;=0.61,0,IF(E70&lt;=0.01,1,IF(E70&lt;=0.06,E70*'Reference Standards'!$AD$197+'Reference Standards'!$AD$198,E70^2*'Reference Standards'!$AB$196+E70*'Reference Standards'!$AB$197+'Reference Standards'!$AB$198))),2),IF('Quantification Tool R3'!$B$12="68b",ROUND(IF(E70&gt;=1.1,0,IF(E70&lt;=0.17,1,IF(E70&lt;=0.22,E70*'Reference Standards'!$AE$197+'Reference Standards'!$AE$198,E70^2*'Reference Standards'!$AC$196+E70*'Reference Standards'!$AC$197+'Reference Standards'!$AC$198))),2),IF('Quantification Tool R3'!$B$13&lt;=2.5,IF('Quantification Tool R3'!$B$12="69de",ROUND(IF(E70&gt;=0.22,0,IF(E70&lt;=0.01,1,E70^2*'Reference Standards'!$AB$90+E70*'Reference Standards'!$AB$91+'Reference Standards'!$AB$92)),2),IF('Quantification Tool R3'!$B$12="68c",ROUND(IF(E70&gt;=0.87,0,IF(E70&lt;=0.01,1,E70^2*'Reference Standards'!$AC$90+E70*'Reference Standards'!$AC$91+'Reference Standards'!$AC$92)),2),IF('Quantification Tool R3'!$B$12="68a",ROUND(IF(E70&gt;=0.81,0,IF(E70&lt;=0.01,1,E70^2*'Reference Standards'!$AD$90+E70*'Reference Standards'!$AD$91+'Reference Standards'!$AD$92)),2),IF('Quantification Tool R3'!$B$12="65abei",ROUND(IF(E70&gt;=0.67,0,IF(E70&lt;=0.01,1,IF(E70&lt;=0.18,E70*'Reference Standards'!$AG$91+'Reference Standards'!$AG$92,E70*'Reference Standards'!$AE$91+'Reference Standards'!$AE$92))),2),IF('Quantification Tool R3'!$B$12="65j",ROUND(IF(E70&gt;=0.32,0,IF(E70&lt;=0.01,1,IF(E70&lt;=0.25,E70*'Reference Standards'!$AH$91+'Reference Standards'!$AH$92,E70*'Reference Standards'!$AF$91+'Reference Standards'!$AF$92))),2),IF('Quantification Tool R3'!$B$12="71f",ROUND(IF(E70&gt;=3,0,IF(E70&lt;=0,1,IF(E70&lt;=0.01,0.7,E70^2*'Reference Standards'!$AB$126+E70*'Reference Standards'!$AB$127+'Reference Standards'!$AB$128))),2),IF('Quantification Tool R3'!$B$12="74a",ROUND(IF(E70&gt;=0.14,0,IF(E70&lt;=0.01,1,IF(E70&lt;=0.02,0.7,E70^2*'Reference Standards'!$AC$126+E70*'Reference Standards'!$AC$127+'Reference Standards'!$AC$128))),2),IF(OR('Quantification Tool R3'!$B$12="67fhi",'Quantification Tool R3'!$B$12="67g"),ROUND(IF(E70&gt;=1.9,0,IF(E70&lt;=0.01,1,IF(E70&lt;=0.05,E70*'Reference Standards'!$AF$127+'Reference Standards'!$AF$128,E70^2*'Reference Standards'!$AD$126+E70*'Reference Standards'!$AD$127+'Reference Standards'!$AD$128))),2),IF('Quantification Tool R3'!$B$12="73a",ROUND(IF(E70&gt;=1.44,0,IF(E70&lt;=0.01,1,IF(E70&lt;=0.12,E70*'Reference Standards'!$AG$127+'Reference Standards'!$AG$128,E70^2*'Reference Standards'!$AE$126+E70*'Reference Standards'!$AE$127+'Reference Standards'!$AE$128))),2),IF('Quantification Tool R3'!$B$12="66d",ROUND(IF(E70&gt;=0.46,0,IF(E70&lt;=0.02,1,IF(E70&lt;=0.08,E70*'Reference Standards'!$AF$163+'Reference Standards'!$AF$164,E70^2*'Reference Standards'!$AB$162+E70*'Reference Standards'!$AB$163+'Reference Standards'!$AB$164))),2),IF(OR('Quantification Tool R3'!$B$12="71g",'Quantification Tool R3'!$B$12="71h",'Quantification Tool R3'!$B$12="71i"),ROUND(IF(E70&gt;=3,0,IF(E70&lt;=0.06,1,IF(E70&lt;=0.24,E70*'Reference Standards'!$AG$163+'Reference Standards'!$AG$164,E70^2*'Reference Standards'!$AC$162+E70*'Reference Standards'!$AC$163+'Reference Standards'!$AC$164))),2),IF('Quantification Tool R3'!$B$12="74b",ROUND(IF(E70&gt;=1.3,0,IF(E70&lt;=0.29,1,IF(E70&lt;=0.48,E70*'Reference Standards'!$AH$163+'Reference Standards'!$AH$164,E70^2*'Reference Standards'!$AD$162+E70*'Reference Standards'!$AD$163+'Reference Standards'!$AD$164))),2),IF('Quantification Tool R3'!$B$12="71e",ROUND(IF(E70&gt;=4.3,0,IF(E70&lt;=0.53,1,IF(E70&lt;=0.67,E70*'Reference Standards'!$AI$163+'Reference Standards'!$AI$164,E70^2*'Reference Standards'!$AE$162+E70*'Reference Standards'!$AE$163+'Reference Standards'!$AE$164))),2)))))))))))))),IF('Quantification Tool R3'!$B$13&gt;2.5,IF('Quantification Tool R3'!$B$12="73a",ROUND(IF(E70&gt;=0.55,0,IF(E70&lt;=0,1,E70^2*'Reference Standards'!$AB$232+E70*'Reference Standards'!$AB$233+'Reference Standards'!$AB$234)),2),IF('Quantification Tool R3'!$B$12="68a",ROUND(IF(E70&gt;=0.54,0,IF(E70&lt;=0,1,IF(E70&lt;=0.01,0.85,E70^2*'Reference Standards'!$AC$232+E70*'Reference Standards'!$AC$233+'Reference Standards'!$AC$234))),2),IF('Quantification Tool R3'!$B$12="74a",ROUND(IF(E70&gt;=0.47,0,IF(E70&lt;=0.01,1,IF(E70&lt;=0.02,0.7,E70^2*'Reference Standards'!$AD$232+E70*'Reference Standards'!$AD$233+'Reference Standards'!$AD$234))),2),IF('Quantification Tool R3'!$B$12="69de",ROUND(IF(E70&gt;=0.26,0,IF(E70&lt;=0.01,1,IF(E70&lt;=0.02,0.85,E70^2*'Reference Standards'!$AE$232+E70*'Reference Standards'!$AE$233+'Reference Standards'!$AE$234))),2),IF('Quantification Tool R3'!$B$12="71f",ROUND(IF(E70&gt;=0.87,0,IF(E70&lt;=0.01,1,IF(E70&lt;=0.04,E70*'Reference Standards'!$AF$269+'Reference Standards'!$AF$270,E70^2*'Reference Standards'!$AB$268+E70*'Reference Standards'!$AB$269+'Reference Standards'!$AB$270))),2),IF('Quantification Tool R3'!$B$12="65abei",ROUND(IF(E70&gt;=0.82,0,IF(E70&lt;=0.01,1,IF(E70&lt;=0.06,E70*'Reference Standards'!$AG$269+'Reference Standards'!$AG$270,E70^2*'Reference Standards'!$AC$268+E70*'Reference Standards'!$AC$269+'Reference Standards'!$AC$270))),2),IF('Quantification Tool R3'!$B$12="65j",ROUND(IF(E70&gt;=0.33,0,IF(E70&lt;=0.03,1,IF(E70&lt;=0.09,E70*'Reference Standards'!$AH$269+'Reference Standards'!$AH$270,E70^2*'Reference Standards'!$AD$268+E70*'Reference Standards'!$AD$269+'Reference Standards'!$AD$270))),2),IF('Quantification Tool R3'!$B$12="68c",ROUND(IF(E70&gt;=0.7,0,IF(E70&lt;=0.07,1,IF(E70&lt;=0.12,E70*'Reference Standards'!$AI$269+'Reference Standards'!$AI$270,E70^2*'Reference Standards'!$AE$268+E70*'Reference Standards'!$AE$269+'Reference Standards'!$AE$270))),2),IF(OR('Quantification Tool R3'!$B$12="67fhi",'Quantification Tool R3'!$B$12="67g"),ROUND(IF(E70&gt;=1.8,0,IF(E70&lt;=0.08,1,IF(E70&lt;=0.2,E70*'Reference Standards'!$AF$306+'Reference Standards'!$AF$307,E70^2*'Reference Standards'!$AB$305+E70*'Reference Standards'!$AB$306+'Reference Standards'!$AB$307))),2),IF('Quantification Tool R3'!$B$12="74b",ROUND(IF(E70&gt;=0.96,0,IF(E70&lt;=0.12,1,IF(E70&lt;=0.16,E70*'Reference Standards'!$AG$306+'Reference Standards'!$AG$307,E70^2*'Reference Standards'!$AC$305+E70*'Reference Standards'!$AC$306+'Reference Standards'!$AC$307))),2),IF('Quantification Tool R3'!$B$12="66d",ROUND(IF(E70&gt;=0.75,0,IF(E70&lt;=0.13,1,IF(E70&lt;=0.2,E70*'Reference Standards'!$AH$306+'Reference Standards'!$AH$307,E70^2*'Reference Standards'!$AD$305+E70*'Reference Standards'!$AD$306+'Reference Standards'!$AD$307))),2),IF(OR('Quantification Tool R3'!$B$12="71g",'Quantification Tool R3'!$B$12="71h",'Quantification Tool R3'!$B$12="71i"),ROUND(IF(E70&gt;=1.68,0,IF(E70&lt;=0.08,1,IF(E70&lt;=0.23,E70*'Reference Standards'!$AI$306+'Reference Standards'!$AI$307,E70^2*'Reference Standards'!$AE$305+E70*'Reference Standards'!$AE$306+'Reference Standards'!$AE$307))),2),IF('Quantification Tool R3'!$B$12="71e",ROUND(IF(E70&gt;=5.3,0,IF(E70&lt;=0.94,1,IF(E70&lt;=1.4,E70*'Reference Standards'!$AF$310+'Reference Standards'!$AF$311,E70^2*'Reference Standards'!$AB$309+E70*'Reference Standards'!$AB$310+'Reference Standards'!$AB$311))),2))))))))))))))))))))</f>
        <v/>
      </c>
      <c r="G70" s="86" t="str">
        <f>IFERROR(AVERAGE(F70),"")</f>
        <v/>
      </c>
      <c r="H70" s="548"/>
      <c r="I70" s="535"/>
      <c r="J70" s="559"/>
      <c r="K70" s="555"/>
      <c r="L70" s="21"/>
    </row>
    <row r="71" spans="1:12" ht="15.6" x14ac:dyDescent="0.3">
      <c r="A71" s="539"/>
      <c r="B71" s="298" t="s">
        <v>82</v>
      </c>
      <c r="C71" s="66" t="s">
        <v>280</v>
      </c>
      <c r="D71" s="66"/>
      <c r="E71" s="136"/>
      <c r="F71" s="343" t="str">
        <f>IF(E71="","",IF(ISNUMBER('Quantification Tool R3'!$B$13),IF('Quantification Tool R3'!$B$13&gt;2.5,IF(OR('Quantification Tool R3'!$B$12="71h",'Quantification Tool R3'!$B$12="71i",'Quantification Tool R3'!$B$12="73a",'Quantification Tool R3'!$B$12="74a"),IF(E71&lt;=0.01,1,IF(OR('Quantification Tool R3'!$B$12="71h",'Quantification Tool R3'!$B$12="71i"),IF(E71&gt;0.37,0,ROUND(IF(E71&gt;0.03,'Reference Standards'!$AB$425*E71^2+'Reference Standards'!$AB$426*E71+'Reference Standards'!$AB$427,'Reference Standards'!$AF$426*E71+'Reference Standards'!$AF$427),2)),IF('Quantification Tool R3'!$B$12="73a",IF(E71&gt;0.405,0,ROUND(IF(E71&gt;0.046,'Reference Standards'!$AC$425*E71^2+'Reference Standards'!$AC$426*E71+'Reference Standards'!$AC$427,'Reference Standards'!$AG$426*E71+'Reference Standards'!$AG$427),2)),IF('Quantification Tool R3'!$B$12="74a",IF(E71&gt;0.3,0,ROUND(IF(E71&gt;0.052,'Reference Standards'!$AD$425*E71^2+'Reference Standards'!$AD$426*E71+'Reference Standards'!$AD$427,'Reference Standards'!$AH$426*E71+'Reference Standards'!$AH$427),2)))))),IF(E71&lt;=0.002,1,IF(OR('Quantification Tool R3'!$B$12="66d",'Quantification Tool R3'!$B$12="66e",'Quantification Tool R3'!$B$12="66g"),IF(E71&gt;0.053,0,ROUND(E71^2*'Reference Standards'!$AB$347+E71*'Reference Standards'!$AB$348+'Reference Standards'!$AB$349,2)),IF('Quantification Tool R3'!$B$12="68b",IF(E71&gt;0.05,0,ROUND(E71^2*'Reference Standards'!$AC$347+E71*'Reference Standards'!$AC$348+'Reference Standards'!$AC$349,2)),IF(OR('Quantification Tool R3'!$B$12="68a",'Quantification Tool R3'!$B$12="68c"),IF(E71&gt;0.07,0,ROUND(E71^2*'Reference Standards'!$AD$347+E71*'Reference Standards'!$AD$348+'Reference Standards'!$AD$349,2)),IF(OR('Quantification Tool R3'!$B$12="71f",'Quantification Tool R3'!$B$12="71g"),IF(E71&gt;0.13,0,ROUND(IF(E71&gt;0.042,E71*'Reference Standards'!$AE$348+'Reference Standards'!$AE$349,E71*'Reference Standards'!$AF$348+'Reference Standards'!$AF$349),2)),IF('Quantification Tool R3'!$B$12="67fhi",IF(E71&gt;0.16,0,ROUND(E71^2*'Reference Standards'!$AG$347+E71*'Reference Standards'!$AG$348+'Reference Standards'!$AG$349,2)),IF('Quantification Tool R3'!$B$12="65j",IF(E71&gt;0.035,0,ROUND(IF(E71&lt;=0.003,0.7,E71^2*'Reference Standards'!$AB$387+E71*'Reference Standards'!$AB$388+'Reference Standards'!$AB$389),2)),IF('Quantification Tool R3'!$B$12="69de",IF(E71&gt;0.037,0,ROUND(IF(E71&lt;=0.003,0.7,E71^2*'Reference Standards'!$AC$387+E71*'Reference Standards'!$AC$388+'Reference Standards'!$AC$389),2)),IF('Quantification Tool R3'!$B$12="71e",IF(E71&gt;0.23,0,ROUND(IF(E71&lt;=0.003,0.7,E71^2*'Reference Standards'!$AD$387+E71*'Reference Standards'!$AD$388+'Reference Standards'!$AD$389),2)),IF('Quantification Tool R3'!$B$12="66f",IF(E71&gt;0.06,0,ROUND(IF(E71&lt;=0.003,0.85,IF(E71&lt;=0.004,0.7,E71^2*'Reference Standards'!$AE$387+E71*'Reference Standards'!$AE$388+'Reference Standards'!$AE$389)),2)),IF('Quantification Tool R3'!$B$12="67g",IF(E71&gt;0.11,0,ROUND(IF(E71&lt;=0.01,E71*'Reference Standards'!$AH$388+'Reference Standards'!$AH$389,E71^2*'Reference Standards'!$AF$387+E71*'Reference Standards'!$AF$388+'Reference Standards'!$AF$389),2)),IF('Quantification Tool R3'!$B$12="74b",IF(E71&gt;0.49,0,ROUND(IF(E71&lt;=0.01,E71*'Reference Standards'!$AH$388+'Reference Standards'!$AH$389,E71^2*'Reference Standards'!$AG$387+E71*'Reference Standards'!$AG$388+'Reference Standards'!$AG$389),2)),IF('Quantification Tool R3'!$B$12="65abei",IF(E71&gt;0.199,0,ROUND(IF(E71&lt;=0.01,E71*'Reference Standards'!$AI$426+'Reference Standards'!$AI$427,E71^2*'Reference Standards'!$AE$425+E71*'Reference Standards'!$AE$426+'Reference Standards'!$AE$427),2)))))))))))))))),IF('Quantification Tool R3'!$B$13&lt;=2.5,IF(OR('Quantification Tool R3'!$B$12="66d",'Quantification Tool R3'!$B$12="66e",'Quantification Tool R3'!$B$12="66g"),IF(E71&gt;0.05,0,ROUND(IF(E71&lt;=0.002,1,IF(E71&lt;=0.005,E71*'Reference Standards'!$AF$464+'Reference Standards'!$AF$465,E71^2*'Reference Standards'!$AB$463+E71*'Reference Standards'!$AB$464+'Reference Standards'!$AB$465)),2)),IF('Quantification Tool R3'!$B$12="67fhi",IF(E71&gt;0.1,0,ROUND(IF(E71&lt;=0.002,1,IF(E71&lt;=0.006,E71*'Reference Standards'!$AG$464+'Reference Standards'!$AG$465,E71^2*'Reference Standards'!$AC$463+E71*'Reference Standards'!$AC$464+'Reference Standards'!$AC$465)),2)),IF('Quantification Tool R3'!$B$12="65abei",IF(E71&gt;0.13,0,ROUND(IF(E71&lt;=0.003,1,IF(E71&lt;=0.008,E71*'Reference Standards'!$AH$464+'Reference Standards'!$AH$465,E71^2*'Reference Standards'!$AD$463+E71*'Reference Standards'!$AD$464+'Reference Standards'!$AD$465)),2)),IF('Quantification Tool R3'!$B$12="68b",IF(E71&gt;0.043,0,ROUND(IF(E71&lt;=0.004,1,IF(E71&lt;=0.005,0.7,E71^2*'Reference Standards'!$AE$463+E71*'Reference Standards'!$AE$464+'Reference Standards'!$AE$465)),2)),IF('Quantification Tool R3'!$B$12="69de",IF(E71&gt;=0.034,0,ROUND(IF(E71&lt;=0.003,1,IF(E71&lt;=0.006,E71*'Reference Standards'!$AG$500+'Reference Standards'!$AG$501,E71*'Reference Standards'!$AB$500+'Reference Standards'!$AB$501)),2)),IF(OR('Quantification Tool R3'!$B$12="68a",'Quantification Tool R3'!$B$12="68c"),IF(E71&gt;0.202,0,ROUND(IF(E71&lt;=0.003,1,IF(E71&lt;=0.006,E71*'Reference Standards'!$AG$500+'Reference Standards'!$AG$501,IF(E71&gt;=0.04,E71*'Reference Standards'!$AC$500+'Reference Standards'!$AC$501,E71*'Reference Standards'!$AE$500+'Reference Standards'!$AE$501))),2)),IF(OR('Quantification Tool R3'!$B$12="71f",'Quantification Tool R3'!$B$12="71g"),IF(E71&gt;0.631,0,ROUND(IF(E71&lt;=0.003,1,IF(E71&lt;=0.006,E71*'Reference Standards'!$AG$500+'Reference Standards'!$AG$501,IF(E71&gt;=0.17,E71*'Reference Standards'!$AD$500+'Reference Standards'!$AD$501,E71*'Reference Standards'!$AF$500+'Reference Standards'!$AF$501))),2)),IF('Quantification Tool R3'!$B$12="71e",IF(E71&gt;1.23,0,ROUND(IF(E71&lt;=0.004,1,IF(E71&lt;=0.006,E71*'Reference Standards'!$AF$538+'Reference Standards'!$AF$539,E71^2*'Reference Standards'!$AB$537+E71*'Reference Standards'!$AB$538+'Reference Standards'!$AB$539)),2)),IF('Quantification Tool R3'!$B$12="67g",IF(E71&gt;0.11,0,ROUND(IF(E71&lt;=0.006,1,IF(E71&lt;=0.011,E71*'Reference Standards'!$AG$538+'Reference Standards'!$AG$539,E71^2*'Reference Standards'!$AC$537+E71*'Reference Standards'!$AC$538+'Reference Standards'!$AC$539)),2)),IF('Quantification Tool R3'!$B$12="65j",IF(E71&gt;0.046,0,ROUND(IF(E71&lt;=0.007,1,IF(E71&lt;=0.012,E71*'Reference Standards'!$AH$538+'Reference Standards'!$AH$539,E71^2*'Reference Standards'!$AD$537+E71*'Reference Standards'!$AD$538+'Reference Standards'!$AD$539)),2)),IF('Quantification Tool R3'!$B$12="66f",IF(E71&gt;0.081,0,ROUND(IF(E71&lt;=0.008,1,IF(E71&lt;=0.011,E71*'Reference Standards'!$AI$538+'Reference Standards'!$AI$539,E71^2*'Reference Standards'!$AE$537+E71*'Reference Standards'!$AE$538+'Reference Standards'!$AE$539)),2)),IF(OR('Quantification Tool R3'!$B$12="71h",'Quantification Tool R3'!$B$12="71i"),IF(E71&gt;0.37,0,ROUND(IF(E71&lt;=0.013,1,IF(E71&lt;=0.032,E71*'Reference Standards'!$AH$576+'Reference Standards'!$AH$577,IF(E71&lt;=0.3,E71*'Reference Standards'!$AF$576+'Reference Standards'!$AF$577,E71*'Reference Standards'!$AB$576+'Reference Standards'!$AB$577))),2)),IF('Quantification Tool R3'!$B$12="73a",IF(E71&gt;0.448,0,ROUND(IF(E71&lt;=0.071,1,IF(E71&lt;=0.086,E71*'Reference Standards'!$AJ$576+'Reference Standards'!$AJ$577,IF(E71&lt;=0.165,E71*'Reference Standards'!$AG$576+'Reference Standards'!$AG$577,E71*'Reference Standards'!$AE$576+'Reference Standards'!$AE$577))),2)),IF('Quantification Tool R3'!$B$12="74b",IF(E71&gt;0.43,0,ROUND(IF(E71&lt;=0.018,1,IF(E71&lt;=0.019,0.85,IF(E71&lt;=0.02,0.7,E71^2*'Reference Standards'!$AC$575+E71*'Reference Standards'!$AC$576+'Reference Standards'!$AC$577))),2)),IF('Quantification Tool R3'!$B$12="74a",IF(E71&gt;0.217,0,ROUND(IF(E71&lt;=0.02,1,IF(E71&lt;=0.033,E71*'Reference Standards'!$AI$576+'Reference Standards'!$AI$577,E71^2*'Reference Standards'!$AD$575+E71*'Reference Standards'!$AD$576+'Reference Standards'!$AD$577)),2)))))))))))))))))))))</f>
        <v/>
      </c>
      <c r="G71" s="87" t="str">
        <f>IFERROR(AVERAGE(F71),"")</f>
        <v/>
      </c>
      <c r="H71" s="549"/>
      <c r="I71" s="536"/>
      <c r="J71" s="559"/>
      <c r="K71" s="555"/>
      <c r="L71" s="21"/>
    </row>
    <row r="72" spans="1:12" ht="15.6" x14ac:dyDescent="0.3">
      <c r="A72" s="550" t="s">
        <v>59</v>
      </c>
      <c r="B72" s="560" t="s">
        <v>340</v>
      </c>
      <c r="C72" s="125" t="s">
        <v>331</v>
      </c>
      <c r="D72" s="126"/>
      <c r="E72" s="166"/>
      <c r="F72" s="345" t="str">
        <f>IF(E72="","",IF(OR('Quantification Tool R3'!B$12="73a",'Quantification Tool R3'!B$12="73b"),IF(E72&lt;1,0,IF(E72&gt;=30,1,ROUND(IF(E72&lt;22,'Reference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531" t="str">
        <f>IFERROR(AVERAGE(F72:F75),"")</f>
        <v/>
      </c>
      <c r="H72" s="568" t="str">
        <f>IFERROR(ROUND(AVERAGE(G72:G77),2),"")</f>
        <v/>
      </c>
      <c r="I72" s="519" t="str">
        <f>IF(H72="","",IF(H72&gt;0.69,"Functioning",IF(H72&gt;0.29,"Functioning At Risk",IF(H72&gt;-1,"Not Functioning"))))</f>
        <v/>
      </c>
      <c r="J72" s="559"/>
      <c r="K72" s="555"/>
      <c r="L72" s="21"/>
    </row>
    <row r="73" spans="1:12" ht="15.6" x14ac:dyDescent="0.3">
      <c r="A73" s="556"/>
      <c r="B73" s="561"/>
      <c r="C73" s="174" t="s">
        <v>335</v>
      </c>
      <c r="D73" s="175"/>
      <c r="E73" s="165"/>
      <c r="F73" s="346" t="str">
        <f>IF(E73="","",IF(AND('Quantification Tool R3'!$B$12="74b",'Quantification Tool R3'!$B$13&lt;=2),IF(E73&lt;0,0,IF(E73&gt;15.6,0.69,ROUND('Reference Standards'!$AL$54*E73^2+'Reference Standards'!$AL$55*E73+'Reference Standards'!$AL$56,2))),IF(AND('Quantification Tool R3'!$B$12="65abei",'Quantification Tool R3'!$B$13&lt;=2),IF(E73&lt;0,0,IF(E73&gt;=20,0.69,ROUND('Reference Standards'!$AM$54*E73^2+'Reference Standards'!$AM$55*E73+'Reference Standards'!$AM$56,2))),IF(OR(AND('Quantification Tool R3'!$B$12="74a",'Quantification Tool R3'!$B$13&gt;2,'Quantification Tool R3'!$B$19="January - June"),AND('Quantification Tool R3'!$B$12="71i",'Quantification Tool R3'!$B$13&gt;2,'Quantification Tool R3'!$B$20="SQBANK")),IF(E73&lt;0,0,IF(E73&gt;24.7,0.69,ROUND('Reference Standards'!$AN$54*E73^2+'Reference Standards'!$AN$55*E73+'Reference Standards'!$AN$56,2))),IF(OR('Quantification Tool R3'!$B$12="74b",'Quantification Tool R3'!$B$12="65abei"),IF(E73&lt;0,0,IF(E73&gt;32.7,0.69,ROUND('Reference Standards'!$AO$54*E73^2+'Reference Standards'!$AO$55*E73+'Reference Standards'!$AO$56,2))),IF(AND('Quantification Tool R3'!$B$12="68b",'Quantification Tool R3'!$B$13&gt;2),IF(E73&lt;0,0,IF(E73&gt;41.2,0.69,ROUND('Reference Standards'!$AP$54*E73^2+'Reference Standards'!$AP$55*E73+'Reference Standards'!$AP$56,2))),IF(OR(AND('Quantification Tool R3'!$B$12="71i",'Quantification Tool R3'!$B$13&lt;=2),AND(OR('Quantification Tool R3'!$B$12="68c",'Quantification Tool R3'!$B$12="68d"),'Quantification Tool R3'!$B$19="January - June")),IF(E73&lt;0,0,IF(E73&gt;49.2,0.69,ROUND('Reference Standards'!$AL$94*E73^2+'Reference Standards'!$AL$95*E73+'Reference Standards'!$AL$96,2))),IF(OR(AND('Quantification Tool R3'!$B$12="68a",'Quantification Tool R3'!$B$19="January - June"),AND(OR('Quantification Tool R3'!$B$12="68c",'Quantification Tool R3'!$B$12="68d"),'Quantification Tool R3'!$B$19="July - December")),IF(E73&lt;0,0,IF(E73&gt;53.4,0.69,ROUND('Reference Standards'!$AM$94*E73^2+'Reference Standards'!$AM$95*E73+'Reference Standards'!$AM$96,2))),IF(OR(AND('Quantification Tool R3'!$B$12="71i",'Quantification Tool R3'!$B$13&gt;2,'Quantification Tool R3'!$B$20="SQKICK"),AND(OR('Quantification Tool R3'!$B$12="67fhi",'Quantification Tool R3'!$B$12="67g"),'Quantification Tool R3'!$B$13&lt;=2),'Quantification Tool R3'!$B$12="65j"),IF(E73&lt;0,0,IF(E73&gt;57.8,0.69,ROUND('Reference Standards'!$AN$94*E73^2+'Reference Standards'!$AN$95*E73+'Reference Standards'!$AN$96,2))),IF(OR(AND('Quantification Tool R3'!$B$12="74a",'Quantification Tool R3'!$B$13&gt;2,'Quantification Tool R3'!$B$19="July - December"),AND(OR('Quantification Tool R3'!$B$12="67fhi",'Quantification Tool R3'!$B$12="67g"),'Quantification Tool R3'!$B$13&gt;2),'Quantification Tool R3'!$B$12="69de"),IF(E73&lt;0,0,IF(E73&gt;62.5,0.69,ROUND('Reference Standards'!$AO$94*E73^2+'Reference Standards'!$AO$95*E73+'Reference Standards'!$AO$96,2))),  IF(OR('Quantification Tool R3'!$B$12="66d",'Quantification Tool R3'!$B$12="66e",'Quantification Tool R3'!$B$12="66ik",'Quantification Tool R3'!$B$12="71e",'Quantification Tool R3'!$B$12="71f",'Quantification Tool R3'!$B$12="71g",'Quantification Tool R3'!$B$12="71h"),IF(E73&lt;0,0,IF(E73&gt;66.5,0.69,ROUND('Reference Standards'!$AP$94*E73^2+'Reference Standards'!$AP$95*E73+'Reference Standards'!$AP$96,2))),IF(OR('Quantification Tool R3'!$B$12="66f",'Quantification Tool R3'!$B$12="66g",'Quantification Tool R3'!$B$12="66j",AND('Quantification Tool R3'!$B$12="68a",'Quantification Tool R3'!$B$19="July - December")), IF(E73&lt;0,0,IF(E73&gt;69,0.69,ROUND('Reference Standards'!$AQ$94*E73^2+'Reference Standards'!$AQ$95*E73+'Reference Standards'!$AQ$96,2))))   )))))))))))</f>
        <v/>
      </c>
      <c r="G73" s="531"/>
      <c r="H73" s="568"/>
      <c r="I73" s="519"/>
      <c r="J73" s="559"/>
      <c r="K73" s="555"/>
      <c r="L73" s="21"/>
    </row>
    <row r="74" spans="1:12" ht="15.6" x14ac:dyDescent="0.3">
      <c r="A74" s="556"/>
      <c r="B74" s="561"/>
      <c r="C74" s="174" t="s">
        <v>339</v>
      </c>
      <c r="D74" s="175"/>
      <c r="E74" s="165"/>
      <c r="F74" s="346" t="str">
        <f>IF(E74="","",IF(AND('Quantification Tool R3'!$B$12="74b",'Quantification Tool R3'!$B$13&lt;=2),IF(E74&lt;0,0,IF(E74&gt;8.1,0.69,ROUND('Reference Standards'!$AL$131*E74^2+'Reference Standards'!$AL$132*E74+'Reference Standards'!$AL$133,2))),IF(OR('Quantification Tool R3'!$B$12="73a",'Quantification Tool R3'!$B$12="73b"),IF(E74&lt;0,0,IF(E74&gt;=28,0.69,ROUND('Reference Standards'!$AM$131*E74^2+'Reference Standards'!$AM$132*E74+'Reference Standards'!$AM$133,2))),IF(AND('Quantification Tool R3'!$B$12="74a",'Quantification Tool R3'!$B$13&gt;2,'Quantification Tool R3'!$B$19="January - June"),IF(E74&lt;0,0,IF(E74&gt;=32.5,0.69,ROUND('Reference Standards'!$AN$131*E74^2+'Reference Standards'!$AN$132*E74+'Reference Standards'!$AN$133,2))),IF(AND('Quantification Tool R3'!$B$12="71i",'Quantification Tool R3'!$B$13&gt;2,'Quantification Tool R3'!$B$20="SQBANK"),IF(E74&lt;0,0,IF(E74&gt;=37,0.69,ROUND('Reference Standards'!$AO$131*E74^2+'Reference Standards'!$AO$132*E74+'Reference Standards'!$AO$133,2))),IF(OR(AND(OR('Quantification Tool R3'!$B$12="65abei",'Quantification Tool R3'!$B$12="74b"),'Quantification Tool R3'!$B$13&gt;2),AND('Quantification Tool R3'!$B$12="71i",'Quantification Tool R3'!$B$13&gt;2,'Quantification Tool R3'!$B$20="SQKICK")),IF(E74&lt;0,0,IF(E74&gt;42.6,0.69,ROUND('Reference Standards'!$AP$131*E74^2+'Reference Standards'!$AP$132*E74+'Reference Standards'!$AP$133,2))),     IF(OR(AND('Quantification Tool R3'!$B$12="65abei",'Quantification Tool R3'!$B$13&lt;=2),AND(OR('Quantification Tool R3'!$B$12="68c",'Quantification Tool R3'!$B$12="68d"),'Quantification Tool R3'!$B$19="July - December"),'Quantification Tool R3'!$B$12="71e"),IF(E74&lt;0,0,IF(E74&gt;=48,0.69,ROUND('Reference Standards'!$AL$171*E74^2+'Reference Standards'!$AL$172*E74+'Reference Standards'!$AL$173,2))),IF(OR('Quantification Tool R3'!$B$12="65j",'Quantification Tool R3'!$B$12="67fhi",'Quantification Tool R3'!$B$12="67g",AND('Quantification Tool R3'!$B$12="74a",'Quantification Tool R3'!$B$19="July - December",'Quantification Tool R3'!$B$13&gt;2),AND('Quantification Tool R3'!$B$12="71i",'Quantification Tool R3'!$B$13&lt;=2)),IF(E74&lt;0,0,IF(E74&gt;=53,0.69,ROUND('Reference Standards'!$AM$171*E74^2+'Reference Standards'!$AM$172*E74+'Reference Standards'!$AM$173,2))),IF(OR(AND(OR('Quantification Tool R3'!$B$12="68b",'Quantification Tool R3'!$B$12="71f",'Quantification Tool R3'!$B$12="71g",'Quantification Tool R3'!$B$12="71h"),'Quantification Tool R3'!$B$13&gt;2),'Quantification Tool R3'!$B$12="68a"),IF(E74&lt;0,0,IF(E74&gt;=57,0.69,ROUND('Reference Standards'!$AN$171*E74^2+'Reference Standards'!$AN$172*E74+'Reference Standards'!$AN$173,2))),IF(OR('Quantification Tool R3'!$B$12="66f",'Quantification Tool R3'!$B$12="66g",'Quantification Tool R3'!$B$12="66j",AND(OR('Quantification Tool R3'!$B$12="71f",'Quantification Tool R3'!$B$12="71g",'Quantification Tool R3'!$B$12="71h"),'Quantification Tool R3'!$B$13&lt;=2)),IF(E74&lt;0,0,IF(E74&gt;=60,0.69,ROUND('Reference Standards'!$AO$171*E74^2+'Reference Standards'!$AO$172*E74+'Reference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December")),IF(E74&lt;0,0,IF(E74&gt;=67.5,0.69,ROUND('Reference Standards'!$AP$171*E74^2+'Reference Standards'!$AP$172*E74+'Reference Standards'!$AP$173,2))),IF(AND('Quantification Tool R3'!$B$12="69de",'Quantification Tool R3'!$B$19="January - June"), IF(E74&lt;0,0,IF(E74&gt;=72,0.69,ROUND('Reference Standards'!$AQ$171*E74^2+'Reference Standards'!$AQ$172*E74+'Reference Standards'!$AQ$173,2))))   )))))))))))</f>
        <v/>
      </c>
      <c r="G74" s="531"/>
      <c r="H74" s="568"/>
      <c r="I74" s="519"/>
      <c r="J74" s="559"/>
      <c r="K74" s="555"/>
      <c r="L74" s="21"/>
    </row>
    <row r="75" spans="1:12" ht="15.6" x14ac:dyDescent="0.3">
      <c r="A75" s="556"/>
      <c r="B75" s="562"/>
      <c r="C75" s="127" t="s">
        <v>336</v>
      </c>
      <c r="D75" s="71"/>
      <c r="E75" s="167"/>
      <c r="F75" s="346" t="str">
        <f>IF(E75="","",IF(OR('Quantification Tool R3'!$B$12="67fhi",'Quantification Tool R3'!$B$12="67g",'Quantification Tool R3'!$B$12="71e",'Quantification Tool R3'!$B$12="73a",'Quantification Tool R3'!$B$12="73b",AND(OR('Quantification Tool R3'!$B$12="71f",'Quantification Tool R3'!$B$12="71g",'Quantification Tool R3'!$B$12="71h"),'Quantification Tool R3'!$B$13&gt;2)),IF(E75&gt;100,0,IF(E75&lt;15,0.69,ROUND('Reference Standards'!$AL$208*E75^2+'Reference Standards'!$AL$209*E75+'Reference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),IF(E75&gt;100,0,IF(E75&lt;19,0.69,ROUND('Reference Standards'!$AM$208*E75^2+'Reference Standards'!$AM$209*E75+'Reference Standards'!$AM$210,2))),    IF(OR(AND('Quantification Tool R3'!$B$12="69de",'Quantification Tool R3'!$B$19="January - June"),AND('Quantification Tool R3'!$B$12="71i",'Quantification Tool R3'!$B$13&gt;2,'Quantification Tool R3'!$B$20="SQKICK" )),IF(E75&gt;100,0,IF(E75&lt;22,0.69,ROUND('Reference Standards'!$AN$208*E75^2+'Reference Standards'!$AN$209*E75+'Reference Standards'!$AN$210,2))),    IF(OR('Quantification Tool R3'!$B$12="65j",AND('Quantification Tool R3'!$B$12="68b",'Quantification Tool R3'!$B$13&gt;2)),IF(E75&gt;100,0,IF(E75&lt;24,0.69,ROUND('Reference Standards'!$AO$208*E75^2+'Reference Standards'!$AO$209*E75+'Reference Standards'!$AO$210,2))),    IF(AND(OR('Quantification Tool R3'!$B$12="65abei",'Quantification Tool R3'!$B$12="71f",'Quantification Tool R3'!$B$12="71g",'Quantification Tool R3'!$B$12="71h"),'Quantification Tool R3'!$B$13&lt;=2),IF(E75&gt;95,0,IF(E75&lt;33,0.69,ROUND('Reference Standards'!$AL$246*E75^2+'Reference Standards'!$AL$247*E75+'Reference Standards'!$AL$248,2))),   IF(AND(OR('Quantification Tool R3'!$B$12="65abei",'Quantification Tool R3'!$B$12="74b"),'Quantification Tool R3'!$B$13&gt;2),IF(E75&gt;97,0,IF(E75&lt;36,0.69,ROUND('Reference Standards'!$AM$246*E75^2+'Reference Standards'!$AM$247*E75+'Reference Standards'!$AM$248,2))),  IF(AND('Quantification Tool R3'!$B$12="74a",'Quantification Tool R3'!$B$19="January - June",'Quantification Tool R3'!$B$13&gt;2),IF(E75&gt;93,0,IF(E75&lt;52,0.69,ROUND('Reference Standards'!$AN$246*E75^2+'Reference Standards'!$AN$247*E75+'Reference Standards'!$AN$248,2))),   IF(AND('Quantification Tool R3'!$B$12="74b",'Quantification Tool R3'!$B$13&lt;=2),IF(E75&gt;97,0,IF(E75&lt;62,0.69,ROUND('Reference Standards'!$AO$246*E75^2+'Reference Standards'!$AO$247*E75+'Reference Standards'!$AO$248,2)))  )))))))))</f>
        <v/>
      </c>
      <c r="G75" s="531"/>
      <c r="H75" s="568"/>
      <c r="I75" s="519"/>
      <c r="J75" s="559"/>
      <c r="K75" s="555"/>
      <c r="L75" s="21"/>
    </row>
    <row r="76" spans="1:12" ht="15.6" x14ac:dyDescent="0.3">
      <c r="A76" s="556"/>
      <c r="B76" s="563" t="s">
        <v>74</v>
      </c>
      <c r="C76" s="125" t="s">
        <v>211</v>
      </c>
      <c r="D76" s="126"/>
      <c r="E76" s="166"/>
      <c r="F76" s="345" t="str">
        <f>IF(E76="","",IF(E76=1,0.15,IF(E76=3,0.5,IF(E76=5,0.85,0))))</f>
        <v/>
      </c>
      <c r="G76" s="564" t="str">
        <f>IFERROR(AVERAGE(F76:F77),"")</f>
        <v/>
      </c>
      <c r="H76" s="568"/>
      <c r="I76" s="519"/>
      <c r="J76" s="559"/>
      <c r="K76" s="555"/>
      <c r="L76" s="21"/>
    </row>
    <row r="77" spans="1:12" ht="15.6" x14ac:dyDescent="0.3">
      <c r="A77" s="551"/>
      <c r="B77" s="563"/>
      <c r="C77" s="127" t="s">
        <v>332</v>
      </c>
      <c r="D77" s="71"/>
      <c r="E77" s="167"/>
      <c r="F77" s="347" t="str">
        <f>IF(E77="","",IF(E77=1,0.15,IF(E77=3,0.5,IF(E77=5,0.85,0))))</f>
        <v/>
      </c>
      <c r="G77" s="565"/>
      <c r="H77" s="568"/>
      <c r="I77" s="519"/>
      <c r="J77" s="559"/>
      <c r="K77" s="555"/>
      <c r="L77" s="21"/>
    </row>
    <row r="78" spans="1:12" x14ac:dyDescent="0.3">
      <c r="L78" s="21"/>
    </row>
    <row r="79" spans="1:12" ht="21" x14ac:dyDescent="0.4">
      <c r="A79" s="148" t="s">
        <v>135</v>
      </c>
      <c r="B79" s="246"/>
      <c r="C79" s="249" t="s">
        <v>324</v>
      </c>
      <c r="D79" s="246"/>
      <c r="E79" s="247"/>
      <c r="F79" s="248"/>
      <c r="G79" s="544" t="s">
        <v>18</v>
      </c>
      <c r="H79" s="545"/>
      <c r="I79" s="545"/>
      <c r="J79" s="545"/>
      <c r="K79" s="546"/>
      <c r="L79" s="21"/>
    </row>
    <row r="80" spans="1:12" ht="15.6" x14ac:dyDescent="0.3">
      <c r="A80" s="158" t="s">
        <v>1</v>
      </c>
      <c r="B80" s="158" t="s">
        <v>2</v>
      </c>
      <c r="C80" s="542" t="s">
        <v>3</v>
      </c>
      <c r="D80" s="644"/>
      <c r="E80" s="158" t="s">
        <v>15</v>
      </c>
      <c r="F80" s="158" t="s">
        <v>16</v>
      </c>
      <c r="G80" s="158" t="s">
        <v>19</v>
      </c>
      <c r="H80" s="158" t="s">
        <v>20</v>
      </c>
      <c r="I80" s="314" t="s">
        <v>20</v>
      </c>
      <c r="J80" s="158" t="s">
        <v>21</v>
      </c>
      <c r="K80" s="315" t="s">
        <v>21</v>
      </c>
    </row>
    <row r="81" spans="1:11" ht="15.6" x14ac:dyDescent="0.3">
      <c r="A81" s="540" t="s">
        <v>60</v>
      </c>
      <c r="B81" s="299" t="s">
        <v>86</v>
      </c>
      <c r="C81" s="52" t="s">
        <v>388</v>
      </c>
      <c r="D81" s="52"/>
      <c r="E81" s="162"/>
      <c r="F81" s="338" t="str">
        <f>IF(E81="","",IF(E81&lt;=0,0,IF(E81&gt;=0.95,1,ROUND('Reference Standards'!C$14*E81+'Reference Standards'!C$15,2))))</f>
        <v/>
      </c>
      <c r="G81" s="83" t="str">
        <f>IFERROR(AVERAGE(F81),"")</f>
        <v/>
      </c>
      <c r="H81" s="522" t="str">
        <f>IFERROR(ROUND(AVERAGE(G81:G82),2),"")</f>
        <v/>
      </c>
      <c r="I81" s="519" t="str">
        <f>IF(H81="","",IF(H81&gt;0.69,"Functioning",IF(H81&gt;0.29,"Functioning At Risk",IF(H81&gt;-1,"Not Functioning"))))</f>
        <v/>
      </c>
      <c r="J81" s="559" t="str">
        <f>IF(AND(H81="",H83="",H85="",H107="",H111=""),"",ROUND((IF(H81="",0,H81)*0.2)+(IF(H83="",0,H83)*0.2)+(IF(H85="",0,H85)*0.2)+(IF(H107="",0,H107)*0.2)+(IF(H111="",0,H111)*0.2),2))</f>
        <v/>
      </c>
      <c r="K81" s="555" t="str">
        <f>IF(J81="","",IF(J81&lt;0.3, "Not Functioning",IF(OR(H81&lt;0.7,H83&lt;0.7,H85&lt;0.7,H107&lt;0.7,H111&lt;0.7),"Functioning At Risk",IF(J81&lt;0.7,"Functioning At Risk","Functioning"))))</f>
        <v/>
      </c>
    </row>
    <row r="82" spans="1:11" ht="15.6" x14ac:dyDescent="0.3">
      <c r="A82" s="541"/>
      <c r="B82" s="371" t="s">
        <v>128</v>
      </c>
      <c r="C82" s="373" t="s">
        <v>161</v>
      </c>
      <c r="D82" s="374"/>
      <c r="E82" s="43"/>
      <c r="F82" s="372" t="str">
        <f>IF(E82="","",IF(E82&gt;=1,1,IF(E82&lt;=0,0,ROUND(E82,2))))</f>
        <v/>
      </c>
      <c r="G82" s="367" t="str">
        <f>IFERROR(AVERAGE(F82:F82),"")</f>
        <v/>
      </c>
      <c r="H82" s="523"/>
      <c r="I82" s="519"/>
      <c r="J82" s="559"/>
      <c r="K82" s="555"/>
    </row>
    <row r="83" spans="1:11" ht="15.6" x14ac:dyDescent="0.3">
      <c r="A83" s="524" t="s">
        <v>6</v>
      </c>
      <c r="B83" s="572" t="s">
        <v>7</v>
      </c>
      <c r="C83" s="54" t="s">
        <v>8</v>
      </c>
      <c r="D83" s="54"/>
      <c r="E83" s="162"/>
      <c r="F83" s="339" t="str">
        <f>IF(E83="","",ROUND(IF(E83&gt;1.6,0,IF(E83&lt;=1,1,E83^2*'Reference Standards'!K$14+E83*'Reference Standards'!K$15+'Reference Standards'!K$16)),2))</f>
        <v/>
      </c>
      <c r="G83" s="579" t="str">
        <f>IFERROR(AVERAGE(F83:F84),"")</f>
        <v/>
      </c>
      <c r="H83" s="579" t="str">
        <f>IFERROR(ROUND(AVERAGE(G83),2),"")</f>
        <v/>
      </c>
      <c r="I83" s="569" t="str">
        <f>IF(H83="","",IF(H83&gt;0.69,"Functioning",IF(H83&gt;0.29,"Functioning At Risk",IF(H83&gt;-1,"Not Functioning"))))</f>
        <v/>
      </c>
      <c r="J83" s="559"/>
      <c r="K83" s="555"/>
    </row>
    <row r="84" spans="1:11" ht="15.6" x14ac:dyDescent="0.3">
      <c r="A84" s="525"/>
      <c r="B84" s="572"/>
      <c r="C84" s="54" t="s">
        <v>9</v>
      </c>
      <c r="D84" s="54"/>
      <c r="E84" s="163"/>
      <c r="F84" s="339" t="str">
        <f>IF(E84="","",(IF(OR('Quantification Tool R3'!B$11="A",'Quantification Tool R3'!B$11="B",'Quantification Tool R3'!$B$11="Bc"),IF(E84&lt;1.2,0,IF(E84&gt;=2.2,1,ROUND(IF(E84&lt;1.4,E84*'Reference Standards'!$K$84+'Reference Standards'!$K$85,E84*'Reference Standards'!$L$84+'Reference Standards'!$L$85),2))),IF(OR('Quantification Tool R3'!B$11="C",'Quantification Tool R3'!B$11="E"),IF(E84&lt;2,0,IF(E84&gt;=5,1,ROUND(IF(E84&lt;2.4,E84*'Reference Standards'!$L$49+'Reference Standards'!$L$50,E84*'Reference Standards'!$K$49+'Reference Standards'!$K$50),2)))))))</f>
        <v/>
      </c>
      <c r="G84" s="581"/>
      <c r="H84" s="580"/>
      <c r="I84" s="570"/>
      <c r="J84" s="559"/>
      <c r="K84" s="555"/>
    </row>
    <row r="85" spans="1:11" ht="15.6" x14ac:dyDescent="0.3">
      <c r="A85" s="526" t="s">
        <v>26</v>
      </c>
      <c r="B85" s="557" t="s">
        <v>27</v>
      </c>
      <c r="C85" s="60" t="s">
        <v>333</v>
      </c>
      <c r="D85" s="244"/>
      <c r="E85" s="61"/>
      <c r="F85" s="340" t="str">
        <f>IF(E85="","",IF(OR(LEFT('Quantification Tool R3'!$B$12,2)="65",LEFT('Quantification Tool R3'!$B$12,2)="66",LEFT('Quantification Tool R3'!$B$12,2)="71"),IF(E85&gt;=850,1,IF(E85&lt;250,ROUND('Reference Standards'!$S$17*(E85)+'Reference Standards'!$S$18,2),ROUND('Reference Standards'!$T$17*E85+'Reference Standards'!$T$18,2))),  IF(E85&gt;=345,1,IF(E85&lt;=180,ROUND('Reference Standards'!$U$17*(E85)+'Reference Standards'!$U$18,2),ROUND('Reference Standards'!$V$17*E85+'Reference Standards'!$V$18,2))))    )</f>
        <v/>
      </c>
      <c r="G85" s="528" t="str">
        <f>IFERROR(AVERAGE(F85:F86),"")</f>
        <v/>
      </c>
      <c r="H85" s="566" t="str">
        <f>IFERROR(ROUND(AVERAGE(G85:G106),2),"")</f>
        <v/>
      </c>
      <c r="I85" s="555" t="str">
        <f>IF(H85="","",IF(H85&gt;0.69,"Functioning",IF(H85&gt;0.29,"Functioning At Risk",IF(H85&gt;-1,"Not Functioning"))))</f>
        <v/>
      </c>
      <c r="J85" s="559"/>
      <c r="K85" s="555"/>
    </row>
    <row r="86" spans="1:11" ht="15.6" x14ac:dyDescent="0.3">
      <c r="A86" s="520"/>
      <c r="B86" s="558"/>
      <c r="C86" s="63" t="s">
        <v>323</v>
      </c>
      <c r="D86" s="245"/>
      <c r="E86" s="53"/>
      <c r="F86" s="341" t="str">
        <f>IF(E86="","",IF(OR(LEFT('Quantification Tool R3'!$B$12,2)="65",LEFT('Quantification Tool R3'!$B$12,2)="66",LEFT('Quantification Tool R3'!$B$12,2)="71"),IF(E86&gt;=30,1,IF(E86&lt;13,ROUND('Reference Standards'!$S$53*(E86)+'Reference Standards'!$S$54,2),ROUND('Reference Standards'!$T$53*E86+'Reference Standards'!$T$54,2))),  IF(E86&gt;=16,1,IF(E86&lt;=9,ROUND('Reference Standards'!$U$53*(E86)+'Reference Standards'!$U$54,2),ROUND('Reference Standards'!$V$53*E86+'Reference Standards'!$V$54,2))))    )</f>
        <v/>
      </c>
      <c r="G86" s="530"/>
      <c r="H86" s="566"/>
      <c r="I86" s="555"/>
      <c r="J86" s="559"/>
      <c r="K86" s="555"/>
    </row>
    <row r="87" spans="1:11" ht="15.6" x14ac:dyDescent="0.3">
      <c r="A87" s="520"/>
      <c r="B87" s="520" t="s">
        <v>395</v>
      </c>
      <c r="C87" s="58" t="s">
        <v>80</v>
      </c>
      <c r="D87" s="58"/>
      <c r="E87" s="165"/>
      <c r="F87" s="340" t="str">
        <f>IF(E87="","",ROUND(IF(E87&gt;0.7,0,IF(E87&lt;=0.1,1,E87^3*'Reference Standards'!S$87+E87^2*'Reference Standards'!S$88+E87*'Reference Standards'!S$89+'Reference Standards'!S$90)),2))</f>
        <v/>
      </c>
      <c r="G87" s="528" t="str">
        <f>IFERROR(ROUND(AVERAGE(F87:F90),2),"")</f>
        <v/>
      </c>
      <c r="H87" s="567"/>
      <c r="I87" s="555"/>
      <c r="J87" s="559"/>
      <c r="K87" s="555"/>
    </row>
    <row r="88" spans="1:11" ht="15.6" x14ac:dyDescent="0.3">
      <c r="A88" s="520"/>
      <c r="B88" s="520"/>
      <c r="C88" s="58" t="s">
        <v>49</v>
      </c>
      <c r="D88" s="58"/>
      <c r="E88" s="165"/>
      <c r="F88" s="84" t="str">
        <f>IF(E88="","",IF(OR(E88="Ex/Ex",E88="Ex/VH"),0, IF(OR(E88="Ex/H",E88="VH/Ex",E88="VH/VH", E88="H/Ex",E88="H/VH",E88="M/Ex"),0.1,IF(OR(E88="Ex/M",E88="VH/H",E88="H/H", E88="M/VH"),0.2, IF(OR(E88="Ex/L",E88="VH/M",E88="H/M", E88="M/H",E88="L/Ex"),0.3, IF(OR(E88="Ex/VL",E88="VH/L",E88="H/L"),0.4, IF(OR(E88="VH/VL",E88="H/VL",E88="M/M", E88="L/VH"),0.5, IF(OR(E88="M/L",E88="L/H"),0.6, IF(OR(E88="M/VL",E88="L/M"),0.7, IF(OR(E88="L/L",E88="L/VL"),1))))))))))</f>
        <v/>
      </c>
      <c r="G88" s="529"/>
      <c r="H88" s="567"/>
      <c r="I88" s="555"/>
      <c r="J88" s="559"/>
      <c r="K88" s="555"/>
    </row>
    <row r="89" spans="1:11" ht="15.6" x14ac:dyDescent="0.3">
      <c r="A89" s="520"/>
      <c r="B89" s="520"/>
      <c r="C89" s="58" t="s">
        <v>87</v>
      </c>
      <c r="D89" s="58"/>
      <c r="E89" s="165"/>
      <c r="F89" s="84" t="str">
        <f>IF(E89="","",ROUND(IF(E89&gt;40,0,IF(E89&lt;5,1,E89^3*'Reference Standards'!S$122+E89^2*'Reference Standards'!S$123+E89*'Reference Standards'!S$124+'Reference Standards'!S$125)),2))</f>
        <v/>
      </c>
      <c r="G89" s="529"/>
      <c r="H89" s="567"/>
      <c r="I89" s="555"/>
      <c r="J89" s="559"/>
      <c r="K89" s="555"/>
    </row>
    <row r="90" spans="1:11" ht="15.6" x14ac:dyDescent="0.3">
      <c r="A90" s="520"/>
      <c r="B90" s="521"/>
      <c r="C90" s="59" t="s">
        <v>394</v>
      </c>
      <c r="D90" s="59"/>
      <c r="E90" s="167"/>
      <c r="F90" s="341" t="str">
        <f>IF(E90="","",ROUND(IF(E90&gt;=30,0,IF(E90&lt;=0,1,E90*'Reference Standards'!S$156+'Reference Standards'!S$157)),2))</f>
        <v/>
      </c>
      <c r="G90" s="530"/>
      <c r="H90" s="567"/>
      <c r="I90" s="555"/>
      <c r="J90" s="559"/>
      <c r="K90" s="555"/>
    </row>
    <row r="91" spans="1:11" ht="15.6" x14ac:dyDescent="0.3">
      <c r="A91" s="520"/>
      <c r="B91" s="520" t="s">
        <v>50</v>
      </c>
      <c r="C91" s="60" t="s">
        <v>377</v>
      </c>
      <c r="D91" s="64"/>
      <c r="E91" s="136"/>
      <c r="F91" s="294" t="str">
        <f>IF(E91="","",ROUND(IF(E91&gt;9.2,1,E91*'Reference Standards'!$S$189+'Reference Standards'!$S$190),2))</f>
        <v/>
      </c>
      <c r="G91" s="552" t="str">
        <f>IFERROR(ROUND(AVERAGE(F91:F100),2),"")</f>
        <v/>
      </c>
      <c r="H91" s="567"/>
      <c r="I91" s="555"/>
      <c r="J91" s="559"/>
      <c r="K91" s="555"/>
    </row>
    <row r="92" spans="1:11" ht="15.6" x14ac:dyDescent="0.3">
      <c r="A92" s="520"/>
      <c r="B92" s="520"/>
      <c r="C92" s="62" t="s">
        <v>378</v>
      </c>
      <c r="D92" s="58"/>
      <c r="E92" s="162"/>
      <c r="F92" s="294" t="str">
        <f>IF(E92="","",ROUND(IF(E92&gt;9.2,1,E92*'Reference Standards'!$S$189+'Reference Standards'!$S$190),2))</f>
        <v/>
      </c>
      <c r="G92" s="553"/>
      <c r="H92" s="567"/>
      <c r="I92" s="555"/>
      <c r="J92" s="559"/>
      <c r="K92" s="555"/>
    </row>
    <row r="93" spans="1:11" ht="15.6" x14ac:dyDescent="0.3">
      <c r="A93" s="520"/>
      <c r="B93" s="520"/>
      <c r="C93" s="62" t="s">
        <v>379</v>
      </c>
      <c r="D93" s="58"/>
      <c r="E93" s="162"/>
      <c r="F93" s="294" t="str">
        <f>IF(E93="","",ROUND( IF(E93&gt;=200,1,IF(E93&lt;50, E93^2*'Reference Standards'!S$224+E93*'Reference Standards'!S$225+'Reference Standards'!S$226, E93*'Reference Standards'!T$224+'Reference Standards'!T$225)),2))</f>
        <v/>
      </c>
      <c r="G93" s="553"/>
      <c r="H93" s="567"/>
      <c r="I93" s="555"/>
      <c r="J93" s="559"/>
      <c r="K93" s="555"/>
    </row>
    <row r="94" spans="1:11" ht="15.6" x14ac:dyDescent="0.3">
      <c r="A94" s="520"/>
      <c r="B94" s="520"/>
      <c r="C94" s="62" t="s">
        <v>380</v>
      </c>
      <c r="D94" s="58"/>
      <c r="E94" s="162"/>
      <c r="F94" s="294" t="str">
        <f>IF(E94="","",ROUND( IF(E94&gt;=200,1,IF(E94&lt;50, E94^2*'Reference Standards'!S$224+E94*'Reference Standards'!S$225+'Reference Standards'!S$226, E94*'Reference Standards'!T$224+'Reference Standards'!T$225)),2))</f>
        <v/>
      </c>
      <c r="G94" s="553"/>
      <c r="H94" s="567"/>
      <c r="I94" s="555"/>
      <c r="J94" s="559"/>
      <c r="K94" s="555"/>
    </row>
    <row r="95" spans="1:11" ht="15.6" x14ac:dyDescent="0.3">
      <c r="A95" s="520"/>
      <c r="B95" s="520"/>
      <c r="C95" s="58" t="s">
        <v>381</v>
      </c>
      <c r="D95" s="58"/>
      <c r="E95" s="162"/>
      <c r="F95" s="294" t="str">
        <f>IF(E95="","",ROUND(IF(AND(E95&gt;=135,E95&lt;=262),1,IF(  E95&gt;=366,0.5, IF(E95&lt;135,E95*'Reference Standards'!S$259+'Reference Standards'!S$260, E95*'Reference Standards'!T$259+'Reference Standards'!T$260))),2))</f>
        <v/>
      </c>
      <c r="G95" s="553"/>
      <c r="H95" s="567"/>
      <c r="I95" s="555"/>
      <c r="J95" s="559"/>
      <c r="K95" s="555"/>
    </row>
    <row r="96" spans="1:11" ht="15.6" x14ac:dyDescent="0.3">
      <c r="A96" s="520"/>
      <c r="B96" s="520"/>
      <c r="C96" s="58" t="s">
        <v>382</v>
      </c>
      <c r="D96" s="58"/>
      <c r="E96" s="162"/>
      <c r="F96" s="294" t="str">
        <f>IF(E96="","",ROUND(IF(AND(E96&gt;=135,E96&lt;=262),1,IF(  E96&gt;=366,0.5, IF(E96&lt;135,E96*'Reference Standards'!S$259+'Reference Standards'!S$260, E96*'Reference Standards'!T$259+'Reference Standards'!T$260))),2))</f>
        <v/>
      </c>
      <c r="G96" s="553"/>
      <c r="H96" s="567"/>
      <c r="I96" s="555"/>
      <c r="J96" s="559"/>
      <c r="K96" s="555"/>
    </row>
    <row r="97" spans="1:13" ht="15.6" x14ac:dyDescent="0.3">
      <c r="A97" s="520"/>
      <c r="B97" s="520"/>
      <c r="C97" s="58" t="s">
        <v>383</v>
      </c>
      <c r="D97" s="58"/>
      <c r="E97" s="162"/>
      <c r="F97" s="84" t="str">
        <f>IF(E97="","",ROUND(IF(E97&gt;=75,1,IF(E97&lt;=0,0,E97*'Reference Standards'!S$330)),2))</f>
        <v/>
      </c>
      <c r="G97" s="553"/>
      <c r="H97" s="567"/>
      <c r="I97" s="555"/>
      <c r="J97" s="559"/>
      <c r="K97" s="555"/>
    </row>
    <row r="98" spans="1:13" ht="15.6" x14ac:dyDescent="0.3">
      <c r="A98" s="520"/>
      <c r="B98" s="520"/>
      <c r="C98" s="58" t="s">
        <v>384</v>
      </c>
      <c r="D98" s="58"/>
      <c r="E98" s="162"/>
      <c r="F98" s="84" t="str">
        <f>IF(E98="","",ROUND(IF(E98&gt;=75,1,IF(E98&lt;=0,0,E98*'Reference Standards'!S$330)),2))</f>
        <v/>
      </c>
      <c r="G98" s="553"/>
      <c r="H98" s="567"/>
      <c r="I98" s="555"/>
      <c r="J98" s="559"/>
      <c r="K98" s="555"/>
    </row>
    <row r="99" spans="1:13" ht="15.6" x14ac:dyDescent="0.3">
      <c r="A99" s="520"/>
      <c r="B99" s="520"/>
      <c r="C99" s="58" t="s">
        <v>385</v>
      </c>
      <c r="D99" s="58"/>
      <c r="E99" s="162"/>
      <c r="F99" s="294" t="str">
        <f>IF(E99="","",ROUND(IF(AND(E99&gt;=36.3,E99&lt;=68),1,IF(E99&gt;100,0,IF(E99&lt;36.3,(('Reference Standards'!S$297*(E99^2))+('Reference Standards'!S$298*E99)+'Reference Standards'!S$299),IF(E99&gt;68,(('Reference Standards'!T$297*(E99^2))+('Reference Standards'!T$298*E99)+'Reference Standards'!T$299))))),2))</f>
        <v/>
      </c>
      <c r="G99" s="553"/>
      <c r="H99" s="567"/>
      <c r="I99" s="555"/>
      <c r="J99" s="559"/>
      <c r="K99" s="555"/>
      <c r="M99" s="21"/>
    </row>
    <row r="100" spans="1:13" ht="15.6" x14ac:dyDescent="0.3">
      <c r="A100" s="520"/>
      <c r="B100" s="521"/>
      <c r="C100" s="58" t="s">
        <v>386</v>
      </c>
      <c r="D100" s="65"/>
      <c r="E100" s="162"/>
      <c r="F100" s="294" t="str">
        <f>IF(E100="","",ROUND(IF(AND(E100&gt;=36.3,E100&lt;=68),1,IF(E100&gt;100,0,IF(E100&lt;36.3,(('Reference Standards'!S$297*(E100^2))+('Reference Standards'!S$298*E100)+'Reference Standards'!S$299),IF(E100&gt;68,(('Reference Standards'!T$297*(E100^2))+('Reference Standards'!T$298*E100)+'Reference Standards'!T$299))))),2))</f>
        <v/>
      </c>
      <c r="G100" s="554"/>
      <c r="H100" s="567"/>
      <c r="I100" s="555"/>
      <c r="J100" s="559"/>
      <c r="K100" s="555"/>
    </row>
    <row r="101" spans="1:13" ht="15.6" x14ac:dyDescent="0.3">
      <c r="A101" s="520"/>
      <c r="B101" s="56" t="s">
        <v>108</v>
      </c>
      <c r="C101" s="72" t="s">
        <v>130</v>
      </c>
      <c r="D101" s="58"/>
      <c r="E101" s="43"/>
      <c r="F101" s="82" t="str">
        <f>IF(E101="","",IF(OR('Quantification Tool R3'!B$14="Gravel",'Quantification Tool R3'!B$14="Cobble"),IF(E101&gt;0.1,1,IF(E101&lt;=0.01,0,ROUND(E101*'Reference Standards'!$S$362+'Reference Standards'!$S$363,2)))))</f>
        <v/>
      </c>
      <c r="G101" s="82" t="str">
        <f>IFERROR(AVERAGE(F101),"")</f>
        <v/>
      </c>
      <c r="H101" s="567"/>
      <c r="I101" s="555"/>
      <c r="J101" s="559"/>
      <c r="K101" s="555"/>
    </row>
    <row r="102" spans="1:13" ht="15.6" x14ac:dyDescent="0.3">
      <c r="A102" s="520"/>
      <c r="B102" s="526" t="s">
        <v>51</v>
      </c>
      <c r="C102" s="64" t="s">
        <v>52</v>
      </c>
      <c r="D102" s="64"/>
      <c r="E102" s="166"/>
      <c r="F102" s="337" t="str">
        <f>IF(E102="","",IF(ISNUMBER('Quantification Tool R3'!$B$17),IF('Quantification Tool R3'!$B$17&lt;=2,IF(AND(E102&gt;=3,E102&lt;=5),1,IF(OR(E102&lt;=1,E102&gt;=7),0,ROUND(IF(E102&lt;3,E102*'Reference Standards'!S$398+'Reference Standards'!S$399,E102*'Reference Standards'!T$398+'Reference Standards'!T$399),2))),IF(E102&lt;=2.5,1,IF(E102&gt;=5.8,0,ROUND(E102*'Reference Standards'!S$430+'Reference Standards'!S$431,2))))))</f>
        <v/>
      </c>
      <c r="G102" s="528" t="str">
        <f>IFERROR(AVERAGE(F102:F105),"")</f>
        <v/>
      </c>
      <c r="H102" s="567"/>
      <c r="I102" s="555"/>
      <c r="J102" s="559"/>
      <c r="K102" s="555"/>
    </row>
    <row r="103" spans="1:13" ht="15.6" x14ac:dyDescent="0.3">
      <c r="A103" s="520"/>
      <c r="B103" s="520"/>
      <c r="C103" s="58" t="s">
        <v>53</v>
      </c>
      <c r="D103" s="58"/>
      <c r="E103" s="165"/>
      <c r="F103" s="84" t="str">
        <f>IF(E103="","", IF( E103&gt;=2.4,1, IF(E103&lt;=1,0,  ROUND(IF(E103&lt;2.4, E103*'Reference Standards'!$S$464+'Reference Standards'!$S$465  ),2))))</f>
        <v/>
      </c>
      <c r="G103" s="529"/>
      <c r="H103" s="567"/>
      <c r="I103" s="555"/>
      <c r="J103" s="559"/>
      <c r="K103" s="555"/>
    </row>
    <row r="104" spans="1:13" ht="15.6" x14ac:dyDescent="0.3">
      <c r="A104" s="520"/>
      <c r="B104" s="520"/>
      <c r="C104" s="58" t="s">
        <v>334</v>
      </c>
      <c r="D104" s="58"/>
      <c r="E104" s="165"/>
      <c r="F104" s="390" t="str">
        <f>IF(E104="","", IF(LEFT('Quantification Tool R3'!$B$12,2)="67",  IF( AND(E104&gt;=45,E104&lt;=65),1, IF(OR(E104&lt;=20,E104&gt;=90),0, ROUND(  IF(E104&lt;45, E104*'Reference Standards'!$S$498+'Reference Standards'!$S$499,E104*'Reference Standards'!$T$498+'Reference Standards'!$T$499),2))), IF(OR(  LEFT('Quantification Tool R3'!$B$12,2)="68", LEFT('Quantification Tool R3'!$B$12,2)="69",LEFT('Quantification Tool R3'!$B$12,2)="71"),  IF( AND(E104&gt;=30,E104&lt;=50),1, IF(OR(E104&lt;=10,E104&gt;=70),0, ROUND(  IF(E104&lt;30, E104*'Reference Standards'!$S$533+'Reference Standards'!$S$534,E104*'Reference Standards'!$T$533+'Reference Standards'!$T$534),2))), IF(LEFT('Quantification Tool R3'!$B$12,2)="66",  IF( AND(E104&gt;=20,E104&lt;=45),1, IF(OR(E104&lt;=0,E104&gt;=90),0, ROUND(  IF(E104&lt;20, E104*'Reference Standards'!$S$567+'Reference Standards'!$S$568,E104*'Reference Standards'!$T$567+'Reference Standards'!$T$568),2))), IF(OR(  LEFT('Quantification Tool R3'!$B$12,2)="65", LEFT('Quantification Tool R3'!$B$12,2)="74", LEFT('Quantification Tool R3'!$B$12,2)="73"),  IF( AND(E104&gt;=20,E104&lt;=30),1, IF(OR(E104&lt;=0,E104&gt;=50),0, ROUND(  IF(E104&lt;20, E104*'Reference Standards'!$S$601+'Reference Standards'!$S$602,E104*'Reference Standards'!$T$601+'Reference Standards'!$T$602),2))))))))</f>
        <v/>
      </c>
      <c r="G104" s="529"/>
      <c r="H104" s="567"/>
      <c r="I104" s="555"/>
      <c r="J104" s="559"/>
      <c r="K104" s="555"/>
    </row>
    <row r="105" spans="1:13" ht="15.6" x14ac:dyDescent="0.3">
      <c r="A105" s="520"/>
      <c r="B105" s="521"/>
      <c r="C105" s="62" t="s">
        <v>210</v>
      </c>
      <c r="D105" s="58"/>
      <c r="E105" s="167"/>
      <c r="F105" s="391" t="str">
        <f>IF(E105="","",IF(E105&gt;=1.6,0,IF(E105&lt;=1,1,ROUND('Reference Standards'!$S$633*E105^3+'Reference Standards'!$S$634*E105^2+'Reference Standards'!$S$635*E105+'Reference Standards'!$S$636,2))))</f>
        <v/>
      </c>
      <c r="G105" s="530"/>
      <c r="H105" s="567"/>
      <c r="I105" s="555"/>
      <c r="J105" s="559"/>
      <c r="K105" s="555"/>
      <c r="L105" s="13"/>
    </row>
    <row r="106" spans="1:13" ht="15.6" x14ac:dyDescent="0.3">
      <c r="A106" s="521"/>
      <c r="B106" s="296" t="s">
        <v>55</v>
      </c>
      <c r="C106" s="242" t="s">
        <v>54</v>
      </c>
      <c r="D106" s="243"/>
      <c r="E106" s="163"/>
      <c r="F106" s="342" t="str">
        <f>IF(E106="","",IF(AND('Quantification Tool R3'!B$11="E",'Quantification Tool R3'!$B$14="Sand",'Quantification Tool R3'!$B$21="Unconfined Alluvial"),ROUND(IF(OR(E106&gt;1.8,E106&lt;1.3),0,IF(E106&lt;=1.6,1,E106*'Reference Standards'!S$667+'Reference Standards'!S$668)),2),    IF('Quantification Tool R3'!$B$21="Unconfined Alluvial",ROUND(IF(OR(E106&lt;1.2, E106&gt;1.5),0,IF(E106&lt;=1.4,1,E106*'Reference Standards'!$S$700+'Reference Standards'!$S$701)),2), IF('Quantification Tool R3'!$B$21="Confined Alluvial",ROUND(IF(E106&lt;1.15,0,IF(E106&lt;=1.4,E106*'Reference Standards'!$S$729+'Reference Standards'!$S$730,1)),2),  IF('Quantification Tool R3'!$B$21="Colluvial",ROUND(IF(E106&gt;1.3,0,IF(E106&gt;1.2,E106*'Reference Standards'!$S$760+'Reference Standards'!$S$761,1)),2) )))))</f>
        <v/>
      </c>
      <c r="G106" s="84" t="str">
        <f>IFERROR(AVERAGE(F106),"")</f>
        <v/>
      </c>
      <c r="H106" s="567"/>
      <c r="I106" s="555"/>
      <c r="J106" s="559"/>
      <c r="K106" s="555"/>
      <c r="L106" s="13"/>
    </row>
    <row r="107" spans="1:13" ht="15.6" x14ac:dyDescent="0.3">
      <c r="A107" s="537" t="s">
        <v>58</v>
      </c>
      <c r="B107" s="67" t="s">
        <v>88</v>
      </c>
      <c r="C107" s="70" t="s">
        <v>338</v>
      </c>
      <c r="D107" s="70"/>
      <c r="E107" s="43"/>
      <c r="F107" s="343" t="str">
        <f>IF(E107="","",ROUND(IF(E107&gt;=942,0,IF(E107&lt;=487,E107*'Reference Standards'!AB$15+'Reference Standards'!AB$16,E107*'Reference Standards'!$AC$15+'Reference Standards'!$AC$16)),2))</f>
        <v/>
      </c>
      <c r="G107" s="85" t="str">
        <f>IFERROR(AVERAGE(F107),"")</f>
        <v/>
      </c>
      <c r="H107" s="547" t="str">
        <f>IFERROR(ROUND(AVERAGE(G107:G110),2),"")</f>
        <v/>
      </c>
      <c r="I107" s="534" t="str">
        <f>IF(H107="","",IF(H107&gt;0.69,"Functioning",IF(H107&gt;0.29,"Functioning At Risk",IF(H107&gt;-1,"Not Functioning"))))</f>
        <v/>
      </c>
      <c r="J107" s="559"/>
      <c r="K107" s="555"/>
      <c r="L107" s="21"/>
    </row>
    <row r="108" spans="1:13" ht="15.6" x14ac:dyDescent="0.3">
      <c r="A108" s="538"/>
      <c r="B108" s="297" t="s">
        <v>362</v>
      </c>
      <c r="C108" s="66" t="s">
        <v>354</v>
      </c>
      <c r="D108" s="66"/>
      <c r="E108" s="163"/>
      <c r="F108" s="344" t="str">
        <f>IF(E108="","",IF(OR('Quantification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June")),IF(E108&gt;93,0,IF(E108&lt;13,1,ROUND('Reference Standards'!$AB$53*E108^2+'Reference Standards'!$AB$54*E108+'Reference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R3'!$B$12="73b"),IF(E108&gt;94,0,IF(E108&lt;17,1,ROUND('Reference Standards'!$AC$53*E108^2+'Reference Standards'!$AC$54*E108+'Reference Standards'!$AC$55,2))),    IF(OR(AND(OR('Quantification Tool R3'!$B$12="68b",'Quantification Tool R3'!$B$12="71i"),'Quantification Tool R3'!$B$13&gt;2), 'Quantification Tool R3'!$B$12="71e"),IF(E108&gt;91,0,IF(E108&lt;24,1,ROUND('Reference Standards'!$AD$53*E108^2+'Reference Standards'!$AD$54*E108+'Reference Standards'!$AD$55,2))),  IF(OR(AND(OR('Quantification Tool R3'!$B$12="71f",'Quantification Tool R3'!$B$12="71g",'Quantification Tool R3'!$B$12="71h",'Quantification Tool R3'!$B$12="71i"),'Quantification Tool R3'!$B$13&lt;=2), AND('Quantification Tool R3'!$B$12="74a",'Quantification Tool R3'!$B$13&gt;2)),IF(E108&gt;95,0,IF(E108&lt;=36,1,ROUND('Reference Standards'!$AE$53*E108^2+'Reference Standards'!$AE$54*E108+'Reference Standards'!$AE$55,2))))))))</f>
        <v/>
      </c>
      <c r="G108" s="236" t="str">
        <f>IFERROR(AVERAGE(F108:F108),"")</f>
        <v/>
      </c>
      <c r="H108" s="548"/>
      <c r="I108" s="535"/>
      <c r="J108" s="559"/>
      <c r="K108" s="555"/>
      <c r="L108" s="21"/>
    </row>
    <row r="109" spans="1:13" ht="15.6" x14ac:dyDescent="0.3">
      <c r="A109" s="538"/>
      <c r="B109" s="67" t="s">
        <v>81</v>
      </c>
      <c r="C109" s="68" t="s">
        <v>281</v>
      </c>
      <c r="D109" s="68"/>
      <c r="E109" s="162"/>
      <c r="F109" s="344" t="str">
        <f>IF(E109="","",IF(ISNUMBER('Quantification Tool R3'!$B$13),IF(OR('Quantification Tool R3'!$B$12="66e",'Quantification Tool R3'!$B$12="66f",'Quantification Tool R3'!$B$12="66g"),ROUND(IF(E109&gt;=0.61,0,IF(E109&lt;=0.01,1,IF(E109&lt;=0.06,E109*'Reference Standards'!$AD$197+'Reference Standards'!$AD$198,E109^2*'Reference Standards'!$AB$196+E109*'Reference Standards'!$AB$197+'Reference Standards'!$AB$198))),2),IF('Quantification Tool R3'!$B$12="68b",ROUND(IF(E109&gt;=1.1,0,IF(E109&lt;=0.17,1,IF(E109&lt;=0.22,E109*'Reference Standards'!$AE$197+'Reference Standards'!$AE$198,E109^2*'Reference Standards'!$AC$196+E109*'Reference Standards'!$AC$197+'Reference Standards'!$AC$198))),2),IF('Quantification Tool R3'!$B$13&lt;=2.5,IF('Quantification Tool R3'!$B$12="69de",ROUND(IF(E109&gt;=0.22,0,IF(E109&lt;=0.01,1,E109^2*'Reference Standards'!$AB$90+E109*'Reference Standards'!$AB$91+'Reference Standards'!$AB$92)),2),IF('Quantification Tool R3'!$B$12="68c",ROUND(IF(E109&gt;=0.87,0,IF(E109&lt;=0.01,1,E109^2*'Reference Standards'!$AC$90+E109*'Reference Standards'!$AC$91+'Reference Standards'!$AC$92)),2),IF('Quantification Tool R3'!$B$12="68a",ROUND(IF(E109&gt;=0.81,0,IF(E109&lt;=0.01,1,E109^2*'Reference Standards'!$AD$90+E109*'Reference Standards'!$AD$91+'Reference Standards'!$AD$92)),2),IF('Quantification Tool R3'!$B$12="65abei",ROUND(IF(E109&gt;=0.67,0,IF(E109&lt;=0.01,1,IF(E109&lt;=0.18,E109*'Reference Standards'!$AG$91+'Reference Standards'!$AG$92,E109*'Reference Standards'!$AE$91+'Reference Standards'!$AE$92))),2),IF('Quantification Tool R3'!$B$12="65j",ROUND(IF(E109&gt;=0.32,0,IF(E109&lt;=0.01,1,IF(E109&lt;=0.25,E109*'Reference Standards'!$AH$91+'Reference Standards'!$AH$92,E109*'Reference Standards'!$AF$91+'Reference Standards'!$AF$92))),2),IF('Quantification Tool R3'!$B$12="71f",ROUND(IF(E109&gt;=3,0,IF(E109&lt;=0,1,IF(E109&lt;=0.01,0.7,E109^2*'Reference Standards'!$AB$126+E109*'Reference Standards'!$AB$127+'Reference Standards'!$AB$128))),2),IF('Quantification Tool R3'!$B$12="74a",ROUND(IF(E109&gt;=0.14,0,IF(E109&lt;=0.01,1,IF(E109&lt;=0.02,0.7,E109^2*'Reference Standards'!$AC$126+E109*'Reference Standards'!$AC$127+'Reference Standards'!$AC$128))),2),IF(OR('Quantification Tool R3'!$B$12="67fhi",'Quantification Tool R3'!$B$12="67g"),ROUND(IF(E109&gt;=1.9,0,IF(E109&lt;=0.01,1,IF(E109&lt;=0.05,E109*'Reference Standards'!$AF$127+'Reference Standards'!$AF$128,E109^2*'Reference Standards'!$AD$126+E109*'Reference Standards'!$AD$127+'Reference Standards'!$AD$128))),2),IF('Quantification Tool R3'!$B$12="73a",ROUND(IF(E109&gt;=1.44,0,IF(E109&lt;=0.01,1,IF(E109&lt;=0.12,E109*'Reference Standards'!$AG$127+'Reference Standards'!$AG$128,E109^2*'Reference Standards'!$AE$126+E109*'Reference Standards'!$AE$127+'Reference Standards'!$AE$128))),2),IF('Quantification Tool R3'!$B$12="66d",ROUND(IF(E109&gt;=0.46,0,IF(E109&lt;=0.02,1,IF(E109&lt;=0.08,E109*'Reference Standards'!$AF$163+'Reference Standards'!$AF$164,E109^2*'Reference Standards'!$AB$162+E109*'Reference Standards'!$AB$163+'Reference Standards'!$AB$164))),2),IF(OR('Quantification Tool R3'!$B$12="71g",'Quantification Tool R3'!$B$12="71h",'Quantification Tool R3'!$B$12="71i"),ROUND(IF(E109&gt;=3,0,IF(E109&lt;=0.06,1,IF(E109&lt;=0.24,E109*'Reference Standards'!$AG$163+'Reference Standards'!$AG$164,E109^2*'Reference Standards'!$AC$162+E109*'Reference Standards'!$AC$163+'Reference Standards'!$AC$164))),2),IF('Quantification Tool R3'!$B$12="74b",ROUND(IF(E109&gt;=1.3,0,IF(E109&lt;=0.29,1,IF(E109&lt;=0.48,E109*'Reference Standards'!$AH$163+'Reference Standards'!$AH$164,E109^2*'Reference Standards'!$AD$162+E109*'Reference Standards'!$AD$163+'Reference Standards'!$AD$164))),2),IF('Quantification Tool R3'!$B$12="71e",ROUND(IF(E109&gt;=4.3,0,IF(E109&lt;=0.53,1,IF(E109&lt;=0.67,E109*'Reference Standards'!$AI$163+'Reference Standards'!$AI$164,E109^2*'Reference Standards'!$AE$162+E109*'Reference Standards'!$AE$163+'Reference Standards'!$AE$164))),2)))))))))))))),IF('Quantification Tool R3'!$B$13&gt;2.5,IF('Quantification Tool R3'!$B$12="73a",ROUND(IF(E109&gt;=0.55,0,IF(E109&lt;=0,1,E109^2*'Reference Standards'!$AB$232+E109*'Reference Standards'!$AB$233+'Reference Standards'!$AB$234)),2),IF('Quantification Tool R3'!$B$12="68a",ROUND(IF(E109&gt;=0.54,0,IF(E109&lt;=0,1,IF(E109&lt;=0.01,0.85,E109^2*'Reference Standards'!$AC$232+E109*'Reference Standards'!$AC$233+'Reference Standards'!$AC$234))),2),IF('Quantification Tool R3'!$B$12="74a",ROUND(IF(E109&gt;=0.47,0,IF(E109&lt;=0.01,1,IF(E109&lt;=0.02,0.7,E109^2*'Reference Standards'!$AD$232+E109*'Reference Standards'!$AD$233+'Reference Standards'!$AD$234))),2),IF('Quantification Tool R3'!$B$12="69de",ROUND(IF(E109&gt;=0.26,0,IF(E109&lt;=0.01,1,IF(E109&lt;=0.02,0.85,E109^2*'Reference Standards'!$AE$232+E109*'Reference Standards'!$AE$233+'Reference Standards'!$AE$234))),2),IF('Quantification Tool R3'!$B$12="71f",ROUND(IF(E109&gt;=0.87,0,IF(E109&lt;=0.01,1,IF(E109&lt;=0.04,E109*'Reference Standards'!$AF$269+'Reference Standards'!$AF$270,E109^2*'Reference Standards'!$AB$268+E109*'Reference Standards'!$AB$269+'Reference Standards'!$AB$270))),2),IF('Quantification Tool R3'!$B$12="65abei",ROUND(IF(E109&gt;=0.82,0,IF(E109&lt;=0.01,1,IF(E109&lt;=0.06,E109*'Reference Standards'!$AG$269+'Reference Standards'!$AG$270,E109^2*'Reference Standards'!$AC$268+E109*'Reference Standards'!$AC$269+'Reference Standards'!$AC$270))),2),IF('Quantification Tool R3'!$B$12="65j",ROUND(IF(E109&gt;=0.33,0,IF(E109&lt;=0.03,1,IF(E109&lt;=0.09,E109*'Reference Standards'!$AH$269+'Reference Standards'!$AH$270,E109^2*'Reference Standards'!$AD$268+E109*'Reference Standards'!$AD$269+'Reference Standards'!$AD$270))),2),IF('Quantification Tool R3'!$B$12="68c",ROUND(IF(E109&gt;=0.7,0,IF(E109&lt;=0.07,1,IF(E109&lt;=0.12,E109*'Reference Standards'!$AI$269+'Reference Standards'!$AI$270,E109^2*'Reference Standards'!$AE$268+E109*'Reference Standards'!$AE$269+'Reference Standards'!$AE$270))),2),IF(OR('Quantification Tool R3'!$B$12="67fhi",'Quantification Tool R3'!$B$12="67g"),ROUND(IF(E109&gt;=1.8,0,IF(E109&lt;=0.08,1,IF(E109&lt;=0.2,E109*'Reference Standards'!$AF$306+'Reference Standards'!$AF$307,E109^2*'Reference Standards'!$AB$305+E109*'Reference Standards'!$AB$306+'Reference Standards'!$AB$307))),2),IF('Quantification Tool R3'!$B$12="74b",ROUND(IF(E109&gt;=0.96,0,IF(E109&lt;=0.12,1,IF(E109&lt;=0.16,E109*'Reference Standards'!$AG$306+'Reference Standards'!$AG$307,E109^2*'Reference Standards'!$AC$305+E109*'Reference Standards'!$AC$306+'Reference Standards'!$AC$307))),2),IF('Quantification Tool R3'!$B$12="66d",ROUND(IF(E109&gt;=0.75,0,IF(E109&lt;=0.13,1,IF(E109&lt;=0.2,E109*'Reference Standards'!$AH$306+'Reference Standards'!$AH$307,E109^2*'Reference Standards'!$AD$305+E109*'Reference Standards'!$AD$306+'Reference Standards'!$AD$307))),2),IF(OR('Quantification Tool R3'!$B$12="71g",'Quantification Tool R3'!$B$12="71h",'Quantification Tool R3'!$B$12="71i"),ROUND(IF(E109&gt;=1.68,0,IF(E109&lt;=0.08,1,IF(E109&lt;=0.23,E109*'Reference Standards'!$AI$306+'Reference Standards'!$AI$307,E109^2*'Reference Standards'!$AE$305+E109*'Reference Standards'!$AE$306+'Reference Standards'!$AE$307))),2),IF('Quantification Tool R3'!$B$12="71e",ROUND(IF(E109&gt;=5.3,0,IF(E109&lt;=0.94,1,IF(E109&lt;=1.4,E109*'Reference Standards'!$AF$310+'Reference Standards'!$AF$311,E109^2*'Reference Standards'!$AB$309+E109*'Reference Standards'!$AB$310+'Reference Standards'!$AB$311))),2))))))))))))))))))))</f>
        <v/>
      </c>
      <c r="G109" s="86" t="str">
        <f>IFERROR(AVERAGE(F109),"")</f>
        <v/>
      </c>
      <c r="H109" s="548"/>
      <c r="I109" s="535"/>
      <c r="J109" s="559"/>
      <c r="K109" s="555"/>
      <c r="L109" s="21"/>
    </row>
    <row r="110" spans="1:13" ht="15.6" x14ac:dyDescent="0.3">
      <c r="A110" s="539"/>
      <c r="B110" s="298" t="s">
        <v>82</v>
      </c>
      <c r="C110" s="66" t="s">
        <v>280</v>
      </c>
      <c r="D110" s="66"/>
      <c r="E110" s="136"/>
      <c r="F110" s="343" t="str">
        <f>IF(E110="","",IF(ISNUMBER('Quantification Tool R3'!$B$13),IF('Quantification Tool R3'!$B$13&gt;2.5,IF(OR('Quantification Tool R3'!$B$12="71h",'Quantification Tool R3'!$B$12="71i",'Quantification Tool R3'!$B$12="73a",'Quantification Tool R3'!$B$12="74a"),IF(E110&lt;=0.01,1,IF(OR('Quantification Tool R3'!$B$12="71h",'Quantification Tool R3'!$B$12="71i"),IF(E110&gt;0.37,0,ROUND(IF(E110&gt;0.03,'Reference Standards'!$AB$425*E110^2+'Reference Standards'!$AB$426*E110+'Reference Standards'!$AB$427,'Reference Standards'!$AF$426*E110+'Reference Standards'!$AF$427),2)),IF('Quantification Tool R3'!$B$12="73a",IF(E110&gt;0.405,0,ROUND(IF(E110&gt;0.046,'Reference Standards'!$AC$425*E110^2+'Reference Standards'!$AC$426*E110+'Reference Standards'!$AC$427,'Reference Standards'!$AG$426*E110+'Reference Standards'!$AG$427),2)),IF('Quantification Tool R3'!$B$12="74a",IF(E110&gt;0.3,0,ROUND(IF(E110&gt;0.052,'Reference Standards'!$AD$425*E110^2+'Reference Standards'!$AD$426*E110+'Reference Standards'!$AD$427,'Reference Standards'!$AH$426*E110+'Reference Standards'!$AH$427),2)))))),IF(E110&lt;=0.002,1,IF(OR('Quantification Tool R3'!$B$12="66d",'Quantification Tool R3'!$B$12="66e",'Quantification Tool R3'!$B$12="66g"),IF(E110&gt;0.053,0,ROUND(E110^2*'Reference Standards'!$AB$347+E110*'Reference Standards'!$AB$348+'Reference Standards'!$AB$349,2)),IF('Quantification Tool R3'!$B$12="68b",IF(E110&gt;0.05,0,ROUND(E110^2*'Reference Standards'!$AC$347+E110*'Reference Standards'!$AC$348+'Reference Standards'!$AC$349,2)),IF(OR('Quantification Tool R3'!$B$12="68a",'Quantification Tool R3'!$B$12="68c"),IF(E110&gt;0.07,0,ROUND(E110^2*'Reference Standards'!$AD$347+E110*'Reference Standards'!$AD$348+'Reference Standards'!$AD$349,2)),IF(OR('Quantification Tool R3'!$B$12="71f",'Quantification Tool R3'!$B$12="71g"),IF(E110&gt;0.13,0,ROUND(IF(E110&gt;0.042,E110*'Reference Standards'!$AE$348+'Reference Standards'!$AE$349,E110*'Reference Standards'!$AF$348+'Reference Standards'!$AF$349),2)),IF('Quantification Tool R3'!$B$12="67fhi",IF(E110&gt;0.16,0,ROUND(E110^2*'Reference Standards'!$AG$347+E110*'Reference Standards'!$AG$348+'Reference Standards'!$AG$349,2)),IF('Quantification Tool R3'!$B$12="65j",IF(E110&gt;0.035,0,ROUND(IF(E110&lt;=0.003,0.7,E110^2*'Reference Standards'!$AB$387+E110*'Reference Standards'!$AB$388+'Reference Standards'!$AB$389),2)),IF('Quantification Tool R3'!$B$12="69de",IF(E110&gt;0.037,0,ROUND(IF(E110&lt;=0.003,0.7,E110^2*'Reference Standards'!$AC$387+E110*'Reference Standards'!$AC$388+'Reference Standards'!$AC$389),2)),IF('Quantification Tool R3'!$B$12="71e",IF(E110&gt;0.23,0,ROUND(IF(E110&lt;=0.003,0.7,E110^2*'Reference Standards'!$AD$387+E110*'Reference Standards'!$AD$388+'Reference Standards'!$AD$389),2)),IF('Quantification Tool R3'!$B$12="66f",IF(E110&gt;0.06,0,ROUND(IF(E110&lt;=0.003,0.85,IF(E110&lt;=0.004,0.7,E110^2*'Reference Standards'!$AE$387+E110*'Reference Standards'!$AE$388+'Reference Standards'!$AE$389)),2)),IF('Quantification Tool R3'!$B$12="67g",IF(E110&gt;0.11,0,ROUND(IF(E110&lt;=0.01,E110*'Reference Standards'!$AH$388+'Reference Standards'!$AH$389,E110^2*'Reference Standards'!$AF$387+E110*'Reference Standards'!$AF$388+'Reference Standards'!$AF$389),2)),IF('Quantification Tool R3'!$B$12="74b",IF(E110&gt;0.49,0,ROUND(IF(E110&lt;=0.01,E110*'Reference Standards'!$AH$388+'Reference Standards'!$AH$389,E110^2*'Reference Standards'!$AG$387+E110*'Reference Standards'!$AG$388+'Reference Standards'!$AG$389),2)),IF('Quantification Tool R3'!$B$12="65abei",IF(E110&gt;0.199,0,ROUND(IF(E110&lt;=0.01,E110*'Reference Standards'!$AI$426+'Reference Standards'!$AI$427,E110^2*'Reference Standards'!$AE$425+E110*'Reference Standards'!$AE$426+'Reference Standards'!$AE$427),2)))))))))))))))),IF('Quantification Tool R3'!$B$13&lt;=2.5,IF(OR('Quantification Tool R3'!$B$12="66d",'Quantification Tool R3'!$B$12="66e",'Quantification Tool R3'!$B$12="66g"),IF(E110&gt;0.05,0,ROUND(IF(E110&lt;=0.002,1,IF(E110&lt;=0.005,E110*'Reference Standards'!$AF$464+'Reference Standards'!$AF$465,E110^2*'Reference Standards'!$AB$463+E110*'Reference Standards'!$AB$464+'Reference Standards'!$AB$465)),2)),IF('Quantification Tool R3'!$B$12="67fhi",IF(E110&gt;0.1,0,ROUND(IF(E110&lt;=0.002,1,IF(E110&lt;=0.006,E110*'Reference Standards'!$AG$464+'Reference Standards'!$AG$465,E110^2*'Reference Standards'!$AC$463+E110*'Reference Standards'!$AC$464+'Reference Standards'!$AC$465)),2)),IF('Quantification Tool R3'!$B$12="65abei",IF(E110&gt;0.13,0,ROUND(IF(E110&lt;=0.003,1,IF(E110&lt;=0.008,E110*'Reference Standards'!$AH$464+'Reference Standards'!$AH$465,E110^2*'Reference Standards'!$AD$463+E110*'Reference Standards'!$AD$464+'Reference Standards'!$AD$465)),2)),IF('Quantification Tool R3'!$B$12="68b",IF(E110&gt;0.043,0,ROUND(IF(E110&lt;=0.004,1,IF(E110&lt;=0.005,0.7,E110^2*'Reference Standards'!$AE$463+E110*'Reference Standards'!$AE$464+'Reference Standards'!$AE$465)),2)),IF('Quantification Tool R3'!$B$12="69de",IF(E110&gt;=0.034,0,ROUND(IF(E110&lt;=0.003,1,IF(E110&lt;=0.006,E110*'Reference Standards'!$AG$500+'Reference Standards'!$AG$501,E110*'Reference Standards'!$AB$500+'Reference Standards'!$AB$501)),2)),IF(OR('Quantification Tool R3'!$B$12="68a",'Quantification Tool R3'!$B$12="68c"),IF(E110&gt;0.202,0,ROUND(IF(E110&lt;=0.003,1,IF(E110&lt;=0.006,E110*'Reference Standards'!$AG$500+'Reference Standards'!$AG$501,IF(E110&gt;=0.04,E110*'Reference Standards'!$AC$500+'Reference Standards'!$AC$501,E110*'Reference Standards'!$AE$500+'Reference Standards'!$AE$501))),2)),IF(OR('Quantification Tool R3'!$B$12="71f",'Quantification Tool R3'!$B$12="71g"),IF(E110&gt;0.631,0,ROUND(IF(E110&lt;=0.003,1,IF(E110&lt;=0.006,E110*'Reference Standards'!$AG$500+'Reference Standards'!$AG$501,IF(E110&gt;=0.17,E110*'Reference Standards'!$AD$500+'Reference Standards'!$AD$501,E110*'Reference Standards'!$AF$500+'Reference Standards'!$AF$501))),2)),IF('Quantification Tool R3'!$B$12="71e",IF(E110&gt;1.23,0,ROUND(IF(E110&lt;=0.004,1,IF(E110&lt;=0.006,E110*'Reference Standards'!$AF$538+'Reference Standards'!$AF$539,E110^2*'Reference Standards'!$AB$537+E110*'Reference Standards'!$AB$538+'Reference Standards'!$AB$539)),2)),IF('Quantification Tool R3'!$B$12="67g",IF(E110&gt;0.11,0,ROUND(IF(E110&lt;=0.006,1,IF(E110&lt;=0.011,E110*'Reference Standards'!$AG$538+'Reference Standards'!$AG$539,E110^2*'Reference Standards'!$AC$537+E110*'Reference Standards'!$AC$538+'Reference Standards'!$AC$539)),2)),IF('Quantification Tool R3'!$B$12="65j",IF(E110&gt;0.046,0,ROUND(IF(E110&lt;=0.007,1,IF(E110&lt;=0.012,E110*'Reference Standards'!$AH$538+'Reference Standards'!$AH$539,E110^2*'Reference Standards'!$AD$537+E110*'Reference Standards'!$AD$538+'Reference Standards'!$AD$539)),2)),IF('Quantification Tool R3'!$B$12="66f",IF(E110&gt;0.081,0,ROUND(IF(E110&lt;=0.008,1,IF(E110&lt;=0.011,E110*'Reference Standards'!$AI$538+'Reference Standards'!$AI$539,E110^2*'Reference Standards'!$AE$537+E110*'Reference Standards'!$AE$538+'Reference Standards'!$AE$539)),2)),IF(OR('Quantification Tool R3'!$B$12="71h",'Quantification Tool R3'!$B$12="71i"),IF(E110&gt;0.37,0,ROUND(IF(E110&lt;=0.013,1,IF(E110&lt;=0.032,E110*'Reference Standards'!$AH$576+'Reference Standards'!$AH$577,IF(E110&lt;=0.3,E110*'Reference Standards'!$AF$576+'Reference Standards'!$AF$577,E110*'Reference Standards'!$AB$576+'Reference Standards'!$AB$577))),2)),IF('Quantification Tool R3'!$B$12="73a",IF(E110&gt;0.448,0,ROUND(IF(E110&lt;=0.071,1,IF(E110&lt;=0.086,E110*'Reference Standards'!$AJ$576+'Reference Standards'!$AJ$577,IF(E110&lt;=0.165,E110*'Reference Standards'!$AG$576+'Reference Standards'!$AG$577,E110*'Reference Standards'!$AE$576+'Reference Standards'!$AE$577))),2)),IF('Quantification Tool R3'!$B$12="74b",IF(E110&gt;0.43,0,ROUND(IF(E110&lt;=0.018,1,IF(E110&lt;=0.019,0.85,IF(E110&lt;=0.02,0.7,E110^2*'Reference Standards'!$AC$575+E110*'Reference Standards'!$AC$576+'Reference Standards'!$AC$577))),2)),IF('Quantification Tool R3'!$B$12="74a",IF(E110&gt;0.217,0,ROUND(IF(E110&lt;=0.02,1,IF(E110&lt;=0.033,E110*'Reference Standards'!$AI$576+'Reference Standards'!$AI$577,E110^2*'Reference Standards'!$AD$575+E110*'Reference Standards'!$AD$576+'Reference Standards'!$AD$577)),2)))))))))))))))))))))</f>
        <v/>
      </c>
      <c r="G110" s="87" t="str">
        <f>IFERROR(AVERAGE(F110),"")</f>
        <v/>
      </c>
      <c r="H110" s="549"/>
      <c r="I110" s="536"/>
      <c r="J110" s="559"/>
      <c r="K110" s="555"/>
      <c r="L110" s="21"/>
    </row>
    <row r="111" spans="1:13" ht="15.6" x14ac:dyDescent="0.3">
      <c r="A111" s="550" t="s">
        <v>59</v>
      </c>
      <c r="B111" s="560" t="s">
        <v>340</v>
      </c>
      <c r="C111" s="125" t="s">
        <v>331</v>
      </c>
      <c r="D111" s="126"/>
      <c r="E111" s="166"/>
      <c r="F111" s="345" t="str">
        <f>IF(E111="","",IF(OR('Quantification Tool R3'!B$12="73a",'Quantification Tool R3'!B$12="73b"),IF(E111&lt;1,0,IF(E111&gt;=30,1,ROUND(IF(E111&lt;22,'Reference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531" t="str">
        <f>IFERROR(AVERAGE(F111:F114),"")</f>
        <v/>
      </c>
      <c r="H111" s="568" t="str">
        <f>IFERROR(ROUND(AVERAGE(G111:G116),2),"")</f>
        <v/>
      </c>
      <c r="I111" s="519" t="str">
        <f>IF(H111="","",IF(H111&gt;0.69,"Functioning",IF(H111&gt;0.29,"Functioning At Risk",IF(H111&gt;-1,"Not Functioning"))))</f>
        <v/>
      </c>
      <c r="J111" s="559"/>
      <c r="K111" s="555"/>
      <c r="L111" s="21"/>
    </row>
    <row r="112" spans="1:13" ht="15.6" x14ac:dyDescent="0.3">
      <c r="A112" s="556"/>
      <c r="B112" s="561"/>
      <c r="C112" s="174" t="s">
        <v>335</v>
      </c>
      <c r="D112" s="175"/>
      <c r="E112" s="165"/>
      <c r="F112" s="346" t="str">
        <f>IF(E112="","",IF(AND('Quantification Tool R3'!$B$12="74b",'Quantification Tool R3'!$B$13&lt;=2),IF(E112&lt;0,0,IF(E112&gt;15.6,0.69,ROUND('Reference Standards'!$AL$54*E112^2+'Reference Standards'!$AL$55*E112+'Reference Standards'!$AL$56,2))),IF(AND('Quantification Tool R3'!$B$12="65abei",'Quantification Tool R3'!$B$13&lt;=2),IF(E112&lt;0,0,IF(E112&gt;=20,0.69,ROUND('Reference Standards'!$AM$54*E112^2+'Reference Standards'!$AM$55*E112+'Reference Standards'!$AM$56,2))),IF(OR(AND('Quantification Tool R3'!$B$12="74a",'Quantification Tool R3'!$B$13&gt;2,'Quantification Tool R3'!$B$19="January - June"),AND('Quantification Tool R3'!$B$12="71i",'Quantification Tool R3'!$B$13&gt;2,'Quantification Tool R3'!$B$20="SQBANK")),IF(E112&lt;0,0,IF(E112&gt;24.7,0.69,ROUND('Reference Standards'!$AN$54*E112^2+'Reference Standards'!$AN$55*E112+'Reference Standards'!$AN$56,2))),IF(OR('Quantification Tool R3'!$B$12="74b",'Quantification Tool R3'!$B$12="65abei"),IF(E112&lt;0,0,IF(E112&gt;32.7,0.69,ROUND('Reference Standards'!$AO$54*E112^2+'Reference Standards'!$AO$55*E112+'Reference Standards'!$AO$56,2))),IF(AND('Quantification Tool R3'!$B$12="68b",'Quantification Tool R3'!$B$13&gt;2),IF(E112&lt;0,0,IF(E112&gt;41.2,0.69,ROUND('Reference Standards'!$AP$54*E112^2+'Reference Standards'!$AP$55*E112+'Reference Standards'!$AP$56,2))),IF(OR(AND('Quantification Tool R3'!$B$12="71i",'Quantification Tool R3'!$B$13&lt;=2),AND(OR('Quantification Tool R3'!$B$12="68c",'Quantification Tool R3'!$B$12="68d"),'Quantification Tool R3'!$B$19="January - June")),IF(E112&lt;0,0,IF(E112&gt;49.2,0.69,ROUND('Reference Standards'!$AL$94*E112^2+'Reference Standards'!$AL$95*E112+'Reference Standards'!$AL$96,2))),IF(OR(AND('Quantification Tool R3'!$B$12="68a",'Quantification Tool R3'!$B$19="January - June"),AND(OR('Quantification Tool R3'!$B$12="68c",'Quantification Tool R3'!$B$12="68d"),'Quantification Tool R3'!$B$19="July - December")),IF(E112&lt;0,0,IF(E112&gt;53.4,0.69,ROUND('Reference Standards'!$AM$94*E112^2+'Reference Standards'!$AM$95*E112+'Reference Standards'!$AM$96,2))),IF(OR(AND('Quantification Tool R3'!$B$12="71i",'Quantification Tool R3'!$B$13&gt;2,'Quantification Tool R3'!$B$20="SQKICK"),AND(OR('Quantification Tool R3'!$B$12="67fhi",'Quantification Tool R3'!$B$12="67g"),'Quantification Tool R3'!$B$13&lt;=2),'Quantification Tool R3'!$B$12="65j"),IF(E112&lt;0,0,IF(E112&gt;57.8,0.69,ROUND('Reference Standards'!$AN$94*E112^2+'Reference Standards'!$AN$95*E112+'Reference Standards'!$AN$96,2))),IF(OR(AND('Quantification Tool R3'!$B$12="74a",'Quantification Tool R3'!$B$13&gt;2,'Quantification Tool R3'!$B$19="July - December"),AND(OR('Quantification Tool R3'!$B$12="67fhi",'Quantification Tool R3'!$B$12="67g"),'Quantification Tool R3'!$B$13&gt;2),'Quantification Tool R3'!$B$12="69de"),IF(E112&lt;0,0,IF(E112&gt;62.5,0.69,ROUND('Reference Standards'!$AO$94*E112^2+'Reference Standards'!$AO$95*E112+'Reference Standards'!$AO$96,2))),  IF(OR('Quantification Tool R3'!$B$12="66d",'Quantification Tool R3'!$B$12="66e",'Quantification Tool R3'!$B$12="66ik",'Quantification Tool R3'!$B$12="71e",'Quantification Tool R3'!$B$12="71f",'Quantification Tool R3'!$B$12="71g",'Quantification Tool R3'!$B$12="71h"),IF(E112&lt;0,0,IF(E112&gt;66.5,0.69,ROUND('Reference Standards'!$AP$94*E112^2+'Reference Standards'!$AP$95*E112+'Reference Standards'!$AP$96,2))),IF(OR('Quantification Tool R3'!$B$12="66f",'Quantification Tool R3'!$B$12="66g",'Quantification Tool R3'!$B$12="66j",AND('Quantification Tool R3'!$B$12="68a",'Quantification Tool R3'!$B$19="July - December")), IF(E112&lt;0,0,IF(E112&gt;69,0.69,ROUND('Reference Standards'!$AQ$94*E112^2+'Reference Standards'!$AQ$95*E112+'Reference Standards'!$AQ$96,2))))   )))))))))))</f>
        <v/>
      </c>
      <c r="G112" s="531"/>
      <c r="H112" s="568"/>
      <c r="I112" s="519"/>
      <c r="J112" s="559"/>
      <c r="K112" s="555"/>
      <c r="L112" s="21"/>
    </row>
    <row r="113" spans="1:12" ht="15.6" x14ac:dyDescent="0.3">
      <c r="A113" s="556"/>
      <c r="B113" s="561"/>
      <c r="C113" s="174" t="s">
        <v>339</v>
      </c>
      <c r="D113" s="175"/>
      <c r="E113" s="165"/>
      <c r="F113" s="346" t="str">
        <f>IF(E113="","",IF(AND('Quantification Tool R3'!$B$12="74b",'Quantification Tool R3'!$B$13&lt;=2),IF(E113&lt;0,0,IF(E113&gt;8.1,0.69,ROUND('Reference Standards'!$AL$131*E113^2+'Reference Standards'!$AL$132*E113+'Reference Standards'!$AL$133,2))),IF(OR('Quantification Tool R3'!$B$12="73a",'Quantification Tool R3'!$B$12="73b"),IF(E113&lt;0,0,IF(E113&gt;=28,0.69,ROUND('Reference Standards'!$AM$131*E113^2+'Reference Standards'!$AM$132*E113+'Reference Standards'!$AM$133,2))),IF(AND('Quantification Tool R3'!$B$12="74a",'Quantification Tool R3'!$B$13&gt;2,'Quantification Tool R3'!$B$19="January - June"),IF(E113&lt;0,0,IF(E113&gt;=32.5,0.69,ROUND('Reference Standards'!$AN$131*E113^2+'Reference Standards'!$AN$132*E113+'Reference Standards'!$AN$133,2))),IF(AND('Quantification Tool R3'!$B$12="71i",'Quantification Tool R3'!$B$13&gt;2,'Quantification Tool R3'!$B$20="SQBANK"),IF(E113&lt;0,0,IF(E113&gt;=37,0.69,ROUND('Reference Standards'!$AO$131*E113^2+'Reference Standards'!$AO$132*E113+'Reference Standards'!$AO$133,2))),IF(OR(AND(OR('Quantification Tool R3'!$B$12="65abei",'Quantification Tool R3'!$B$12="74b"),'Quantification Tool R3'!$B$13&gt;2),AND('Quantification Tool R3'!$B$12="71i",'Quantification Tool R3'!$B$13&gt;2,'Quantification Tool R3'!$B$20="SQKICK")),IF(E113&lt;0,0,IF(E113&gt;42.6,0.69,ROUND('Reference Standards'!$AP$131*E113^2+'Reference Standards'!$AP$132*E113+'Reference Standards'!$AP$133,2))),     IF(OR(AND('Quantification Tool R3'!$B$12="65abei",'Quantification Tool R3'!$B$13&lt;=2),AND(OR('Quantification Tool R3'!$B$12="68c",'Quantification Tool R3'!$B$12="68d"),'Quantification Tool R3'!$B$19="July - December"),'Quantification Tool R3'!$B$12="71e"),IF(E113&lt;0,0,IF(E113&gt;=48,0.69,ROUND('Reference Standards'!$AL$171*E113^2+'Reference Standards'!$AL$172*E113+'Reference Standards'!$AL$173,2))),IF(OR('Quantification Tool R3'!$B$12="65j",'Quantification Tool R3'!$B$12="67fhi",'Quantification Tool R3'!$B$12="67g",AND('Quantification Tool R3'!$B$12="74a",'Quantification Tool R3'!$B$19="July - December",'Quantification Tool R3'!$B$13&gt;2),AND('Quantification Tool R3'!$B$12="71i",'Quantification Tool R3'!$B$13&lt;=2)),IF(E113&lt;0,0,IF(E113&gt;=53,0.69,ROUND('Reference Standards'!$AM$171*E113^2+'Reference Standards'!$AM$172*E113+'Reference Standards'!$AM$173,2))),IF(OR(AND(OR('Quantification Tool R3'!$B$12="68b",'Quantification Tool R3'!$B$12="71f",'Quantification Tool R3'!$B$12="71g",'Quantification Tool R3'!$B$12="71h"),'Quantification Tool R3'!$B$13&gt;2),'Quantification Tool R3'!$B$12="68a"),IF(E113&lt;0,0,IF(E113&gt;=57,0.69,ROUND('Reference Standards'!$AN$171*E113^2+'Reference Standards'!$AN$172*E113+'Reference Standards'!$AN$173,2))),IF(OR('Quantification Tool R3'!$B$12="66f",'Quantification Tool R3'!$B$12="66g",'Quantification Tool R3'!$B$12="66j",AND(OR('Quantification Tool R3'!$B$12="71f",'Quantification Tool R3'!$B$12="71g",'Quantification Tool R3'!$B$12="71h"),'Quantification Tool R3'!$B$13&lt;=2)),IF(E113&lt;0,0,IF(E113&gt;=60,0.69,ROUND('Reference Standards'!$AO$171*E113^2+'Reference Standards'!$AO$172*E113+'Reference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December")),IF(E113&lt;0,0,IF(E113&gt;=67.5,0.69,ROUND('Reference Standards'!$AP$171*E113^2+'Reference Standards'!$AP$172*E113+'Reference Standards'!$AP$173,2))),IF(AND('Quantification Tool R3'!$B$12="69de",'Quantification Tool R3'!$B$19="January - June"), IF(E113&lt;0,0,IF(E113&gt;=72,0.69,ROUND('Reference Standards'!$AQ$171*E113^2+'Reference Standards'!$AQ$172*E113+'Reference Standards'!$AQ$173,2))))   )))))))))))</f>
        <v/>
      </c>
      <c r="G113" s="531"/>
      <c r="H113" s="568"/>
      <c r="I113" s="519"/>
      <c r="J113" s="559"/>
      <c r="K113" s="555"/>
      <c r="L113" s="21"/>
    </row>
    <row r="114" spans="1:12" ht="15.6" x14ac:dyDescent="0.3">
      <c r="A114" s="556"/>
      <c r="B114" s="562"/>
      <c r="C114" s="127" t="s">
        <v>336</v>
      </c>
      <c r="D114" s="71"/>
      <c r="E114" s="167"/>
      <c r="F114" s="346" t="str">
        <f>IF(E114="","",IF(OR('Quantification Tool R3'!$B$12="67fhi",'Quantification Tool R3'!$B$12="67g",'Quantification Tool R3'!$B$12="71e",'Quantification Tool R3'!$B$12="73a",'Quantification Tool R3'!$B$12="73b",AND(OR('Quantification Tool R3'!$B$12="71f",'Quantification Tool R3'!$B$12="71g",'Quantification Tool R3'!$B$12="71h"),'Quantification Tool R3'!$B$13&gt;2)),IF(E114&gt;100,0,IF(E114&lt;15,0.69,ROUND('Reference Standards'!$AL$208*E114^2+'Reference Standards'!$AL$209*E114+'Reference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),IF(E114&gt;100,0,IF(E114&lt;19,0.69,ROUND('Reference Standards'!$AM$208*E114^2+'Reference Standards'!$AM$209*E114+'Reference Standards'!$AM$210,2))),    IF(OR(AND('Quantification Tool R3'!$B$12="69de",'Quantification Tool R3'!$B$19="January - June"),AND('Quantification Tool R3'!$B$12="71i",'Quantification Tool R3'!$B$13&gt;2,'Quantification Tool R3'!$B$20="SQKICK" )),IF(E114&gt;100,0,IF(E114&lt;22,0.69,ROUND('Reference Standards'!$AN$208*E114^2+'Reference Standards'!$AN$209*E114+'Reference Standards'!$AN$210,2))),    IF(OR('Quantification Tool R3'!$B$12="65j",AND('Quantification Tool R3'!$B$12="68b",'Quantification Tool R3'!$B$13&gt;2)),IF(E114&gt;100,0,IF(E114&lt;24,0.69,ROUND('Reference Standards'!$AO$208*E114^2+'Reference Standards'!$AO$209*E114+'Reference Standards'!$AO$210,2))),    IF(AND(OR('Quantification Tool R3'!$B$12="65abei",'Quantification Tool R3'!$B$12="71f",'Quantification Tool R3'!$B$12="71g",'Quantification Tool R3'!$B$12="71h"),'Quantification Tool R3'!$B$13&lt;=2),IF(E114&gt;95,0,IF(E114&lt;33,0.69,ROUND('Reference Standards'!$AL$246*E114^2+'Reference Standards'!$AL$247*E114+'Reference Standards'!$AL$248,2))),   IF(AND(OR('Quantification Tool R3'!$B$12="65abei",'Quantification Tool R3'!$B$12="74b"),'Quantification Tool R3'!$B$13&gt;2),IF(E114&gt;97,0,IF(E114&lt;36,0.69,ROUND('Reference Standards'!$AM$246*E114^2+'Reference Standards'!$AM$247*E114+'Reference Standards'!$AM$248,2))),  IF(AND('Quantification Tool R3'!$B$12="74a",'Quantification Tool R3'!$B$19="January - June",'Quantification Tool R3'!$B$13&gt;2),IF(E114&gt;93,0,IF(E114&lt;52,0.69,ROUND('Reference Standards'!$AN$246*E114^2+'Reference Standards'!$AN$247*E114+'Reference Standards'!$AN$248,2))),   IF(AND('Quantification Tool R3'!$B$12="74b",'Quantification Tool R3'!$B$13&lt;=2),IF(E114&gt;97,0,IF(E114&lt;62,0.69,ROUND('Reference Standards'!$AO$246*E114^2+'Reference Standards'!$AO$247*E114+'Reference Standards'!$AO$248,2)))  )))))))))</f>
        <v/>
      </c>
      <c r="G114" s="531"/>
      <c r="H114" s="568"/>
      <c r="I114" s="519"/>
      <c r="J114" s="559"/>
      <c r="K114" s="555"/>
      <c r="L114" s="21"/>
    </row>
    <row r="115" spans="1:12" ht="15.6" x14ac:dyDescent="0.3">
      <c r="A115" s="556"/>
      <c r="B115" s="563" t="s">
        <v>74</v>
      </c>
      <c r="C115" s="125" t="s">
        <v>211</v>
      </c>
      <c r="D115" s="126"/>
      <c r="E115" s="166"/>
      <c r="F115" s="345" t="str">
        <f>IF(E115="","",IF(E115=1,0.15,IF(E115=3,0.5,IF(E115=5,0.85,0))))</f>
        <v/>
      </c>
      <c r="G115" s="564" t="str">
        <f>IFERROR(AVERAGE(F115:F116),"")</f>
        <v/>
      </c>
      <c r="H115" s="568"/>
      <c r="I115" s="519"/>
      <c r="J115" s="559"/>
      <c r="K115" s="555"/>
      <c r="L115" s="21"/>
    </row>
    <row r="116" spans="1:12" ht="15.6" x14ac:dyDescent="0.3">
      <c r="A116" s="551"/>
      <c r="B116" s="563"/>
      <c r="C116" s="127" t="s">
        <v>332</v>
      </c>
      <c r="D116" s="71"/>
      <c r="E116" s="167"/>
      <c r="F116" s="347" t="str">
        <f>IF(E116="","",IF(E116=1,0.15,IF(E116=3,0.5,IF(E116=5,0.85,0))))</f>
        <v/>
      </c>
      <c r="G116" s="565"/>
      <c r="H116" s="568"/>
      <c r="I116" s="519"/>
      <c r="J116" s="559"/>
      <c r="K116" s="555"/>
      <c r="L116" s="21"/>
    </row>
    <row r="117" spans="1:12" x14ac:dyDescent="0.3">
      <c r="L117" s="21"/>
    </row>
    <row r="118" spans="1:12" ht="21" x14ac:dyDescent="0.4">
      <c r="A118" s="148" t="s">
        <v>135</v>
      </c>
      <c r="B118" s="246"/>
      <c r="C118" s="249" t="s">
        <v>324</v>
      </c>
      <c r="D118" s="246"/>
      <c r="E118" s="247"/>
      <c r="F118" s="248"/>
      <c r="G118" s="544" t="s">
        <v>18</v>
      </c>
      <c r="H118" s="545"/>
      <c r="I118" s="545"/>
      <c r="J118" s="545"/>
      <c r="K118" s="546"/>
      <c r="L118" s="21"/>
    </row>
    <row r="119" spans="1:12" ht="15.6" x14ac:dyDescent="0.3">
      <c r="A119" s="158" t="s">
        <v>1</v>
      </c>
      <c r="B119" s="158" t="s">
        <v>2</v>
      </c>
      <c r="C119" s="542" t="s">
        <v>3</v>
      </c>
      <c r="D119" s="644"/>
      <c r="E119" s="158" t="s">
        <v>15</v>
      </c>
      <c r="F119" s="158" t="s">
        <v>16</v>
      </c>
      <c r="G119" s="158" t="s">
        <v>19</v>
      </c>
      <c r="H119" s="158" t="s">
        <v>20</v>
      </c>
      <c r="I119" s="314" t="s">
        <v>20</v>
      </c>
      <c r="J119" s="158" t="s">
        <v>21</v>
      </c>
      <c r="K119" s="315" t="s">
        <v>21</v>
      </c>
    </row>
    <row r="120" spans="1:12" ht="15.6" x14ac:dyDescent="0.3">
      <c r="A120" s="540" t="s">
        <v>60</v>
      </c>
      <c r="B120" s="299" t="s">
        <v>86</v>
      </c>
      <c r="C120" s="52" t="s">
        <v>388</v>
      </c>
      <c r="D120" s="52"/>
      <c r="E120" s="162"/>
      <c r="F120" s="338" t="str">
        <f>IF(E120="","",IF(E120&lt;=0,0,IF(E120&gt;=0.95,1,ROUND('Reference Standards'!C$14*E120+'Reference Standards'!C$15,2))))</f>
        <v/>
      </c>
      <c r="G120" s="83" t="str">
        <f>IFERROR(AVERAGE(F120),"")</f>
        <v/>
      </c>
      <c r="H120" s="522" t="str">
        <f>IFERROR(ROUND(AVERAGE(G120:G121),2),"")</f>
        <v/>
      </c>
      <c r="I120" s="519" t="str">
        <f>IF(H120="","",IF(H120&gt;0.69,"Functioning",IF(H120&gt;0.29,"Functioning At Risk",IF(H120&gt;-1,"Not Functioning"))))</f>
        <v/>
      </c>
      <c r="J120" s="559" t="str">
        <f>IF(AND(H120="",H122="",H124="",H146="",H150=""),"",ROUND((IF(H120="",0,H120)*0.2)+(IF(H122="",0,H122)*0.2)+(IF(H124="",0,H124)*0.2)+(IF(H146="",0,H146)*0.2)+(IF(H150="",0,H150)*0.2),2))</f>
        <v/>
      </c>
      <c r="K120" s="555" t="str">
        <f>IF(J120="","",IF(J120&lt;0.3, "Not Functioning",IF(OR(H120&lt;0.7,H122&lt;0.7,H124&lt;0.7,H146&lt;0.7,H150&lt;0.7),"Functioning At Risk",IF(J120&lt;0.7,"Functioning At Risk","Functioning"))))</f>
        <v/>
      </c>
    </row>
    <row r="121" spans="1:12" ht="15.6" x14ac:dyDescent="0.3">
      <c r="A121" s="541"/>
      <c r="B121" s="371" t="s">
        <v>128</v>
      </c>
      <c r="C121" s="373" t="s">
        <v>161</v>
      </c>
      <c r="D121" s="374"/>
      <c r="E121" s="43"/>
      <c r="F121" s="372" t="str">
        <f>IF(E121="","",IF(E121&gt;=1,1,IF(E121&lt;=0,0,ROUND(E121,2))))</f>
        <v/>
      </c>
      <c r="G121" s="367" t="str">
        <f>IFERROR(AVERAGE(F121:F121),"")</f>
        <v/>
      </c>
      <c r="H121" s="523"/>
      <c r="I121" s="519"/>
      <c r="J121" s="559"/>
      <c r="K121" s="555"/>
    </row>
    <row r="122" spans="1:12" ht="15.6" x14ac:dyDescent="0.3">
      <c r="A122" s="524" t="s">
        <v>6</v>
      </c>
      <c r="B122" s="572" t="s">
        <v>7</v>
      </c>
      <c r="C122" s="54" t="s">
        <v>8</v>
      </c>
      <c r="D122" s="54"/>
      <c r="E122" s="162"/>
      <c r="F122" s="339" t="str">
        <f>IF(E122="","",ROUND(IF(E122&gt;1.6,0,IF(E122&lt;=1,1,E122^2*'Reference Standards'!K$14+E122*'Reference Standards'!K$15+'Reference Standards'!K$16)),2))</f>
        <v/>
      </c>
      <c r="G122" s="579" t="str">
        <f>IFERROR(AVERAGE(F122:F123),"")</f>
        <v/>
      </c>
      <c r="H122" s="579" t="str">
        <f>IFERROR(ROUND(AVERAGE(G122),2),"")</f>
        <v/>
      </c>
      <c r="I122" s="569" t="str">
        <f>IF(H122="","",IF(H122&gt;0.69,"Functioning",IF(H122&gt;0.29,"Functioning At Risk",IF(H122&gt;-1,"Not Functioning"))))</f>
        <v/>
      </c>
      <c r="J122" s="559"/>
      <c r="K122" s="555"/>
    </row>
    <row r="123" spans="1:12" ht="15.6" x14ac:dyDescent="0.3">
      <c r="A123" s="525"/>
      <c r="B123" s="572"/>
      <c r="C123" s="54" t="s">
        <v>9</v>
      </c>
      <c r="D123" s="54"/>
      <c r="E123" s="163"/>
      <c r="F123" s="339" t="str">
        <f>IF(E123="","",(IF(OR('Quantification Tool R3'!B$11="A",'Quantification Tool R3'!B$11="B",'Quantification Tool R3'!$B$11="Bc"),IF(E123&lt;1.2,0,IF(E123&gt;=2.2,1,ROUND(IF(E123&lt;1.4,E123*'Reference Standards'!$K$84+'Reference Standards'!$K$85,E123*'Reference Standards'!$L$84+'Reference Standards'!$L$85),2))),IF(OR('Quantification Tool R3'!B$11="C",'Quantification Tool R3'!B$11="E"),IF(E123&lt;2,0,IF(E123&gt;=5,1,ROUND(IF(E123&lt;2.4,E123*'Reference Standards'!$L$49+'Reference Standards'!$L$50,E123*'Reference Standards'!$K$49+'Reference Standards'!$K$50),2)))))))</f>
        <v/>
      </c>
      <c r="G123" s="581"/>
      <c r="H123" s="580"/>
      <c r="I123" s="570"/>
      <c r="J123" s="559"/>
      <c r="K123" s="555"/>
    </row>
    <row r="124" spans="1:12" ht="15.6" x14ac:dyDescent="0.3">
      <c r="A124" s="526" t="s">
        <v>26</v>
      </c>
      <c r="B124" s="557" t="s">
        <v>27</v>
      </c>
      <c r="C124" s="60" t="s">
        <v>333</v>
      </c>
      <c r="D124" s="244"/>
      <c r="E124" s="61"/>
      <c r="F124" s="340" t="str">
        <f>IF(E124="","",IF(OR(LEFT('Quantification Tool R3'!$B$12,2)="65",LEFT('Quantification Tool R3'!$B$12,2)="66",LEFT('Quantification Tool R3'!$B$12,2)="71"),IF(E124&gt;=850,1,IF(E124&lt;250,ROUND('Reference Standards'!$S$17*(E124)+'Reference Standards'!$S$18,2),ROUND('Reference Standards'!$T$17*E124+'Reference Standards'!$T$18,2))),  IF(E124&gt;=345,1,IF(E124&lt;=180,ROUND('Reference Standards'!$U$17*(E124)+'Reference Standards'!$U$18,2),ROUND('Reference Standards'!$V$17*E124+'Reference Standards'!$V$18,2))))    )</f>
        <v/>
      </c>
      <c r="G124" s="528" t="str">
        <f>IFERROR(AVERAGE(F124:F125),"")</f>
        <v/>
      </c>
      <c r="H124" s="566" t="str">
        <f>IFERROR(ROUND(AVERAGE(G124:G145),2),"")</f>
        <v/>
      </c>
      <c r="I124" s="555" t="str">
        <f>IF(H124="","",IF(H124&gt;0.69,"Functioning",IF(H124&gt;0.29,"Functioning At Risk",IF(H124&gt;-1,"Not Functioning"))))</f>
        <v/>
      </c>
      <c r="J124" s="559"/>
      <c r="K124" s="555"/>
    </row>
    <row r="125" spans="1:12" ht="15.6" x14ac:dyDescent="0.3">
      <c r="A125" s="520"/>
      <c r="B125" s="558"/>
      <c r="C125" s="63" t="s">
        <v>323</v>
      </c>
      <c r="D125" s="245"/>
      <c r="E125" s="53"/>
      <c r="F125" s="341" t="str">
        <f>IF(E125="","",IF(OR(LEFT('Quantification Tool R3'!$B$12,2)="65",LEFT('Quantification Tool R3'!$B$12,2)="66",LEFT('Quantification Tool R3'!$B$12,2)="71"),IF(E125&gt;=30,1,IF(E125&lt;13,ROUND('Reference Standards'!$S$53*(E125)+'Reference Standards'!$S$54,2),ROUND('Reference Standards'!$T$53*E125+'Reference Standards'!$T$54,2))),  IF(E125&gt;=16,1,IF(E125&lt;=9,ROUND('Reference Standards'!$U$53*(E125)+'Reference Standards'!$U$54,2),ROUND('Reference Standards'!$V$53*E125+'Reference Standards'!$V$54,2))))    )</f>
        <v/>
      </c>
      <c r="G125" s="530"/>
      <c r="H125" s="566"/>
      <c r="I125" s="555"/>
      <c r="J125" s="559"/>
      <c r="K125" s="555"/>
    </row>
    <row r="126" spans="1:12" ht="15.6" x14ac:dyDescent="0.3">
      <c r="A126" s="520"/>
      <c r="B126" s="520" t="s">
        <v>395</v>
      </c>
      <c r="C126" s="58" t="s">
        <v>80</v>
      </c>
      <c r="D126" s="58"/>
      <c r="E126" s="165"/>
      <c r="F126" s="340" t="str">
        <f>IF(E126="","",ROUND(IF(E126&gt;0.7,0,IF(E126&lt;=0.1,1,E126^3*'Reference Standards'!S$87+E126^2*'Reference Standards'!S$88+E126*'Reference Standards'!S$89+'Reference Standards'!S$90)),2))</f>
        <v/>
      </c>
      <c r="G126" s="528" t="str">
        <f>IFERROR(ROUND(AVERAGE(F126:F129),2),"")</f>
        <v/>
      </c>
      <c r="H126" s="567"/>
      <c r="I126" s="555"/>
      <c r="J126" s="559"/>
      <c r="K126" s="555"/>
    </row>
    <row r="127" spans="1:12" ht="15.6" x14ac:dyDescent="0.3">
      <c r="A127" s="520"/>
      <c r="B127" s="520"/>
      <c r="C127" s="58" t="s">
        <v>49</v>
      </c>
      <c r="D127" s="58"/>
      <c r="E127" s="165"/>
      <c r="F127" s="84"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529"/>
      <c r="H127" s="567"/>
      <c r="I127" s="555"/>
      <c r="J127" s="559"/>
      <c r="K127" s="555"/>
    </row>
    <row r="128" spans="1:12" ht="15.6" x14ac:dyDescent="0.3">
      <c r="A128" s="520"/>
      <c r="B128" s="520"/>
      <c r="C128" s="58" t="s">
        <v>87</v>
      </c>
      <c r="D128" s="58"/>
      <c r="E128" s="165"/>
      <c r="F128" s="84" t="str">
        <f>IF(E128="","",ROUND(IF(E128&gt;40,0,IF(E128&lt;5,1,E128^3*'Reference Standards'!S$122+E128^2*'Reference Standards'!S$123+E128*'Reference Standards'!S$124+'Reference Standards'!S$125)),2))</f>
        <v/>
      </c>
      <c r="G128" s="529"/>
      <c r="H128" s="567"/>
      <c r="I128" s="555"/>
      <c r="J128" s="559"/>
      <c r="K128" s="555"/>
    </row>
    <row r="129" spans="1:13" ht="15.6" x14ac:dyDescent="0.3">
      <c r="A129" s="520"/>
      <c r="B129" s="521"/>
      <c r="C129" s="59" t="s">
        <v>394</v>
      </c>
      <c r="D129" s="59"/>
      <c r="E129" s="167"/>
      <c r="F129" s="341" t="str">
        <f>IF(E129="","",ROUND(IF(E129&gt;=30,0,IF(E129&lt;=0,1,E129*'Reference Standards'!S$156+'Reference Standards'!S$157)),2))</f>
        <v/>
      </c>
      <c r="G129" s="530"/>
      <c r="H129" s="567"/>
      <c r="I129" s="555"/>
      <c r="J129" s="559"/>
      <c r="K129" s="555"/>
    </row>
    <row r="130" spans="1:13" ht="15.6" x14ac:dyDescent="0.3">
      <c r="A130" s="520"/>
      <c r="B130" s="520" t="s">
        <v>50</v>
      </c>
      <c r="C130" s="60" t="s">
        <v>377</v>
      </c>
      <c r="D130" s="64"/>
      <c r="E130" s="136"/>
      <c r="F130" s="294" t="str">
        <f>IF(E130="","",ROUND(IF(E130&gt;9.2,1,E130*'Reference Standards'!$S$189+'Reference Standards'!$S$190),2))</f>
        <v/>
      </c>
      <c r="G130" s="552" t="str">
        <f>IFERROR(ROUND(AVERAGE(F130:F139),2),"")</f>
        <v/>
      </c>
      <c r="H130" s="567"/>
      <c r="I130" s="555"/>
      <c r="J130" s="559"/>
      <c r="K130" s="555"/>
    </row>
    <row r="131" spans="1:13" ht="15.6" x14ac:dyDescent="0.3">
      <c r="A131" s="520"/>
      <c r="B131" s="520"/>
      <c r="C131" s="62" t="s">
        <v>378</v>
      </c>
      <c r="D131" s="58"/>
      <c r="E131" s="162"/>
      <c r="F131" s="294" t="str">
        <f>IF(E131="","",ROUND(IF(E131&gt;9.2,1,E131*'Reference Standards'!$S$189+'Reference Standards'!$S$190),2))</f>
        <v/>
      </c>
      <c r="G131" s="553"/>
      <c r="H131" s="567"/>
      <c r="I131" s="555"/>
      <c r="J131" s="559"/>
      <c r="K131" s="555"/>
    </row>
    <row r="132" spans="1:13" ht="15.6" x14ac:dyDescent="0.3">
      <c r="A132" s="520"/>
      <c r="B132" s="520"/>
      <c r="C132" s="62" t="s">
        <v>379</v>
      </c>
      <c r="D132" s="58"/>
      <c r="E132" s="162"/>
      <c r="F132" s="294" t="str">
        <f>IF(E132="","",ROUND( IF(E132&gt;=200,1,IF(E132&lt;50, E132^2*'Reference Standards'!S$224+E132*'Reference Standards'!S$225+'Reference Standards'!S$226, E132*'Reference Standards'!T$224+'Reference Standards'!T$225)),2))</f>
        <v/>
      </c>
      <c r="G132" s="553"/>
      <c r="H132" s="567"/>
      <c r="I132" s="555"/>
      <c r="J132" s="559"/>
      <c r="K132" s="555"/>
    </row>
    <row r="133" spans="1:13" ht="15.6" x14ac:dyDescent="0.3">
      <c r="A133" s="520"/>
      <c r="B133" s="520"/>
      <c r="C133" s="62" t="s">
        <v>380</v>
      </c>
      <c r="D133" s="58"/>
      <c r="E133" s="162"/>
      <c r="F133" s="294" t="str">
        <f>IF(E133="","",ROUND( IF(E133&gt;=200,1,IF(E133&lt;50, E133^2*'Reference Standards'!S$224+E133*'Reference Standards'!S$225+'Reference Standards'!S$226, E133*'Reference Standards'!T$224+'Reference Standards'!T$225)),2))</f>
        <v/>
      </c>
      <c r="G133" s="553"/>
      <c r="H133" s="567"/>
      <c r="I133" s="555"/>
      <c r="J133" s="559"/>
      <c r="K133" s="555"/>
    </row>
    <row r="134" spans="1:13" ht="15.6" x14ac:dyDescent="0.3">
      <c r="A134" s="520"/>
      <c r="B134" s="520"/>
      <c r="C134" s="58" t="s">
        <v>381</v>
      </c>
      <c r="D134" s="58"/>
      <c r="E134" s="162"/>
      <c r="F134" s="294" t="str">
        <f>IF(E134="","",ROUND(IF(AND(E134&gt;=135,E134&lt;=262),1,IF(  E134&gt;=366,0.5, IF(E134&lt;135,E134*'Reference Standards'!S$259+'Reference Standards'!S$260, E134*'Reference Standards'!T$259+'Reference Standards'!T$260))),2))</f>
        <v/>
      </c>
      <c r="G134" s="553"/>
      <c r="H134" s="567"/>
      <c r="I134" s="555"/>
      <c r="J134" s="559"/>
      <c r="K134" s="555"/>
    </row>
    <row r="135" spans="1:13" ht="15.6" x14ac:dyDescent="0.3">
      <c r="A135" s="520"/>
      <c r="B135" s="520"/>
      <c r="C135" s="58" t="s">
        <v>382</v>
      </c>
      <c r="D135" s="58"/>
      <c r="E135" s="162"/>
      <c r="F135" s="294" t="str">
        <f>IF(E135="","",ROUND(IF(AND(E135&gt;=135,E135&lt;=262),1,IF(  E135&gt;=366,0.5, IF(E135&lt;135,E135*'Reference Standards'!S$259+'Reference Standards'!S$260, E135*'Reference Standards'!T$259+'Reference Standards'!T$260))),2))</f>
        <v/>
      </c>
      <c r="G135" s="553"/>
      <c r="H135" s="567"/>
      <c r="I135" s="555"/>
      <c r="J135" s="559"/>
      <c r="K135" s="555"/>
    </row>
    <row r="136" spans="1:13" ht="15.6" x14ac:dyDescent="0.3">
      <c r="A136" s="520"/>
      <c r="B136" s="520"/>
      <c r="C136" s="58" t="s">
        <v>383</v>
      </c>
      <c r="D136" s="58"/>
      <c r="E136" s="162"/>
      <c r="F136" s="84" t="str">
        <f>IF(E136="","",ROUND(IF(E136&gt;=75,1,IF(E136&lt;=0,0,E136*'Reference Standards'!S$330)),2))</f>
        <v/>
      </c>
      <c r="G136" s="553"/>
      <c r="H136" s="567"/>
      <c r="I136" s="555"/>
      <c r="J136" s="559"/>
      <c r="K136" s="555"/>
    </row>
    <row r="137" spans="1:13" ht="15.6" x14ac:dyDescent="0.3">
      <c r="A137" s="520"/>
      <c r="B137" s="520"/>
      <c r="C137" s="58" t="s">
        <v>384</v>
      </c>
      <c r="D137" s="58"/>
      <c r="E137" s="162"/>
      <c r="F137" s="84" t="str">
        <f>IF(E137="","",ROUND(IF(E137&gt;=75,1,IF(E137&lt;=0,0,E137*'Reference Standards'!S$330)),2))</f>
        <v/>
      </c>
      <c r="G137" s="553"/>
      <c r="H137" s="567"/>
      <c r="I137" s="555"/>
      <c r="J137" s="559"/>
      <c r="K137" s="555"/>
    </row>
    <row r="138" spans="1:13" ht="15.6" x14ac:dyDescent="0.3">
      <c r="A138" s="520"/>
      <c r="B138" s="520"/>
      <c r="C138" s="58" t="s">
        <v>385</v>
      </c>
      <c r="D138" s="58"/>
      <c r="E138" s="162"/>
      <c r="F138" s="294" t="str">
        <f>IF(E138="","",ROUND(IF(AND(E138&gt;=36.3,E138&lt;=68),1,IF(E138&gt;100,0,IF(E138&lt;36.3,(('Reference Standards'!S$297*(E138^2))+('Reference Standards'!S$298*E138)+'Reference Standards'!S$299),IF(E138&gt;68,(('Reference Standards'!T$297*(E138^2))+('Reference Standards'!T$298*E138)+'Reference Standards'!T$299))))),2))</f>
        <v/>
      </c>
      <c r="G138" s="553"/>
      <c r="H138" s="567"/>
      <c r="I138" s="555"/>
      <c r="J138" s="559"/>
      <c r="K138" s="555"/>
      <c r="M138" s="21"/>
    </row>
    <row r="139" spans="1:13" ht="15.6" x14ac:dyDescent="0.3">
      <c r="A139" s="520"/>
      <c r="B139" s="521"/>
      <c r="C139" s="58" t="s">
        <v>386</v>
      </c>
      <c r="D139" s="65"/>
      <c r="E139" s="162"/>
      <c r="F139" s="294" t="str">
        <f>IF(E139="","",ROUND(IF(AND(E139&gt;=36.3,E139&lt;=68),1,IF(E139&gt;100,0,IF(E139&lt;36.3,(('Reference Standards'!S$297*(E139^2))+('Reference Standards'!S$298*E139)+'Reference Standards'!S$299),IF(E139&gt;68,(('Reference Standards'!T$297*(E139^2))+('Reference Standards'!T$298*E139)+'Reference Standards'!T$299))))),2))</f>
        <v/>
      </c>
      <c r="G139" s="554"/>
      <c r="H139" s="567"/>
      <c r="I139" s="555"/>
      <c r="J139" s="559"/>
      <c r="K139" s="555"/>
    </row>
    <row r="140" spans="1:13" ht="15.6" x14ac:dyDescent="0.3">
      <c r="A140" s="520"/>
      <c r="B140" s="56" t="s">
        <v>108</v>
      </c>
      <c r="C140" s="72" t="s">
        <v>130</v>
      </c>
      <c r="D140" s="58"/>
      <c r="E140" s="43"/>
      <c r="F140" s="82" t="str">
        <f>IF(E140="","",IF(OR('Quantification Tool R3'!B$14="Gravel",'Quantification Tool R3'!B$14="Cobble"),IF(E140&gt;0.1,1,IF(E140&lt;=0.01,0,ROUND(E140*'Reference Standards'!$S$362+'Reference Standards'!$S$363,2)))))</f>
        <v/>
      </c>
      <c r="G140" s="82" t="str">
        <f>IFERROR(AVERAGE(F140),"")</f>
        <v/>
      </c>
      <c r="H140" s="567"/>
      <c r="I140" s="555"/>
      <c r="J140" s="559"/>
      <c r="K140" s="555"/>
    </row>
    <row r="141" spans="1:13" ht="15.6" x14ac:dyDescent="0.3">
      <c r="A141" s="520"/>
      <c r="B141" s="526" t="s">
        <v>51</v>
      </c>
      <c r="C141" s="64" t="s">
        <v>52</v>
      </c>
      <c r="D141" s="64"/>
      <c r="E141" s="166"/>
      <c r="F141" s="337" t="str">
        <f>IF(E141="","",IF(ISNUMBER('Quantification Tool R3'!$B$17),IF('Quantification Tool R3'!$B$17&lt;=2,IF(AND(E141&gt;=3,E141&lt;=5),1,IF(OR(E141&lt;=1,E141&gt;=7),0,ROUND(IF(E141&lt;3,E141*'Reference Standards'!S$398+'Reference Standards'!S$399,E141*'Reference Standards'!T$398+'Reference Standards'!T$399),2))),IF(E141&lt;=2.5,1,IF(E141&gt;=5.8,0,ROUND(E141*'Reference Standards'!S$430+'Reference Standards'!S$431,2))))))</f>
        <v/>
      </c>
      <c r="G141" s="528" t="str">
        <f>IFERROR(AVERAGE(F141:F144),"")</f>
        <v/>
      </c>
      <c r="H141" s="567"/>
      <c r="I141" s="555"/>
      <c r="J141" s="559"/>
      <c r="K141" s="555"/>
    </row>
    <row r="142" spans="1:13" ht="15.6" x14ac:dyDescent="0.3">
      <c r="A142" s="520"/>
      <c r="B142" s="520"/>
      <c r="C142" s="58" t="s">
        <v>53</v>
      </c>
      <c r="D142" s="58"/>
      <c r="E142" s="165"/>
      <c r="F142" s="84" t="str">
        <f>IF(E142="","", IF( E142&gt;=2.4,1, IF(E142&lt;=1,0,  ROUND(IF(E142&lt;2.4, E142*'Reference Standards'!$S$464+'Reference Standards'!$S$465  ),2))))</f>
        <v/>
      </c>
      <c r="G142" s="529"/>
      <c r="H142" s="567"/>
      <c r="I142" s="555"/>
      <c r="J142" s="559"/>
      <c r="K142" s="555"/>
    </row>
    <row r="143" spans="1:13" ht="15.6" x14ac:dyDescent="0.3">
      <c r="A143" s="520"/>
      <c r="B143" s="520"/>
      <c r="C143" s="58" t="s">
        <v>334</v>
      </c>
      <c r="D143" s="58"/>
      <c r="E143" s="165"/>
      <c r="F143" s="390" t="str">
        <f>IF(E143="","", IF(LEFT('Quantification Tool R3'!$B$12,2)="67",  IF( AND(E143&gt;=45,E143&lt;=65),1, IF(OR(E143&lt;=20,E143&gt;=90),0, ROUND(  IF(E143&lt;45, E143*'Reference Standards'!$S$498+'Reference Standards'!$S$499,E143*'Reference Standards'!$T$498+'Reference Standards'!$T$499),2))), IF(OR(  LEFT('Quantification Tool R3'!$B$12,2)="68", LEFT('Quantification Tool R3'!$B$12,2)="69",LEFT('Quantification Tool R3'!$B$12,2)="71"),  IF( AND(E143&gt;=30,E143&lt;=50),1, IF(OR(E143&lt;=10,E143&gt;=70),0, ROUND(  IF(E143&lt;30, E143*'Reference Standards'!$S$533+'Reference Standards'!$S$534,E143*'Reference Standards'!$T$533+'Reference Standards'!$T$534),2))), IF(LEFT('Quantification Tool R3'!$B$12,2)="66",  IF( AND(E143&gt;=20,E143&lt;=45),1, IF(OR(E143&lt;=0,E143&gt;=90),0, ROUND(  IF(E143&lt;20, E143*'Reference Standards'!$S$567+'Reference Standards'!$S$568,E143*'Reference Standards'!$T$567+'Reference Standards'!$T$568),2))), IF(OR(  LEFT('Quantification Tool R3'!$B$12,2)="65", LEFT('Quantification Tool R3'!$B$12,2)="74", LEFT('Quantification Tool R3'!$B$12,2)="73"),  IF( AND(E143&gt;=20,E143&lt;=30),1, IF(OR(E143&lt;=0,E143&gt;=50),0, ROUND(  IF(E143&lt;20, E143*'Reference Standards'!$S$601+'Reference Standards'!$S$602,E143*'Reference Standards'!$T$601+'Reference Standards'!$T$602),2))))))))</f>
        <v/>
      </c>
      <c r="G143" s="529"/>
      <c r="H143" s="567"/>
      <c r="I143" s="555"/>
      <c r="J143" s="559"/>
      <c r="K143" s="555"/>
    </row>
    <row r="144" spans="1:13" ht="15.6" x14ac:dyDescent="0.3">
      <c r="A144" s="520"/>
      <c r="B144" s="521"/>
      <c r="C144" s="62" t="s">
        <v>210</v>
      </c>
      <c r="D144" s="58"/>
      <c r="E144" s="167"/>
      <c r="F144" s="391" t="str">
        <f>IF(E144="","",IF(E144&gt;=1.6,0,IF(E144&lt;=1,1,ROUND('Reference Standards'!$S$633*E144^3+'Reference Standards'!$S$634*E144^2+'Reference Standards'!$S$635*E144+'Reference Standards'!$S$636,2))))</f>
        <v/>
      </c>
      <c r="G144" s="530"/>
      <c r="H144" s="567"/>
      <c r="I144" s="555"/>
      <c r="J144" s="559"/>
      <c r="K144" s="555"/>
      <c r="L144" s="13"/>
    </row>
    <row r="145" spans="1:12" ht="15.6" x14ac:dyDescent="0.3">
      <c r="A145" s="521"/>
      <c r="B145" s="296" t="s">
        <v>55</v>
      </c>
      <c r="C145" s="242" t="s">
        <v>54</v>
      </c>
      <c r="D145" s="243"/>
      <c r="E145" s="163"/>
      <c r="F145" s="342" t="str">
        <f>IF(E145="","",IF(AND('Quantification Tool R3'!B$11="E",'Quantification Tool R3'!$B$14="Sand",'Quantification Tool R3'!$B$21="Unconfined Alluvial"),ROUND(IF(OR(E145&gt;1.8,E145&lt;1.3),0,IF(E145&lt;=1.6,1,E145*'Reference Standards'!S$667+'Reference Standards'!S$668)),2),    IF('Quantification Tool R3'!$B$21="Unconfined Alluvial",ROUND(IF(OR(E145&lt;1.2, E145&gt;1.5),0,IF(E145&lt;=1.4,1,E145*'Reference Standards'!$S$700+'Reference Standards'!$S$701)),2), IF('Quantification Tool R3'!$B$21="Confined Alluvial",ROUND(IF(E145&lt;1.15,0,IF(E145&lt;=1.4,E145*'Reference Standards'!$S$729+'Reference Standards'!$S$730,1)),2),  IF('Quantification Tool R3'!$B$21="Colluvial",ROUND(IF(E145&gt;1.3,0,IF(E145&gt;1.2,E145*'Reference Standards'!$S$760+'Reference Standards'!$S$761,1)),2) )))))</f>
        <v/>
      </c>
      <c r="G145" s="84" t="str">
        <f>IFERROR(AVERAGE(F145),"")</f>
        <v/>
      </c>
      <c r="H145" s="567"/>
      <c r="I145" s="555"/>
      <c r="J145" s="559"/>
      <c r="K145" s="555"/>
      <c r="L145" s="13"/>
    </row>
    <row r="146" spans="1:12" ht="15.6" x14ac:dyDescent="0.3">
      <c r="A146" s="537" t="s">
        <v>58</v>
      </c>
      <c r="B146" s="67" t="s">
        <v>88</v>
      </c>
      <c r="C146" s="70" t="s">
        <v>338</v>
      </c>
      <c r="D146" s="70"/>
      <c r="E146" s="43"/>
      <c r="F146" s="343" t="str">
        <f>IF(E146="","",ROUND(IF(E146&gt;=942,0,IF(E146&lt;=487,E146*'Reference Standards'!AB$15+'Reference Standards'!AB$16,E146*'Reference Standards'!$AC$15+'Reference Standards'!$AC$16)),2))</f>
        <v/>
      </c>
      <c r="G146" s="85" t="str">
        <f>IFERROR(AVERAGE(F146),"")</f>
        <v/>
      </c>
      <c r="H146" s="547" t="str">
        <f>IFERROR(ROUND(AVERAGE(G146:G149),2),"")</f>
        <v/>
      </c>
      <c r="I146" s="534" t="str">
        <f>IF(H146="","",IF(H146&gt;0.69,"Functioning",IF(H146&gt;0.29,"Functioning At Risk",IF(H146&gt;-1,"Not Functioning"))))</f>
        <v/>
      </c>
      <c r="J146" s="559"/>
      <c r="K146" s="555"/>
      <c r="L146" s="21"/>
    </row>
    <row r="147" spans="1:12" ht="15.6" x14ac:dyDescent="0.3">
      <c r="A147" s="538"/>
      <c r="B147" s="297" t="s">
        <v>362</v>
      </c>
      <c r="C147" s="66" t="s">
        <v>354</v>
      </c>
      <c r="D147" s="66"/>
      <c r="E147" s="163"/>
      <c r="F147" s="344" t="str">
        <f>IF(E147="","",IF(OR('Quantification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June")),IF(E147&gt;93,0,IF(E147&lt;13,1,ROUND('Reference Standards'!$AB$53*E147^2+'Reference Standards'!$AB$54*E147+'Reference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R3'!$B$12="73b"),IF(E147&gt;94,0,IF(E147&lt;17,1,ROUND('Reference Standards'!$AC$53*E147^2+'Reference Standards'!$AC$54*E147+'Reference Standards'!$AC$55,2))),    IF(OR(AND(OR('Quantification Tool R3'!$B$12="68b",'Quantification Tool R3'!$B$12="71i"),'Quantification Tool R3'!$B$13&gt;2), 'Quantification Tool R3'!$B$12="71e"),IF(E147&gt;91,0,IF(E147&lt;24,1,ROUND('Reference Standards'!$AD$53*E147^2+'Reference Standards'!$AD$54*E147+'Reference Standards'!$AD$55,2))),  IF(OR(AND(OR('Quantification Tool R3'!$B$12="71f",'Quantification Tool R3'!$B$12="71g",'Quantification Tool R3'!$B$12="71h",'Quantification Tool R3'!$B$12="71i"),'Quantification Tool R3'!$B$13&lt;=2), AND('Quantification Tool R3'!$B$12="74a",'Quantification Tool R3'!$B$13&gt;2)),IF(E147&gt;95,0,IF(E147&lt;=36,1,ROUND('Reference Standards'!$AE$53*E147^2+'Reference Standards'!$AE$54*E147+'Reference Standards'!$AE$55,2))))))))</f>
        <v/>
      </c>
      <c r="G147" s="236" t="str">
        <f>IFERROR(AVERAGE(F147:F147),"")</f>
        <v/>
      </c>
      <c r="H147" s="548"/>
      <c r="I147" s="535"/>
      <c r="J147" s="559"/>
      <c r="K147" s="555"/>
      <c r="L147" s="21"/>
    </row>
    <row r="148" spans="1:12" ht="15.6" x14ac:dyDescent="0.3">
      <c r="A148" s="538"/>
      <c r="B148" s="67" t="s">
        <v>81</v>
      </c>
      <c r="C148" s="68" t="s">
        <v>281</v>
      </c>
      <c r="D148" s="68"/>
      <c r="E148" s="162"/>
      <c r="F148" s="344" t="str">
        <f>IF(E148="","",IF(ISNUMBER('Quantification Tool R3'!$B$13),IF(OR('Quantification Tool R3'!$B$12="66e",'Quantification Tool R3'!$B$12="66f",'Quantification Tool R3'!$B$12="66g"),ROUND(IF(E148&gt;=0.61,0,IF(E148&lt;=0.01,1,IF(E148&lt;=0.06,E148*'Reference Standards'!$AD$197+'Reference Standards'!$AD$198,E148^2*'Reference Standards'!$AB$196+E148*'Reference Standards'!$AB$197+'Reference Standards'!$AB$198))),2),IF('Quantification Tool R3'!$B$12="68b",ROUND(IF(E148&gt;=1.1,0,IF(E148&lt;=0.17,1,IF(E148&lt;=0.22,E148*'Reference Standards'!$AE$197+'Reference Standards'!$AE$198,E148^2*'Reference Standards'!$AC$196+E148*'Reference Standards'!$AC$197+'Reference Standards'!$AC$198))),2),IF('Quantification Tool R3'!$B$13&lt;=2.5,IF('Quantification Tool R3'!$B$12="69de",ROUND(IF(E148&gt;=0.22,0,IF(E148&lt;=0.01,1,E148^2*'Reference Standards'!$AB$90+E148*'Reference Standards'!$AB$91+'Reference Standards'!$AB$92)),2),IF('Quantification Tool R3'!$B$12="68c",ROUND(IF(E148&gt;=0.87,0,IF(E148&lt;=0.01,1,E148^2*'Reference Standards'!$AC$90+E148*'Reference Standards'!$AC$91+'Reference Standards'!$AC$92)),2),IF('Quantification Tool R3'!$B$12="68a",ROUND(IF(E148&gt;=0.81,0,IF(E148&lt;=0.01,1,E148^2*'Reference Standards'!$AD$90+E148*'Reference Standards'!$AD$91+'Reference Standards'!$AD$92)),2),IF('Quantification Tool R3'!$B$12="65abei",ROUND(IF(E148&gt;=0.67,0,IF(E148&lt;=0.01,1,IF(E148&lt;=0.18,E148*'Reference Standards'!$AG$91+'Reference Standards'!$AG$92,E148*'Reference Standards'!$AE$91+'Reference Standards'!$AE$92))),2),IF('Quantification Tool R3'!$B$12="65j",ROUND(IF(E148&gt;=0.32,0,IF(E148&lt;=0.01,1,IF(E148&lt;=0.25,E148*'Reference Standards'!$AH$91+'Reference Standards'!$AH$92,E148*'Reference Standards'!$AF$91+'Reference Standards'!$AF$92))),2),IF('Quantification Tool R3'!$B$12="71f",ROUND(IF(E148&gt;=3,0,IF(E148&lt;=0,1,IF(E148&lt;=0.01,0.7,E148^2*'Reference Standards'!$AB$126+E148*'Reference Standards'!$AB$127+'Reference Standards'!$AB$128))),2),IF('Quantification Tool R3'!$B$12="74a",ROUND(IF(E148&gt;=0.14,0,IF(E148&lt;=0.01,1,IF(E148&lt;=0.02,0.7,E148^2*'Reference Standards'!$AC$126+E148*'Reference Standards'!$AC$127+'Reference Standards'!$AC$128))),2),IF(OR('Quantification Tool R3'!$B$12="67fhi",'Quantification Tool R3'!$B$12="67g"),ROUND(IF(E148&gt;=1.9,0,IF(E148&lt;=0.01,1,IF(E148&lt;=0.05,E148*'Reference Standards'!$AF$127+'Reference Standards'!$AF$128,E148^2*'Reference Standards'!$AD$126+E148*'Reference Standards'!$AD$127+'Reference Standards'!$AD$128))),2),IF('Quantification Tool R3'!$B$12="73a",ROUND(IF(E148&gt;=1.44,0,IF(E148&lt;=0.01,1,IF(E148&lt;=0.12,E148*'Reference Standards'!$AG$127+'Reference Standards'!$AG$128,E148^2*'Reference Standards'!$AE$126+E148*'Reference Standards'!$AE$127+'Reference Standards'!$AE$128))),2),IF('Quantification Tool R3'!$B$12="66d",ROUND(IF(E148&gt;=0.46,0,IF(E148&lt;=0.02,1,IF(E148&lt;=0.08,E148*'Reference Standards'!$AF$163+'Reference Standards'!$AF$164,E148^2*'Reference Standards'!$AB$162+E148*'Reference Standards'!$AB$163+'Reference Standards'!$AB$164))),2),IF(OR('Quantification Tool R3'!$B$12="71g",'Quantification Tool R3'!$B$12="71h",'Quantification Tool R3'!$B$12="71i"),ROUND(IF(E148&gt;=3,0,IF(E148&lt;=0.06,1,IF(E148&lt;=0.24,E148*'Reference Standards'!$AG$163+'Reference Standards'!$AG$164,E148^2*'Reference Standards'!$AC$162+E148*'Reference Standards'!$AC$163+'Reference Standards'!$AC$164))),2),IF('Quantification Tool R3'!$B$12="74b",ROUND(IF(E148&gt;=1.3,0,IF(E148&lt;=0.29,1,IF(E148&lt;=0.48,E148*'Reference Standards'!$AH$163+'Reference Standards'!$AH$164,E148^2*'Reference Standards'!$AD$162+E148*'Reference Standards'!$AD$163+'Reference Standards'!$AD$164))),2),IF('Quantification Tool R3'!$B$12="71e",ROUND(IF(E148&gt;=4.3,0,IF(E148&lt;=0.53,1,IF(E148&lt;=0.67,E148*'Reference Standards'!$AI$163+'Reference Standards'!$AI$164,E148^2*'Reference Standards'!$AE$162+E148*'Reference Standards'!$AE$163+'Reference Standards'!$AE$164))),2)))))))))))))),IF('Quantification Tool R3'!$B$13&gt;2.5,IF('Quantification Tool R3'!$B$12="73a",ROUND(IF(E148&gt;=0.55,0,IF(E148&lt;=0,1,E148^2*'Reference Standards'!$AB$232+E148*'Reference Standards'!$AB$233+'Reference Standards'!$AB$234)),2),IF('Quantification Tool R3'!$B$12="68a",ROUND(IF(E148&gt;=0.54,0,IF(E148&lt;=0,1,IF(E148&lt;=0.01,0.85,E148^2*'Reference Standards'!$AC$232+E148*'Reference Standards'!$AC$233+'Reference Standards'!$AC$234))),2),IF('Quantification Tool R3'!$B$12="74a",ROUND(IF(E148&gt;=0.47,0,IF(E148&lt;=0.01,1,IF(E148&lt;=0.02,0.7,E148^2*'Reference Standards'!$AD$232+E148*'Reference Standards'!$AD$233+'Reference Standards'!$AD$234))),2),IF('Quantification Tool R3'!$B$12="69de",ROUND(IF(E148&gt;=0.26,0,IF(E148&lt;=0.01,1,IF(E148&lt;=0.02,0.85,E148^2*'Reference Standards'!$AE$232+E148*'Reference Standards'!$AE$233+'Reference Standards'!$AE$234))),2),IF('Quantification Tool R3'!$B$12="71f",ROUND(IF(E148&gt;=0.87,0,IF(E148&lt;=0.01,1,IF(E148&lt;=0.04,E148*'Reference Standards'!$AF$269+'Reference Standards'!$AF$270,E148^2*'Reference Standards'!$AB$268+E148*'Reference Standards'!$AB$269+'Reference Standards'!$AB$270))),2),IF('Quantification Tool R3'!$B$12="65abei",ROUND(IF(E148&gt;=0.82,0,IF(E148&lt;=0.01,1,IF(E148&lt;=0.06,E148*'Reference Standards'!$AG$269+'Reference Standards'!$AG$270,E148^2*'Reference Standards'!$AC$268+E148*'Reference Standards'!$AC$269+'Reference Standards'!$AC$270))),2),IF('Quantification Tool R3'!$B$12="65j",ROUND(IF(E148&gt;=0.33,0,IF(E148&lt;=0.03,1,IF(E148&lt;=0.09,E148*'Reference Standards'!$AH$269+'Reference Standards'!$AH$270,E148^2*'Reference Standards'!$AD$268+E148*'Reference Standards'!$AD$269+'Reference Standards'!$AD$270))),2),IF('Quantification Tool R3'!$B$12="68c",ROUND(IF(E148&gt;=0.7,0,IF(E148&lt;=0.07,1,IF(E148&lt;=0.12,E148*'Reference Standards'!$AI$269+'Reference Standards'!$AI$270,E148^2*'Reference Standards'!$AE$268+E148*'Reference Standards'!$AE$269+'Reference Standards'!$AE$270))),2),IF(OR('Quantification Tool R3'!$B$12="67fhi",'Quantification Tool R3'!$B$12="67g"),ROUND(IF(E148&gt;=1.8,0,IF(E148&lt;=0.08,1,IF(E148&lt;=0.2,E148*'Reference Standards'!$AF$306+'Reference Standards'!$AF$307,E148^2*'Reference Standards'!$AB$305+E148*'Reference Standards'!$AB$306+'Reference Standards'!$AB$307))),2),IF('Quantification Tool R3'!$B$12="74b",ROUND(IF(E148&gt;=0.96,0,IF(E148&lt;=0.12,1,IF(E148&lt;=0.16,E148*'Reference Standards'!$AG$306+'Reference Standards'!$AG$307,E148^2*'Reference Standards'!$AC$305+E148*'Reference Standards'!$AC$306+'Reference Standards'!$AC$307))),2),IF('Quantification Tool R3'!$B$12="66d",ROUND(IF(E148&gt;=0.75,0,IF(E148&lt;=0.13,1,IF(E148&lt;=0.2,E148*'Reference Standards'!$AH$306+'Reference Standards'!$AH$307,E148^2*'Reference Standards'!$AD$305+E148*'Reference Standards'!$AD$306+'Reference Standards'!$AD$307))),2),IF(OR('Quantification Tool R3'!$B$12="71g",'Quantification Tool R3'!$B$12="71h",'Quantification Tool R3'!$B$12="71i"),ROUND(IF(E148&gt;=1.68,0,IF(E148&lt;=0.08,1,IF(E148&lt;=0.23,E148*'Reference Standards'!$AI$306+'Reference Standards'!$AI$307,E148^2*'Reference Standards'!$AE$305+E148*'Reference Standards'!$AE$306+'Reference Standards'!$AE$307))),2),IF('Quantification Tool R3'!$B$12="71e",ROUND(IF(E148&gt;=5.3,0,IF(E148&lt;=0.94,1,IF(E148&lt;=1.4,E148*'Reference Standards'!$AF$310+'Reference Standards'!$AF$311,E148^2*'Reference Standards'!$AB$309+E148*'Reference Standards'!$AB$310+'Reference Standards'!$AB$311))),2))))))))))))))))))))</f>
        <v/>
      </c>
      <c r="G148" s="86" t="str">
        <f>IFERROR(AVERAGE(F148),"")</f>
        <v/>
      </c>
      <c r="H148" s="548"/>
      <c r="I148" s="535"/>
      <c r="J148" s="559"/>
      <c r="K148" s="555"/>
      <c r="L148" s="21"/>
    </row>
    <row r="149" spans="1:12" ht="15.6" x14ac:dyDescent="0.3">
      <c r="A149" s="539"/>
      <c r="B149" s="298" t="s">
        <v>82</v>
      </c>
      <c r="C149" s="66" t="s">
        <v>280</v>
      </c>
      <c r="D149" s="66"/>
      <c r="E149" s="136"/>
      <c r="F149" s="343" t="str">
        <f>IF(E149="","",IF(ISNUMBER('Quantification Tool R3'!$B$13),IF('Quantification Tool R3'!$B$13&gt;2.5,IF(OR('Quantification Tool R3'!$B$12="71h",'Quantification Tool R3'!$B$12="71i",'Quantification Tool R3'!$B$12="73a",'Quantification Tool R3'!$B$12="74a"),IF(E149&lt;=0.01,1,IF(OR('Quantification Tool R3'!$B$12="71h",'Quantification Tool R3'!$B$12="71i"),IF(E149&gt;0.37,0,ROUND(IF(E149&gt;0.03,'Reference Standards'!$AB$425*E149^2+'Reference Standards'!$AB$426*E149+'Reference Standards'!$AB$427,'Reference Standards'!$AF$426*E149+'Reference Standards'!$AF$427),2)),IF('Quantification Tool R3'!$B$12="73a",IF(E149&gt;0.405,0,ROUND(IF(E149&gt;0.046,'Reference Standards'!$AC$425*E149^2+'Reference Standards'!$AC$426*E149+'Reference Standards'!$AC$427,'Reference Standards'!$AG$426*E149+'Reference Standards'!$AG$427),2)),IF('Quantification Tool R3'!$B$12="74a",IF(E149&gt;0.3,0,ROUND(IF(E149&gt;0.052,'Reference Standards'!$AD$425*E149^2+'Reference Standards'!$AD$426*E149+'Reference Standards'!$AD$427,'Reference Standards'!$AH$426*E149+'Reference Standards'!$AH$427),2)))))),IF(E149&lt;=0.002,1,IF(OR('Quantification Tool R3'!$B$12="66d",'Quantification Tool R3'!$B$12="66e",'Quantification Tool R3'!$B$12="66g"),IF(E149&gt;0.053,0,ROUND(E149^2*'Reference Standards'!$AB$347+E149*'Reference Standards'!$AB$348+'Reference Standards'!$AB$349,2)),IF('Quantification Tool R3'!$B$12="68b",IF(E149&gt;0.05,0,ROUND(E149^2*'Reference Standards'!$AC$347+E149*'Reference Standards'!$AC$348+'Reference Standards'!$AC$349,2)),IF(OR('Quantification Tool R3'!$B$12="68a",'Quantification Tool R3'!$B$12="68c"),IF(E149&gt;0.07,0,ROUND(E149^2*'Reference Standards'!$AD$347+E149*'Reference Standards'!$AD$348+'Reference Standards'!$AD$349,2)),IF(OR('Quantification Tool R3'!$B$12="71f",'Quantification Tool R3'!$B$12="71g"),IF(E149&gt;0.13,0,ROUND(IF(E149&gt;0.042,E149*'Reference Standards'!$AE$348+'Reference Standards'!$AE$349,E149*'Reference Standards'!$AF$348+'Reference Standards'!$AF$349),2)),IF('Quantification Tool R3'!$B$12="67fhi",IF(E149&gt;0.16,0,ROUND(E149^2*'Reference Standards'!$AG$347+E149*'Reference Standards'!$AG$348+'Reference Standards'!$AG$349,2)),IF('Quantification Tool R3'!$B$12="65j",IF(E149&gt;0.035,0,ROUND(IF(E149&lt;=0.003,0.7,E149^2*'Reference Standards'!$AB$387+E149*'Reference Standards'!$AB$388+'Reference Standards'!$AB$389),2)),IF('Quantification Tool R3'!$B$12="69de",IF(E149&gt;0.037,0,ROUND(IF(E149&lt;=0.003,0.7,E149^2*'Reference Standards'!$AC$387+E149*'Reference Standards'!$AC$388+'Reference Standards'!$AC$389),2)),IF('Quantification Tool R3'!$B$12="71e",IF(E149&gt;0.23,0,ROUND(IF(E149&lt;=0.003,0.7,E149^2*'Reference Standards'!$AD$387+E149*'Reference Standards'!$AD$388+'Reference Standards'!$AD$389),2)),IF('Quantification Tool R3'!$B$12="66f",IF(E149&gt;0.06,0,ROUND(IF(E149&lt;=0.003,0.85,IF(E149&lt;=0.004,0.7,E149^2*'Reference Standards'!$AE$387+E149*'Reference Standards'!$AE$388+'Reference Standards'!$AE$389)),2)),IF('Quantification Tool R3'!$B$12="67g",IF(E149&gt;0.11,0,ROUND(IF(E149&lt;=0.01,E149*'Reference Standards'!$AH$388+'Reference Standards'!$AH$389,E149^2*'Reference Standards'!$AF$387+E149*'Reference Standards'!$AF$388+'Reference Standards'!$AF$389),2)),IF('Quantification Tool R3'!$B$12="74b",IF(E149&gt;0.49,0,ROUND(IF(E149&lt;=0.01,E149*'Reference Standards'!$AH$388+'Reference Standards'!$AH$389,E149^2*'Reference Standards'!$AG$387+E149*'Reference Standards'!$AG$388+'Reference Standards'!$AG$389),2)),IF('Quantification Tool R3'!$B$12="65abei",IF(E149&gt;0.199,0,ROUND(IF(E149&lt;=0.01,E149*'Reference Standards'!$AI$426+'Reference Standards'!$AI$427,E149^2*'Reference Standards'!$AE$425+E149*'Reference Standards'!$AE$426+'Reference Standards'!$AE$427),2)))))))))))))))),IF('Quantification Tool R3'!$B$13&lt;=2.5,IF(OR('Quantification Tool R3'!$B$12="66d",'Quantification Tool R3'!$B$12="66e",'Quantification Tool R3'!$B$12="66g"),IF(E149&gt;0.05,0,ROUND(IF(E149&lt;=0.002,1,IF(E149&lt;=0.005,E149*'Reference Standards'!$AF$464+'Reference Standards'!$AF$465,E149^2*'Reference Standards'!$AB$463+E149*'Reference Standards'!$AB$464+'Reference Standards'!$AB$465)),2)),IF('Quantification Tool R3'!$B$12="67fhi",IF(E149&gt;0.1,0,ROUND(IF(E149&lt;=0.002,1,IF(E149&lt;=0.006,E149*'Reference Standards'!$AG$464+'Reference Standards'!$AG$465,E149^2*'Reference Standards'!$AC$463+E149*'Reference Standards'!$AC$464+'Reference Standards'!$AC$465)),2)),IF('Quantification Tool R3'!$B$12="65abei",IF(E149&gt;0.13,0,ROUND(IF(E149&lt;=0.003,1,IF(E149&lt;=0.008,E149*'Reference Standards'!$AH$464+'Reference Standards'!$AH$465,E149^2*'Reference Standards'!$AD$463+E149*'Reference Standards'!$AD$464+'Reference Standards'!$AD$465)),2)),IF('Quantification Tool R3'!$B$12="68b",IF(E149&gt;0.043,0,ROUND(IF(E149&lt;=0.004,1,IF(E149&lt;=0.005,0.7,E149^2*'Reference Standards'!$AE$463+E149*'Reference Standards'!$AE$464+'Reference Standards'!$AE$465)),2)),IF('Quantification Tool R3'!$B$12="69de",IF(E149&gt;=0.034,0,ROUND(IF(E149&lt;=0.003,1,IF(E149&lt;=0.006,E149*'Reference Standards'!$AG$500+'Reference Standards'!$AG$501,E149*'Reference Standards'!$AB$500+'Reference Standards'!$AB$501)),2)),IF(OR('Quantification Tool R3'!$B$12="68a",'Quantification Tool R3'!$B$12="68c"),IF(E149&gt;0.202,0,ROUND(IF(E149&lt;=0.003,1,IF(E149&lt;=0.006,E149*'Reference Standards'!$AG$500+'Reference Standards'!$AG$501,IF(E149&gt;=0.04,E149*'Reference Standards'!$AC$500+'Reference Standards'!$AC$501,E149*'Reference Standards'!$AE$500+'Reference Standards'!$AE$501))),2)),IF(OR('Quantification Tool R3'!$B$12="71f",'Quantification Tool R3'!$B$12="71g"),IF(E149&gt;0.631,0,ROUND(IF(E149&lt;=0.003,1,IF(E149&lt;=0.006,E149*'Reference Standards'!$AG$500+'Reference Standards'!$AG$501,IF(E149&gt;=0.17,E149*'Reference Standards'!$AD$500+'Reference Standards'!$AD$501,E149*'Reference Standards'!$AF$500+'Reference Standards'!$AF$501))),2)),IF('Quantification Tool R3'!$B$12="71e",IF(E149&gt;1.23,0,ROUND(IF(E149&lt;=0.004,1,IF(E149&lt;=0.006,E149*'Reference Standards'!$AF$538+'Reference Standards'!$AF$539,E149^2*'Reference Standards'!$AB$537+E149*'Reference Standards'!$AB$538+'Reference Standards'!$AB$539)),2)),IF('Quantification Tool R3'!$B$12="67g",IF(E149&gt;0.11,0,ROUND(IF(E149&lt;=0.006,1,IF(E149&lt;=0.011,E149*'Reference Standards'!$AG$538+'Reference Standards'!$AG$539,E149^2*'Reference Standards'!$AC$537+E149*'Reference Standards'!$AC$538+'Reference Standards'!$AC$539)),2)),IF('Quantification Tool R3'!$B$12="65j",IF(E149&gt;0.046,0,ROUND(IF(E149&lt;=0.007,1,IF(E149&lt;=0.012,E149*'Reference Standards'!$AH$538+'Reference Standards'!$AH$539,E149^2*'Reference Standards'!$AD$537+E149*'Reference Standards'!$AD$538+'Reference Standards'!$AD$539)),2)),IF('Quantification Tool R3'!$B$12="66f",IF(E149&gt;0.081,0,ROUND(IF(E149&lt;=0.008,1,IF(E149&lt;=0.011,E149*'Reference Standards'!$AI$538+'Reference Standards'!$AI$539,E149^2*'Reference Standards'!$AE$537+E149*'Reference Standards'!$AE$538+'Reference Standards'!$AE$539)),2)),IF(OR('Quantification Tool R3'!$B$12="71h",'Quantification Tool R3'!$B$12="71i"),IF(E149&gt;0.37,0,ROUND(IF(E149&lt;=0.013,1,IF(E149&lt;=0.032,E149*'Reference Standards'!$AH$576+'Reference Standards'!$AH$577,IF(E149&lt;=0.3,E149*'Reference Standards'!$AF$576+'Reference Standards'!$AF$577,E149*'Reference Standards'!$AB$576+'Reference Standards'!$AB$577))),2)),IF('Quantification Tool R3'!$B$12="73a",IF(E149&gt;0.448,0,ROUND(IF(E149&lt;=0.071,1,IF(E149&lt;=0.086,E149*'Reference Standards'!$AJ$576+'Reference Standards'!$AJ$577,IF(E149&lt;=0.165,E149*'Reference Standards'!$AG$576+'Reference Standards'!$AG$577,E149*'Reference Standards'!$AE$576+'Reference Standards'!$AE$577))),2)),IF('Quantification Tool R3'!$B$12="74b",IF(E149&gt;0.43,0,ROUND(IF(E149&lt;=0.018,1,IF(E149&lt;=0.019,0.85,IF(E149&lt;=0.02,0.7,E149^2*'Reference Standards'!$AC$575+E149*'Reference Standards'!$AC$576+'Reference Standards'!$AC$577))),2)),IF('Quantification Tool R3'!$B$12="74a",IF(E149&gt;0.217,0,ROUND(IF(E149&lt;=0.02,1,IF(E149&lt;=0.033,E149*'Reference Standards'!$AI$576+'Reference Standards'!$AI$577,E149^2*'Reference Standards'!$AD$575+E149*'Reference Standards'!$AD$576+'Reference Standards'!$AD$577)),2)))))))))))))))))))))</f>
        <v/>
      </c>
      <c r="G149" s="87" t="str">
        <f>IFERROR(AVERAGE(F149),"")</f>
        <v/>
      </c>
      <c r="H149" s="549"/>
      <c r="I149" s="536"/>
      <c r="J149" s="559"/>
      <c r="K149" s="555"/>
      <c r="L149" s="21"/>
    </row>
    <row r="150" spans="1:12" ht="15.6" x14ac:dyDescent="0.3">
      <c r="A150" s="550" t="s">
        <v>59</v>
      </c>
      <c r="B150" s="560" t="s">
        <v>340</v>
      </c>
      <c r="C150" s="125" t="s">
        <v>331</v>
      </c>
      <c r="D150" s="126"/>
      <c r="E150" s="166"/>
      <c r="F150" s="345" t="str">
        <f>IF(E150="","",IF(OR('Quantification Tool R3'!B$12="73a",'Quantification Tool R3'!B$12="73b"),IF(E150&lt;1,0,IF(E150&gt;=30,1,ROUND(IF(E150&lt;22,'Reference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531" t="str">
        <f>IFERROR(AVERAGE(F150:F153),"")</f>
        <v/>
      </c>
      <c r="H150" s="568" t="str">
        <f>IFERROR(ROUND(AVERAGE(G150:G155),2),"")</f>
        <v/>
      </c>
      <c r="I150" s="519" t="str">
        <f>IF(H150="","",IF(H150&gt;0.69,"Functioning",IF(H150&gt;0.29,"Functioning At Risk",IF(H150&gt;-1,"Not Functioning"))))</f>
        <v/>
      </c>
      <c r="J150" s="559"/>
      <c r="K150" s="555"/>
      <c r="L150" s="21"/>
    </row>
    <row r="151" spans="1:12" ht="15.6" x14ac:dyDescent="0.3">
      <c r="A151" s="556"/>
      <c r="B151" s="561"/>
      <c r="C151" s="174" t="s">
        <v>335</v>
      </c>
      <c r="D151" s="175"/>
      <c r="E151" s="165"/>
      <c r="F151" s="346" t="str">
        <f>IF(E151="","",IF(AND('Quantification Tool R3'!$B$12="74b",'Quantification Tool R3'!$B$13&lt;=2),IF(E151&lt;0,0,IF(E151&gt;15.6,0.69,ROUND('Reference Standards'!$AL$54*E151^2+'Reference Standards'!$AL$55*E151+'Reference Standards'!$AL$56,2))),IF(AND('Quantification Tool R3'!$B$12="65abei",'Quantification Tool R3'!$B$13&lt;=2),IF(E151&lt;0,0,IF(E151&gt;=20,0.69,ROUND('Reference Standards'!$AM$54*E151^2+'Reference Standards'!$AM$55*E151+'Reference Standards'!$AM$56,2))),IF(OR(AND('Quantification Tool R3'!$B$12="74a",'Quantification Tool R3'!$B$13&gt;2,'Quantification Tool R3'!$B$19="January - June"),AND('Quantification Tool R3'!$B$12="71i",'Quantification Tool R3'!$B$13&gt;2,'Quantification Tool R3'!$B$20="SQBANK")),IF(E151&lt;0,0,IF(E151&gt;24.7,0.69,ROUND('Reference Standards'!$AN$54*E151^2+'Reference Standards'!$AN$55*E151+'Reference Standards'!$AN$56,2))),IF(OR('Quantification Tool R3'!$B$12="74b",'Quantification Tool R3'!$B$12="65abei"),IF(E151&lt;0,0,IF(E151&gt;32.7,0.69,ROUND('Reference Standards'!$AO$54*E151^2+'Reference Standards'!$AO$55*E151+'Reference Standards'!$AO$56,2))),IF(AND('Quantification Tool R3'!$B$12="68b",'Quantification Tool R3'!$B$13&gt;2),IF(E151&lt;0,0,IF(E151&gt;41.2,0.69,ROUND('Reference Standards'!$AP$54*E151^2+'Reference Standards'!$AP$55*E151+'Reference Standards'!$AP$56,2))),IF(OR(AND('Quantification Tool R3'!$B$12="71i",'Quantification Tool R3'!$B$13&lt;=2),AND(OR('Quantification Tool R3'!$B$12="68c",'Quantification Tool R3'!$B$12="68d"),'Quantification Tool R3'!$B$19="January - June")),IF(E151&lt;0,0,IF(E151&gt;49.2,0.69,ROUND('Reference Standards'!$AL$94*E151^2+'Reference Standards'!$AL$95*E151+'Reference Standards'!$AL$96,2))),IF(OR(AND('Quantification Tool R3'!$B$12="68a",'Quantification Tool R3'!$B$19="January - June"),AND(OR('Quantification Tool R3'!$B$12="68c",'Quantification Tool R3'!$B$12="68d"),'Quantification Tool R3'!$B$19="July - December")),IF(E151&lt;0,0,IF(E151&gt;53.4,0.69,ROUND('Reference Standards'!$AM$94*E151^2+'Reference Standards'!$AM$95*E151+'Reference Standards'!$AM$96,2))),IF(OR(AND('Quantification Tool R3'!$B$12="71i",'Quantification Tool R3'!$B$13&gt;2,'Quantification Tool R3'!$B$20="SQKICK"),AND(OR('Quantification Tool R3'!$B$12="67fhi",'Quantification Tool R3'!$B$12="67g"),'Quantification Tool R3'!$B$13&lt;=2),'Quantification Tool R3'!$B$12="65j"),IF(E151&lt;0,0,IF(E151&gt;57.8,0.69,ROUND('Reference Standards'!$AN$94*E151^2+'Reference Standards'!$AN$95*E151+'Reference Standards'!$AN$96,2))),IF(OR(AND('Quantification Tool R3'!$B$12="74a",'Quantification Tool R3'!$B$13&gt;2,'Quantification Tool R3'!$B$19="July - December"),AND(OR('Quantification Tool R3'!$B$12="67fhi",'Quantification Tool R3'!$B$12="67g"),'Quantification Tool R3'!$B$13&gt;2),'Quantification Tool R3'!$B$12="69de"),IF(E151&lt;0,0,IF(E151&gt;62.5,0.69,ROUND('Reference Standards'!$AO$94*E151^2+'Reference Standards'!$AO$95*E151+'Reference Standards'!$AO$96,2))),  IF(OR('Quantification Tool R3'!$B$12="66d",'Quantification Tool R3'!$B$12="66e",'Quantification Tool R3'!$B$12="66ik",'Quantification Tool R3'!$B$12="71e",'Quantification Tool R3'!$B$12="71f",'Quantification Tool R3'!$B$12="71g",'Quantification Tool R3'!$B$12="71h"),IF(E151&lt;0,0,IF(E151&gt;66.5,0.69,ROUND('Reference Standards'!$AP$94*E151^2+'Reference Standards'!$AP$95*E151+'Reference Standards'!$AP$96,2))),IF(OR('Quantification Tool R3'!$B$12="66f",'Quantification Tool R3'!$B$12="66g",'Quantification Tool R3'!$B$12="66j",AND('Quantification Tool R3'!$B$12="68a",'Quantification Tool R3'!$B$19="July - December")), IF(E151&lt;0,0,IF(E151&gt;69,0.69,ROUND('Reference Standards'!$AQ$94*E151^2+'Reference Standards'!$AQ$95*E151+'Reference Standards'!$AQ$96,2))))   )))))))))))</f>
        <v/>
      </c>
      <c r="G151" s="531"/>
      <c r="H151" s="568"/>
      <c r="I151" s="519"/>
      <c r="J151" s="559"/>
      <c r="K151" s="555"/>
      <c r="L151" s="21"/>
    </row>
    <row r="152" spans="1:12" ht="15.6" x14ac:dyDescent="0.3">
      <c r="A152" s="556"/>
      <c r="B152" s="561"/>
      <c r="C152" s="174" t="s">
        <v>339</v>
      </c>
      <c r="D152" s="175"/>
      <c r="E152" s="165"/>
      <c r="F152" s="346" t="str">
        <f>IF(E152="","",IF(AND('Quantification Tool R3'!$B$12="74b",'Quantification Tool R3'!$B$13&lt;=2),IF(E152&lt;0,0,IF(E152&gt;8.1,0.69,ROUND('Reference Standards'!$AL$131*E152^2+'Reference Standards'!$AL$132*E152+'Reference Standards'!$AL$133,2))),IF(OR('Quantification Tool R3'!$B$12="73a",'Quantification Tool R3'!$B$12="73b"),IF(E152&lt;0,0,IF(E152&gt;=28,0.69,ROUND('Reference Standards'!$AM$131*E152^2+'Reference Standards'!$AM$132*E152+'Reference Standards'!$AM$133,2))),IF(AND('Quantification Tool R3'!$B$12="74a",'Quantification Tool R3'!$B$13&gt;2,'Quantification Tool R3'!$B$19="January - June"),IF(E152&lt;0,0,IF(E152&gt;=32.5,0.69,ROUND('Reference Standards'!$AN$131*E152^2+'Reference Standards'!$AN$132*E152+'Reference Standards'!$AN$133,2))),IF(AND('Quantification Tool R3'!$B$12="71i",'Quantification Tool R3'!$B$13&gt;2,'Quantification Tool R3'!$B$20="SQBANK"),IF(E152&lt;0,0,IF(E152&gt;=37,0.69,ROUND('Reference Standards'!$AO$131*E152^2+'Reference Standards'!$AO$132*E152+'Reference Standards'!$AO$133,2))),IF(OR(AND(OR('Quantification Tool R3'!$B$12="65abei",'Quantification Tool R3'!$B$12="74b"),'Quantification Tool R3'!$B$13&gt;2),AND('Quantification Tool R3'!$B$12="71i",'Quantification Tool R3'!$B$13&gt;2,'Quantification Tool R3'!$B$20="SQKICK")),IF(E152&lt;0,0,IF(E152&gt;42.6,0.69,ROUND('Reference Standards'!$AP$131*E152^2+'Reference Standards'!$AP$132*E152+'Reference Standards'!$AP$133,2))),     IF(OR(AND('Quantification Tool R3'!$B$12="65abei",'Quantification Tool R3'!$B$13&lt;=2),AND(OR('Quantification Tool R3'!$B$12="68c",'Quantification Tool R3'!$B$12="68d"),'Quantification Tool R3'!$B$19="July - December"),'Quantification Tool R3'!$B$12="71e"),IF(E152&lt;0,0,IF(E152&gt;=48,0.69,ROUND('Reference Standards'!$AL$171*E152^2+'Reference Standards'!$AL$172*E152+'Reference Standards'!$AL$173,2))),IF(OR('Quantification Tool R3'!$B$12="65j",'Quantification Tool R3'!$B$12="67fhi",'Quantification Tool R3'!$B$12="67g",AND('Quantification Tool R3'!$B$12="74a",'Quantification Tool R3'!$B$19="July - December",'Quantification Tool R3'!$B$13&gt;2),AND('Quantification Tool R3'!$B$12="71i",'Quantification Tool R3'!$B$13&lt;=2)),IF(E152&lt;0,0,IF(E152&gt;=53,0.69,ROUND('Reference Standards'!$AM$171*E152^2+'Reference Standards'!$AM$172*E152+'Reference Standards'!$AM$173,2))),IF(OR(AND(OR('Quantification Tool R3'!$B$12="68b",'Quantification Tool R3'!$B$12="71f",'Quantification Tool R3'!$B$12="71g",'Quantification Tool R3'!$B$12="71h"),'Quantification Tool R3'!$B$13&gt;2),'Quantification Tool R3'!$B$12="68a"),IF(E152&lt;0,0,IF(E152&gt;=57,0.69,ROUND('Reference Standards'!$AN$171*E152^2+'Reference Standards'!$AN$172*E152+'Reference Standards'!$AN$173,2))),IF(OR('Quantification Tool R3'!$B$12="66f",'Quantification Tool R3'!$B$12="66g",'Quantification Tool R3'!$B$12="66j",AND(OR('Quantification Tool R3'!$B$12="71f",'Quantification Tool R3'!$B$12="71g",'Quantification Tool R3'!$B$12="71h"),'Quantification Tool R3'!$B$13&lt;=2)),IF(E152&lt;0,0,IF(E152&gt;=60,0.69,ROUND('Reference Standards'!$AO$171*E152^2+'Reference Standards'!$AO$172*E152+'Reference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December")),IF(E152&lt;0,0,IF(E152&gt;=67.5,0.69,ROUND('Reference Standards'!$AP$171*E152^2+'Reference Standards'!$AP$172*E152+'Reference Standards'!$AP$173,2))),IF(AND('Quantification Tool R3'!$B$12="69de",'Quantification Tool R3'!$B$19="January - June"), IF(E152&lt;0,0,IF(E152&gt;=72,0.69,ROUND('Reference Standards'!$AQ$171*E152^2+'Reference Standards'!$AQ$172*E152+'Reference Standards'!$AQ$173,2))))   )))))))))))</f>
        <v/>
      </c>
      <c r="G152" s="531"/>
      <c r="H152" s="568"/>
      <c r="I152" s="519"/>
      <c r="J152" s="559"/>
      <c r="K152" s="555"/>
      <c r="L152" s="21"/>
    </row>
    <row r="153" spans="1:12" ht="15.6" x14ac:dyDescent="0.3">
      <c r="A153" s="556"/>
      <c r="B153" s="562"/>
      <c r="C153" s="127" t="s">
        <v>336</v>
      </c>
      <c r="D153" s="71"/>
      <c r="E153" s="167"/>
      <c r="F153" s="346" t="str">
        <f>IF(E153="","",IF(OR('Quantification Tool R3'!$B$12="67fhi",'Quantification Tool R3'!$B$12="67g",'Quantification Tool R3'!$B$12="71e",'Quantification Tool R3'!$B$12="73a",'Quantification Tool R3'!$B$12="73b",AND(OR('Quantification Tool R3'!$B$12="71f",'Quantification Tool R3'!$B$12="71g",'Quantification Tool R3'!$B$12="71h"),'Quantification Tool R3'!$B$13&gt;2)),IF(E153&gt;100,0,IF(E153&lt;15,0.69,ROUND('Reference Standards'!$AL$208*E153^2+'Reference Standards'!$AL$209*E153+'Reference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),IF(E153&gt;100,0,IF(E153&lt;19,0.69,ROUND('Reference Standards'!$AM$208*E153^2+'Reference Standards'!$AM$209*E153+'Reference Standards'!$AM$210,2))),    IF(OR(AND('Quantification Tool R3'!$B$12="69de",'Quantification Tool R3'!$B$19="January - June"),AND('Quantification Tool R3'!$B$12="71i",'Quantification Tool R3'!$B$13&gt;2,'Quantification Tool R3'!$B$20="SQKICK" )),IF(E153&gt;100,0,IF(E153&lt;22,0.69,ROUND('Reference Standards'!$AN$208*E153^2+'Reference Standards'!$AN$209*E153+'Reference Standards'!$AN$210,2))),    IF(OR('Quantification Tool R3'!$B$12="65j",AND('Quantification Tool R3'!$B$12="68b",'Quantification Tool R3'!$B$13&gt;2)),IF(E153&gt;100,0,IF(E153&lt;24,0.69,ROUND('Reference Standards'!$AO$208*E153^2+'Reference Standards'!$AO$209*E153+'Reference Standards'!$AO$210,2))),    IF(AND(OR('Quantification Tool R3'!$B$12="65abei",'Quantification Tool R3'!$B$12="71f",'Quantification Tool R3'!$B$12="71g",'Quantification Tool R3'!$B$12="71h"),'Quantification Tool R3'!$B$13&lt;=2),IF(E153&gt;95,0,IF(E153&lt;33,0.69,ROUND('Reference Standards'!$AL$246*E153^2+'Reference Standards'!$AL$247*E153+'Reference Standards'!$AL$248,2))),   IF(AND(OR('Quantification Tool R3'!$B$12="65abei",'Quantification Tool R3'!$B$12="74b"),'Quantification Tool R3'!$B$13&gt;2),IF(E153&gt;97,0,IF(E153&lt;36,0.69,ROUND('Reference Standards'!$AM$246*E153^2+'Reference Standards'!$AM$247*E153+'Reference Standards'!$AM$248,2))),  IF(AND('Quantification Tool R3'!$B$12="74a",'Quantification Tool R3'!$B$19="January - June",'Quantification Tool R3'!$B$13&gt;2),IF(E153&gt;93,0,IF(E153&lt;52,0.69,ROUND('Reference Standards'!$AN$246*E153^2+'Reference Standards'!$AN$247*E153+'Reference Standards'!$AN$248,2))),   IF(AND('Quantification Tool R3'!$B$12="74b",'Quantification Tool R3'!$B$13&lt;=2),IF(E153&gt;97,0,IF(E153&lt;62,0.69,ROUND('Reference Standards'!$AO$246*E153^2+'Reference Standards'!$AO$247*E153+'Reference Standards'!$AO$248,2)))  )))))))))</f>
        <v/>
      </c>
      <c r="G153" s="531"/>
      <c r="H153" s="568"/>
      <c r="I153" s="519"/>
      <c r="J153" s="559"/>
      <c r="K153" s="555"/>
      <c r="L153" s="21"/>
    </row>
    <row r="154" spans="1:12" ht="15.6" x14ac:dyDescent="0.3">
      <c r="A154" s="556"/>
      <c r="B154" s="563" t="s">
        <v>74</v>
      </c>
      <c r="C154" s="125" t="s">
        <v>211</v>
      </c>
      <c r="D154" s="126"/>
      <c r="E154" s="166"/>
      <c r="F154" s="345" t="str">
        <f>IF(E154="","",IF(E154=1,0.15,IF(E154=3,0.5,IF(E154=5,0.85,0))))</f>
        <v/>
      </c>
      <c r="G154" s="564" t="str">
        <f>IFERROR(AVERAGE(F154:F155),"")</f>
        <v/>
      </c>
      <c r="H154" s="568"/>
      <c r="I154" s="519"/>
      <c r="J154" s="559"/>
      <c r="K154" s="555"/>
      <c r="L154" s="21"/>
    </row>
    <row r="155" spans="1:12" ht="15.6" x14ac:dyDescent="0.3">
      <c r="A155" s="551"/>
      <c r="B155" s="563"/>
      <c r="C155" s="127" t="s">
        <v>332</v>
      </c>
      <c r="D155" s="71"/>
      <c r="E155" s="167"/>
      <c r="F155" s="347" t="str">
        <f>IF(E155="","",IF(E155=1,0.15,IF(E155=3,0.5,IF(E155=5,0.85,0))))</f>
        <v/>
      </c>
      <c r="G155" s="565"/>
      <c r="H155" s="568"/>
      <c r="I155" s="519"/>
      <c r="J155" s="559"/>
      <c r="K155" s="555"/>
      <c r="L155" s="21"/>
    </row>
    <row r="156" spans="1:12" x14ac:dyDescent="0.3">
      <c r="L156" s="21"/>
    </row>
    <row r="157" spans="1:12" ht="21" x14ac:dyDescent="0.4">
      <c r="A157" s="148" t="s">
        <v>135</v>
      </c>
      <c r="B157" s="246"/>
      <c r="C157" s="249" t="s">
        <v>324</v>
      </c>
      <c r="D157" s="246"/>
      <c r="E157" s="247"/>
      <c r="F157" s="248"/>
      <c r="G157" s="544" t="s">
        <v>18</v>
      </c>
      <c r="H157" s="545"/>
      <c r="I157" s="545"/>
      <c r="J157" s="545"/>
      <c r="K157" s="546"/>
      <c r="L157" s="21"/>
    </row>
    <row r="158" spans="1:12" ht="15.6" x14ac:dyDescent="0.3">
      <c r="A158" s="158" t="s">
        <v>1</v>
      </c>
      <c r="B158" s="158" t="s">
        <v>2</v>
      </c>
      <c r="C158" s="542" t="s">
        <v>3</v>
      </c>
      <c r="D158" s="644"/>
      <c r="E158" s="158" t="s">
        <v>15</v>
      </c>
      <c r="F158" s="158" t="s">
        <v>16</v>
      </c>
      <c r="G158" s="158" t="s">
        <v>19</v>
      </c>
      <c r="H158" s="158" t="s">
        <v>20</v>
      </c>
      <c r="I158" s="314" t="s">
        <v>20</v>
      </c>
      <c r="J158" s="158" t="s">
        <v>21</v>
      </c>
      <c r="K158" s="315" t="s">
        <v>21</v>
      </c>
    </row>
    <row r="159" spans="1:12" ht="15.6" x14ac:dyDescent="0.3">
      <c r="A159" s="540" t="s">
        <v>60</v>
      </c>
      <c r="B159" s="299" t="s">
        <v>86</v>
      </c>
      <c r="C159" s="52" t="s">
        <v>388</v>
      </c>
      <c r="D159" s="52"/>
      <c r="E159" s="162"/>
      <c r="F159" s="338" t="str">
        <f>IF(E159="","",IF(E159&lt;=0,0,IF(E159&gt;=0.95,1,ROUND('Reference Standards'!C$14*E159+'Reference Standards'!C$15,2))))</f>
        <v/>
      </c>
      <c r="G159" s="83" t="str">
        <f>IFERROR(AVERAGE(F159),"")</f>
        <v/>
      </c>
      <c r="H159" s="522" t="str">
        <f>IFERROR(ROUND(AVERAGE(G159:G160),2),"")</f>
        <v/>
      </c>
      <c r="I159" s="519" t="str">
        <f>IF(H159="","",IF(H159&gt;0.69,"Functioning",IF(H159&gt;0.29,"Functioning At Risk",IF(H159&gt;-1,"Not Functioning"))))</f>
        <v/>
      </c>
      <c r="J159" s="559" t="str">
        <f>IF(AND(H159="",H161="",H163="",H185="",H189=""),"",ROUND((IF(H159="",0,H159)*0.2)+(IF(H161="",0,H161)*0.2)+(IF(H163="",0,H163)*0.2)+(IF(H185="",0,H185)*0.2)+(IF(H189="",0,H189)*0.2),2))</f>
        <v/>
      </c>
      <c r="K159" s="555" t="str">
        <f>IF(J159="","",IF(J159&lt;0.3, "Not Functioning",IF(OR(H159&lt;0.7,H161&lt;0.7,H163&lt;0.7,H185&lt;0.7,H189&lt;0.7),"Functioning At Risk",IF(J159&lt;0.7,"Functioning At Risk","Functioning"))))</f>
        <v/>
      </c>
    </row>
    <row r="160" spans="1:12" ht="15.6" x14ac:dyDescent="0.3">
      <c r="A160" s="541"/>
      <c r="B160" s="371" t="s">
        <v>128</v>
      </c>
      <c r="C160" s="373" t="s">
        <v>161</v>
      </c>
      <c r="D160" s="374"/>
      <c r="E160" s="43"/>
      <c r="F160" s="372" t="str">
        <f>IF(E160="","",IF(E160&gt;=1,1,IF(E160&lt;=0,0,ROUND(E160,2))))</f>
        <v/>
      </c>
      <c r="G160" s="367" t="str">
        <f>IFERROR(AVERAGE(F160:F160),"")</f>
        <v/>
      </c>
      <c r="H160" s="523"/>
      <c r="I160" s="519"/>
      <c r="J160" s="559"/>
      <c r="K160" s="555"/>
    </row>
    <row r="161" spans="1:11" ht="15.6" x14ac:dyDescent="0.3">
      <c r="A161" s="524" t="s">
        <v>6</v>
      </c>
      <c r="B161" s="572" t="s">
        <v>7</v>
      </c>
      <c r="C161" s="54" t="s">
        <v>8</v>
      </c>
      <c r="D161" s="54"/>
      <c r="E161" s="162"/>
      <c r="F161" s="339" t="str">
        <f>IF(E161="","",ROUND(IF(E161&gt;1.6,0,IF(E161&lt;=1,1,E161^2*'Reference Standards'!K$14+E161*'Reference Standards'!K$15+'Reference Standards'!K$16)),2))</f>
        <v/>
      </c>
      <c r="G161" s="579" t="str">
        <f>IFERROR(AVERAGE(F161:F162),"")</f>
        <v/>
      </c>
      <c r="H161" s="579" t="str">
        <f>IFERROR(ROUND(AVERAGE(G161),2),"")</f>
        <v/>
      </c>
      <c r="I161" s="569" t="str">
        <f>IF(H161="","",IF(H161&gt;0.69,"Functioning",IF(H161&gt;0.29,"Functioning At Risk",IF(H161&gt;-1,"Not Functioning"))))</f>
        <v/>
      </c>
      <c r="J161" s="559"/>
      <c r="K161" s="555"/>
    </row>
    <row r="162" spans="1:11" ht="15.6" x14ac:dyDescent="0.3">
      <c r="A162" s="525"/>
      <c r="B162" s="572"/>
      <c r="C162" s="54" t="s">
        <v>9</v>
      </c>
      <c r="D162" s="54"/>
      <c r="E162" s="163"/>
      <c r="F162" s="339" t="str">
        <f>IF(E162="","",(IF(OR('Quantification Tool R3'!B$11="A",'Quantification Tool R3'!B$11="B",'Quantification Tool R3'!$B$11="Bc"),IF(E162&lt;1.2,0,IF(E162&gt;=2.2,1,ROUND(IF(E162&lt;1.4,E162*'Reference Standards'!$K$84+'Reference Standards'!$K$85,E162*'Reference Standards'!$L$84+'Reference Standards'!$L$85),2))),IF(OR('Quantification Tool R3'!B$11="C",'Quantification Tool R3'!B$11="E"),IF(E162&lt;2,0,IF(E162&gt;=5,1,ROUND(IF(E162&lt;2.4,E162*'Reference Standards'!$L$49+'Reference Standards'!$L$50,E162*'Reference Standards'!$K$49+'Reference Standards'!$K$50),2)))))))</f>
        <v/>
      </c>
      <c r="G162" s="581"/>
      <c r="H162" s="580"/>
      <c r="I162" s="570"/>
      <c r="J162" s="559"/>
      <c r="K162" s="555"/>
    </row>
    <row r="163" spans="1:11" ht="15.6" x14ac:dyDescent="0.3">
      <c r="A163" s="526" t="s">
        <v>26</v>
      </c>
      <c r="B163" s="557" t="s">
        <v>27</v>
      </c>
      <c r="C163" s="60" t="s">
        <v>333</v>
      </c>
      <c r="D163" s="244"/>
      <c r="E163" s="61"/>
      <c r="F163" s="340" t="str">
        <f>IF(E163="","",IF(OR(LEFT('Quantification Tool R3'!$B$12,2)="65",LEFT('Quantification Tool R3'!$B$12,2)="66",LEFT('Quantification Tool R3'!$B$12,2)="71"),IF(E163&gt;=850,1,IF(E163&lt;250,ROUND('Reference Standards'!$S$17*(E163)+'Reference Standards'!$S$18,2),ROUND('Reference Standards'!$T$17*E163+'Reference Standards'!$T$18,2))),  IF(E163&gt;=345,1,IF(E163&lt;=180,ROUND('Reference Standards'!$U$17*(E163)+'Reference Standards'!$U$18,2),ROUND('Reference Standards'!$V$17*E163+'Reference Standards'!$V$18,2))))    )</f>
        <v/>
      </c>
      <c r="G163" s="528" t="str">
        <f>IFERROR(AVERAGE(F163:F164),"")</f>
        <v/>
      </c>
      <c r="H163" s="566" t="str">
        <f>IFERROR(ROUND(AVERAGE(G163:G184),2),"")</f>
        <v/>
      </c>
      <c r="I163" s="555" t="str">
        <f>IF(H163="","",IF(H163&gt;0.69,"Functioning",IF(H163&gt;0.29,"Functioning At Risk",IF(H163&gt;-1,"Not Functioning"))))</f>
        <v/>
      </c>
      <c r="J163" s="559"/>
      <c r="K163" s="555"/>
    </row>
    <row r="164" spans="1:11" ht="15.6" x14ac:dyDescent="0.3">
      <c r="A164" s="520"/>
      <c r="B164" s="558"/>
      <c r="C164" s="63" t="s">
        <v>323</v>
      </c>
      <c r="D164" s="245"/>
      <c r="E164" s="53"/>
      <c r="F164" s="341" t="str">
        <f>IF(E164="","",IF(OR(LEFT('Quantification Tool R3'!$B$12,2)="65",LEFT('Quantification Tool R3'!$B$12,2)="66",LEFT('Quantification Tool R3'!$B$12,2)="71"),IF(E164&gt;=30,1,IF(E164&lt;13,ROUND('Reference Standards'!$S$53*(E164)+'Reference Standards'!$S$54,2),ROUND('Reference Standards'!$T$53*E164+'Reference Standards'!$T$54,2))),  IF(E164&gt;=16,1,IF(E164&lt;=9,ROUND('Reference Standards'!$U$53*(E164)+'Reference Standards'!$U$54,2),ROUND('Reference Standards'!$V$53*E164+'Reference Standards'!$V$54,2))))    )</f>
        <v/>
      </c>
      <c r="G164" s="530"/>
      <c r="H164" s="566"/>
      <c r="I164" s="555"/>
      <c r="J164" s="559"/>
      <c r="K164" s="555"/>
    </row>
    <row r="165" spans="1:11" ht="15.6" x14ac:dyDescent="0.3">
      <c r="A165" s="520"/>
      <c r="B165" s="520" t="s">
        <v>395</v>
      </c>
      <c r="C165" s="58" t="s">
        <v>80</v>
      </c>
      <c r="D165" s="58"/>
      <c r="E165" s="165"/>
      <c r="F165" s="340" t="str">
        <f>IF(E165="","",ROUND(IF(E165&gt;0.7,0,IF(E165&lt;=0.1,1,E165^3*'Reference Standards'!S$87+E165^2*'Reference Standards'!S$88+E165*'Reference Standards'!S$89+'Reference Standards'!S$90)),2))</f>
        <v/>
      </c>
      <c r="G165" s="528" t="str">
        <f>IFERROR(ROUND(AVERAGE(F165:F168),2),"")</f>
        <v/>
      </c>
      <c r="H165" s="567"/>
      <c r="I165" s="555"/>
      <c r="J165" s="559"/>
      <c r="K165" s="555"/>
    </row>
    <row r="166" spans="1:11" ht="15.6" x14ac:dyDescent="0.3">
      <c r="A166" s="520"/>
      <c r="B166" s="520"/>
      <c r="C166" s="58" t="s">
        <v>49</v>
      </c>
      <c r="D166" s="58"/>
      <c r="E166" s="165"/>
      <c r="F166" s="84"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529"/>
      <c r="H166" s="567"/>
      <c r="I166" s="555"/>
      <c r="J166" s="559"/>
      <c r="K166" s="555"/>
    </row>
    <row r="167" spans="1:11" ht="15.6" x14ac:dyDescent="0.3">
      <c r="A167" s="520"/>
      <c r="B167" s="520"/>
      <c r="C167" s="58" t="s">
        <v>87</v>
      </c>
      <c r="D167" s="58"/>
      <c r="E167" s="165"/>
      <c r="F167" s="84" t="str">
        <f>IF(E167="","",ROUND(IF(E167&gt;40,0,IF(E167&lt;5,1,E167^3*'Reference Standards'!S$122+E167^2*'Reference Standards'!S$123+E167*'Reference Standards'!S$124+'Reference Standards'!S$125)),2))</f>
        <v/>
      </c>
      <c r="G167" s="529"/>
      <c r="H167" s="567"/>
      <c r="I167" s="555"/>
      <c r="J167" s="559"/>
      <c r="K167" s="555"/>
    </row>
    <row r="168" spans="1:11" ht="15.6" x14ac:dyDescent="0.3">
      <c r="A168" s="520"/>
      <c r="B168" s="521"/>
      <c r="C168" s="59" t="s">
        <v>394</v>
      </c>
      <c r="D168" s="59"/>
      <c r="E168" s="167"/>
      <c r="F168" s="341" t="str">
        <f>IF(E168="","",ROUND(IF(E168&gt;=30,0,IF(E168&lt;=0,1,E168*'Reference Standards'!S$156+'Reference Standards'!S$157)),2))</f>
        <v/>
      </c>
      <c r="G168" s="530"/>
      <c r="H168" s="567"/>
      <c r="I168" s="555"/>
      <c r="J168" s="559"/>
      <c r="K168" s="555"/>
    </row>
    <row r="169" spans="1:11" ht="15.6" x14ac:dyDescent="0.3">
      <c r="A169" s="520"/>
      <c r="B169" s="520" t="s">
        <v>50</v>
      </c>
      <c r="C169" s="60" t="s">
        <v>377</v>
      </c>
      <c r="D169" s="64"/>
      <c r="E169" s="136"/>
      <c r="F169" s="294" t="str">
        <f>IF(E169="","",ROUND(IF(E169&gt;9.2,1,E169*'Reference Standards'!$S$189+'Reference Standards'!$S$190),2))</f>
        <v/>
      </c>
      <c r="G169" s="552" t="str">
        <f>IFERROR(ROUND(AVERAGE(F169:F178),2),"")</f>
        <v/>
      </c>
      <c r="H169" s="567"/>
      <c r="I169" s="555"/>
      <c r="J169" s="559"/>
      <c r="K169" s="555"/>
    </row>
    <row r="170" spans="1:11" ht="15.6" x14ac:dyDescent="0.3">
      <c r="A170" s="520"/>
      <c r="B170" s="520"/>
      <c r="C170" s="62" t="s">
        <v>378</v>
      </c>
      <c r="D170" s="58"/>
      <c r="E170" s="162"/>
      <c r="F170" s="294" t="str">
        <f>IF(E170="","",ROUND(IF(E170&gt;9.2,1,E170*'Reference Standards'!$S$189+'Reference Standards'!$S$190),2))</f>
        <v/>
      </c>
      <c r="G170" s="553"/>
      <c r="H170" s="567"/>
      <c r="I170" s="555"/>
      <c r="J170" s="559"/>
      <c r="K170" s="555"/>
    </row>
    <row r="171" spans="1:11" ht="15.6" x14ac:dyDescent="0.3">
      <c r="A171" s="520"/>
      <c r="B171" s="520"/>
      <c r="C171" s="62" t="s">
        <v>379</v>
      </c>
      <c r="D171" s="58"/>
      <c r="E171" s="162"/>
      <c r="F171" s="294" t="str">
        <f>IF(E171="","",ROUND( IF(E171&gt;=200,1,IF(E171&lt;50, E171^2*'Reference Standards'!S$224+E171*'Reference Standards'!S$225+'Reference Standards'!S$226, E171*'Reference Standards'!T$224+'Reference Standards'!T$225)),2))</f>
        <v/>
      </c>
      <c r="G171" s="553"/>
      <c r="H171" s="567"/>
      <c r="I171" s="555"/>
      <c r="J171" s="559"/>
      <c r="K171" s="555"/>
    </row>
    <row r="172" spans="1:11" ht="15.6" x14ac:dyDescent="0.3">
      <c r="A172" s="520"/>
      <c r="B172" s="520"/>
      <c r="C172" s="62" t="s">
        <v>380</v>
      </c>
      <c r="D172" s="58"/>
      <c r="E172" s="162"/>
      <c r="F172" s="294" t="str">
        <f>IF(E172="","",ROUND( IF(E172&gt;=200,1,IF(E172&lt;50, E172^2*'Reference Standards'!S$224+E172*'Reference Standards'!S$225+'Reference Standards'!S$226, E172*'Reference Standards'!T$224+'Reference Standards'!T$225)),2))</f>
        <v/>
      </c>
      <c r="G172" s="553"/>
      <c r="H172" s="567"/>
      <c r="I172" s="555"/>
      <c r="J172" s="559"/>
      <c r="K172" s="555"/>
    </row>
    <row r="173" spans="1:11" ht="15.6" x14ac:dyDescent="0.3">
      <c r="A173" s="520"/>
      <c r="B173" s="520"/>
      <c r="C173" s="58" t="s">
        <v>381</v>
      </c>
      <c r="D173" s="58"/>
      <c r="E173" s="162"/>
      <c r="F173" s="294" t="str">
        <f>IF(E173="","",ROUND(IF(AND(E173&gt;=135,E173&lt;=262),1,IF(  E173&gt;=366,0.5, IF(E173&lt;135,E173*'Reference Standards'!S$259+'Reference Standards'!S$260, E173*'Reference Standards'!T$259+'Reference Standards'!T$260))),2))</f>
        <v/>
      </c>
      <c r="G173" s="553"/>
      <c r="H173" s="567"/>
      <c r="I173" s="555"/>
      <c r="J173" s="559"/>
      <c r="K173" s="555"/>
    </row>
    <row r="174" spans="1:11" ht="15.6" x14ac:dyDescent="0.3">
      <c r="A174" s="520"/>
      <c r="B174" s="520"/>
      <c r="C174" s="58" t="s">
        <v>382</v>
      </c>
      <c r="D174" s="58"/>
      <c r="E174" s="162"/>
      <c r="F174" s="294" t="str">
        <f>IF(E174="","",ROUND(IF(AND(E174&gt;=135,E174&lt;=262),1,IF(  E174&gt;=366,0.5, IF(E174&lt;135,E174*'Reference Standards'!S$259+'Reference Standards'!S$260, E174*'Reference Standards'!T$259+'Reference Standards'!T$260))),2))</f>
        <v/>
      </c>
      <c r="G174" s="553"/>
      <c r="H174" s="567"/>
      <c r="I174" s="555"/>
      <c r="J174" s="559"/>
      <c r="K174" s="555"/>
    </row>
    <row r="175" spans="1:11" ht="15.6" x14ac:dyDescent="0.3">
      <c r="A175" s="520"/>
      <c r="B175" s="520"/>
      <c r="C175" s="58" t="s">
        <v>383</v>
      </c>
      <c r="D175" s="58"/>
      <c r="E175" s="162"/>
      <c r="F175" s="84" t="str">
        <f>IF(E175="","",ROUND(IF(E175&gt;=75,1,IF(E175&lt;=0,0,E175*'Reference Standards'!S$330)),2))</f>
        <v/>
      </c>
      <c r="G175" s="553"/>
      <c r="H175" s="567"/>
      <c r="I175" s="555"/>
      <c r="J175" s="559"/>
      <c r="K175" s="555"/>
    </row>
    <row r="176" spans="1:11" ht="15.6" x14ac:dyDescent="0.3">
      <c r="A176" s="520"/>
      <c r="B176" s="520"/>
      <c r="C176" s="58" t="s">
        <v>384</v>
      </c>
      <c r="D176" s="58"/>
      <c r="E176" s="162"/>
      <c r="F176" s="84" t="str">
        <f>IF(E176="","",ROUND(IF(E176&gt;=75,1,IF(E176&lt;=0,0,E176*'Reference Standards'!S$330)),2))</f>
        <v/>
      </c>
      <c r="G176" s="553"/>
      <c r="H176" s="567"/>
      <c r="I176" s="555"/>
      <c r="J176" s="559"/>
      <c r="K176" s="555"/>
    </row>
    <row r="177" spans="1:13" ht="15.6" x14ac:dyDescent="0.3">
      <c r="A177" s="520"/>
      <c r="B177" s="520"/>
      <c r="C177" s="58" t="s">
        <v>385</v>
      </c>
      <c r="D177" s="58"/>
      <c r="E177" s="162"/>
      <c r="F177" s="294" t="str">
        <f>IF(E177="","",ROUND(IF(AND(E177&gt;=36.3,E177&lt;=68),1,IF(E177&gt;100,0,IF(E177&lt;36.3,(('Reference Standards'!S$297*(E177^2))+('Reference Standards'!S$298*E177)+'Reference Standards'!S$299),IF(E177&gt;68,(('Reference Standards'!T$297*(E177^2))+('Reference Standards'!T$298*E177)+'Reference Standards'!T$299))))),2))</f>
        <v/>
      </c>
      <c r="G177" s="553"/>
      <c r="H177" s="567"/>
      <c r="I177" s="555"/>
      <c r="J177" s="559"/>
      <c r="K177" s="555"/>
      <c r="M177" s="21"/>
    </row>
    <row r="178" spans="1:13" ht="15.6" x14ac:dyDescent="0.3">
      <c r="A178" s="520"/>
      <c r="B178" s="521"/>
      <c r="C178" s="58" t="s">
        <v>386</v>
      </c>
      <c r="D178" s="65"/>
      <c r="E178" s="162"/>
      <c r="F178" s="294" t="str">
        <f>IF(E178="","",ROUND(IF(AND(E178&gt;=36.3,E178&lt;=68),1,IF(E178&gt;100,0,IF(E178&lt;36.3,(('Reference Standards'!S$297*(E178^2))+('Reference Standards'!S$298*E178)+'Reference Standards'!S$299),IF(E178&gt;68,(('Reference Standards'!T$297*(E178^2))+('Reference Standards'!T$298*E178)+'Reference Standards'!T$299))))),2))</f>
        <v/>
      </c>
      <c r="G178" s="554"/>
      <c r="H178" s="567"/>
      <c r="I178" s="555"/>
      <c r="J178" s="559"/>
      <c r="K178" s="555"/>
    </row>
    <row r="179" spans="1:13" ht="15.6" x14ac:dyDescent="0.3">
      <c r="A179" s="520"/>
      <c r="B179" s="56" t="s">
        <v>108</v>
      </c>
      <c r="C179" s="72" t="s">
        <v>130</v>
      </c>
      <c r="D179" s="58"/>
      <c r="E179" s="43"/>
      <c r="F179" s="82" t="str">
        <f>IF(E179="","",IF(OR('Quantification Tool R3'!B$14="Gravel",'Quantification Tool R3'!B$14="Cobble"),IF(E179&gt;0.1,1,IF(E179&lt;=0.01,0,ROUND(E179*'Reference Standards'!$S$362+'Reference Standards'!$S$363,2)))))</f>
        <v/>
      </c>
      <c r="G179" s="82" t="str">
        <f>IFERROR(AVERAGE(F179),"")</f>
        <v/>
      </c>
      <c r="H179" s="567"/>
      <c r="I179" s="555"/>
      <c r="J179" s="559"/>
      <c r="K179" s="555"/>
    </row>
    <row r="180" spans="1:13" ht="15.6" x14ac:dyDescent="0.3">
      <c r="A180" s="520"/>
      <c r="B180" s="526" t="s">
        <v>51</v>
      </c>
      <c r="C180" s="64" t="s">
        <v>52</v>
      </c>
      <c r="D180" s="64"/>
      <c r="E180" s="166"/>
      <c r="F180" s="337" t="str">
        <f>IF(E180="","",IF(ISNUMBER('Quantification Tool R3'!$B$17),IF('Quantification Tool R3'!$B$17&lt;=2,IF(AND(E180&gt;=3,E180&lt;=5),1,IF(OR(E180&lt;=1,E180&gt;=7),0,ROUND(IF(E180&lt;3,E180*'Reference Standards'!S$398+'Reference Standards'!S$399,E180*'Reference Standards'!T$398+'Reference Standards'!T$399),2))),IF(E180&lt;=2.5,1,IF(E180&gt;=5.8,0,ROUND(E180*'Reference Standards'!S$430+'Reference Standards'!S$431,2))))))</f>
        <v/>
      </c>
      <c r="G180" s="528" t="str">
        <f>IFERROR(AVERAGE(F180:F183),"")</f>
        <v/>
      </c>
      <c r="H180" s="567"/>
      <c r="I180" s="555"/>
      <c r="J180" s="559"/>
      <c r="K180" s="555"/>
    </row>
    <row r="181" spans="1:13" ht="15.6" x14ac:dyDescent="0.3">
      <c r="A181" s="520"/>
      <c r="B181" s="520"/>
      <c r="C181" s="58" t="s">
        <v>53</v>
      </c>
      <c r="D181" s="58"/>
      <c r="E181" s="165"/>
      <c r="F181" s="84" t="str">
        <f>IF(E181="","", IF( E181&gt;=2.4,1, IF(E181&lt;=1,0,  ROUND(IF(E181&lt;2.4, E181*'Reference Standards'!$S$464+'Reference Standards'!$S$465  ),2))))</f>
        <v/>
      </c>
      <c r="G181" s="529"/>
      <c r="H181" s="567"/>
      <c r="I181" s="555"/>
      <c r="J181" s="559"/>
      <c r="K181" s="555"/>
    </row>
    <row r="182" spans="1:13" ht="15.6" x14ac:dyDescent="0.3">
      <c r="A182" s="520"/>
      <c r="B182" s="520"/>
      <c r="C182" s="58" t="s">
        <v>334</v>
      </c>
      <c r="D182" s="58"/>
      <c r="E182" s="165"/>
      <c r="F182" s="390" t="str">
        <f>IF(E182="","", IF(LEFT('Quantification Tool R3'!$B$12,2)="67",  IF( AND(E182&gt;=45,E182&lt;=65),1, IF(OR(E182&lt;=20,E182&gt;=90),0, ROUND(  IF(E182&lt;45, E182*'Reference Standards'!$S$498+'Reference Standards'!$S$499,E182*'Reference Standards'!$T$498+'Reference Standards'!$T$499),2))), IF(OR(  LEFT('Quantification Tool R3'!$B$12,2)="68", LEFT('Quantification Tool R3'!$B$12,2)="69",LEFT('Quantification Tool R3'!$B$12,2)="71"),  IF( AND(E182&gt;=30,E182&lt;=50),1, IF(OR(E182&lt;=10,E182&gt;=70),0, ROUND(  IF(E182&lt;30, E182*'Reference Standards'!$S$533+'Reference Standards'!$S$534,E182*'Reference Standards'!$T$533+'Reference Standards'!$T$534),2))), IF(LEFT('Quantification Tool R3'!$B$12,2)="66",  IF( AND(E182&gt;=20,E182&lt;=45),1, IF(OR(E182&lt;=0,E182&gt;=90),0, ROUND(  IF(E182&lt;20, E182*'Reference Standards'!$S$567+'Reference Standards'!$S$568,E182*'Reference Standards'!$T$567+'Reference Standards'!$T$568),2))), IF(OR(  LEFT('Quantification Tool R3'!$B$12,2)="65", LEFT('Quantification Tool R3'!$B$12,2)="74", LEFT('Quantification Tool R3'!$B$12,2)="73"),  IF( AND(E182&gt;=20,E182&lt;=30),1, IF(OR(E182&lt;=0,E182&gt;=50),0, ROUND(  IF(E182&lt;20, E182*'Reference Standards'!$S$601+'Reference Standards'!$S$602,E182*'Reference Standards'!$T$601+'Reference Standards'!$T$602),2))))))))</f>
        <v/>
      </c>
      <c r="G182" s="529"/>
      <c r="H182" s="567"/>
      <c r="I182" s="555"/>
      <c r="J182" s="559"/>
      <c r="K182" s="555"/>
    </row>
    <row r="183" spans="1:13" ht="15.6" x14ac:dyDescent="0.3">
      <c r="A183" s="520"/>
      <c r="B183" s="521"/>
      <c r="C183" s="62" t="s">
        <v>210</v>
      </c>
      <c r="D183" s="58"/>
      <c r="E183" s="167"/>
      <c r="F183" s="391" t="str">
        <f>IF(E183="","",IF(E183&gt;=1.6,0,IF(E183&lt;=1,1,ROUND('Reference Standards'!$S$633*E183^3+'Reference Standards'!$S$634*E183^2+'Reference Standards'!$S$635*E183+'Reference Standards'!$S$636,2))))</f>
        <v/>
      </c>
      <c r="G183" s="530"/>
      <c r="H183" s="567"/>
      <c r="I183" s="555"/>
      <c r="J183" s="559"/>
      <c r="K183" s="555"/>
      <c r="L183" s="13"/>
    </row>
    <row r="184" spans="1:13" ht="15.6" x14ac:dyDescent="0.3">
      <c r="A184" s="521"/>
      <c r="B184" s="296" t="s">
        <v>55</v>
      </c>
      <c r="C184" s="242" t="s">
        <v>54</v>
      </c>
      <c r="D184" s="243"/>
      <c r="E184" s="163"/>
      <c r="F184" s="342" t="str">
        <f>IF(E184="","",IF(AND('Quantification Tool R3'!B$11="E",'Quantification Tool R3'!$B$14="Sand",'Quantification Tool R3'!$B$21="Unconfined Alluvial"),ROUND(IF(OR(E184&gt;1.8,E184&lt;1.3),0,IF(E184&lt;=1.6,1,E184*'Reference Standards'!S$667+'Reference Standards'!S$668)),2),    IF('Quantification Tool R3'!$B$21="Unconfined Alluvial",ROUND(IF(OR(E184&lt;1.2, E184&gt;1.5),0,IF(E184&lt;=1.4,1,E184*'Reference Standards'!$S$700+'Reference Standards'!$S$701)),2), IF('Quantification Tool R3'!$B$21="Confined Alluvial",ROUND(IF(E184&lt;1.15,0,IF(E184&lt;=1.4,E184*'Reference Standards'!$S$729+'Reference Standards'!$S$730,1)),2),  IF('Quantification Tool R3'!$B$21="Colluvial",ROUND(IF(E184&gt;1.3,0,IF(E184&gt;1.2,E184*'Reference Standards'!$S$760+'Reference Standards'!$S$761,1)),2) )))))</f>
        <v/>
      </c>
      <c r="G184" s="84" t="str">
        <f>IFERROR(AVERAGE(F184),"")</f>
        <v/>
      </c>
      <c r="H184" s="567"/>
      <c r="I184" s="555"/>
      <c r="J184" s="559"/>
      <c r="K184" s="555"/>
      <c r="L184" s="13"/>
    </row>
    <row r="185" spans="1:13" ht="15.6" x14ac:dyDescent="0.3">
      <c r="A185" s="537" t="s">
        <v>58</v>
      </c>
      <c r="B185" s="67" t="s">
        <v>88</v>
      </c>
      <c r="C185" s="70" t="s">
        <v>338</v>
      </c>
      <c r="D185" s="70"/>
      <c r="E185" s="43"/>
      <c r="F185" s="343" t="str">
        <f>IF(E185="","",ROUND(IF(E185&gt;=942,0,IF(E185&lt;=487,E185*'Reference Standards'!AB$15+'Reference Standards'!AB$16,E185*'Reference Standards'!$AC$15+'Reference Standards'!$AC$16)),2))</f>
        <v/>
      </c>
      <c r="G185" s="85" t="str">
        <f>IFERROR(AVERAGE(F185),"")</f>
        <v/>
      </c>
      <c r="H185" s="547" t="str">
        <f>IFERROR(ROUND(AVERAGE(G185:G188),2),"")</f>
        <v/>
      </c>
      <c r="I185" s="534" t="str">
        <f>IF(H185="","",IF(H185&gt;0.69,"Functioning",IF(H185&gt;0.29,"Functioning At Risk",IF(H185&gt;-1,"Not Functioning"))))</f>
        <v/>
      </c>
      <c r="J185" s="559"/>
      <c r="K185" s="555"/>
      <c r="L185" s="21"/>
    </row>
    <row r="186" spans="1:13" ht="15.6" x14ac:dyDescent="0.3">
      <c r="A186" s="538"/>
      <c r="B186" s="297" t="s">
        <v>362</v>
      </c>
      <c r="C186" s="66" t="s">
        <v>354</v>
      </c>
      <c r="D186" s="66"/>
      <c r="E186" s="163"/>
      <c r="F186" s="344" t="str">
        <f>IF(E186="","",IF(OR('Quantification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June")),IF(E186&gt;93,0,IF(E186&lt;13,1,ROUND('Reference Standards'!$AB$53*E186^2+'Reference Standards'!$AB$54*E186+'Reference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R3'!$B$12="73b"),IF(E186&gt;94,0,IF(E186&lt;17,1,ROUND('Reference Standards'!$AC$53*E186^2+'Reference Standards'!$AC$54*E186+'Reference Standards'!$AC$55,2))),    IF(OR(AND(OR('Quantification Tool R3'!$B$12="68b",'Quantification Tool R3'!$B$12="71i"),'Quantification Tool R3'!$B$13&gt;2), 'Quantification Tool R3'!$B$12="71e"),IF(E186&gt;91,0,IF(E186&lt;24,1,ROUND('Reference Standards'!$AD$53*E186^2+'Reference Standards'!$AD$54*E186+'Reference Standards'!$AD$55,2))),  IF(OR(AND(OR('Quantification Tool R3'!$B$12="71f",'Quantification Tool R3'!$B$12="71g",'Quantification Tool R3'!$B$12="71h",'Quantification Tool R3'!$B$12="71i"),'Quantification Tool R3'!$B$13&lt;=2), AND('Quantification Tool R3'!$B$12="74a",'Quantification Tool R3'!$B$13&gt;2)),IF(E186&gt;95,0,IF(E186&lt;=36,1,ROUND('Reference Standards'!$AE$53*E186^2+'Reference Standards'!$AE$54*E186+'Reference Standards'!$AE$55,2))))))))</f>
        <v/>
      </c>
      <c r="G186" s="236" t="str">
        <f>IFERROR(AVERAGE(F186:F186),"")</f>
        <v/>
      </c>
      <c r="H186" s="548"/>
      <c r="I186" s="535"/>
      <c r="J186" s="559"/>
      <c r="K186" s="555"/>
      <c r="L186" s="21"/>
    </row>
    <row r="187" spans="1:13" ht="15.6" x14ac:dyDescent="0.3">
      <c r="A187" s="538"/>
      <c r="B187" s="67" t="s">
        <v>81</v>
      </c>
      <c r="C187" s="68" t="s">
        <v>281</v>
      </c>
      <c r="D187" s="68"/>
      <c r="E187" s="162"/>
      <c r="F187" s="344" t="str">
        <f>IF(E187="","",IF(ISNUMBER('Quantification Tool R3'!$B$13),IF(OR('Quantification Tool R3'!$B$12="66e",'Quantification Tool R3'!$B$12="66f",'Quantification Tool R3'!$B$12="66g"),ROUND(IF(E187&gt;=0.61,0,IF(E187&lt;=0.01,1,IF(E187&lt;=0.06,E187*'Reference Standards'!$AD$197+'Reference Standards'!$AD$198,E187^2*'Reference Standards'!$AB$196+E187*'Reference Standards'!$AB$197+'Reference Standards'!$AB$198))),2),IF('Quantification Tool R3'!$B$12="68b",ROUND(IF(E187&gt;=1.1,0,IF(E187&lt;=0.17,1,IF(E187&lt;=0.22,E187*'Reference Standards'!$AE$197+'Reference Standards'!$AE$198,E187^2*'Reference Standards'!$AC$196+E187*'Reference Standards'!$AC$197+'Reference Standards'!$AC$198))),2),IF('Quantification Tool R3'!$B$13&lt;=2.5,IF('Quantification Tool R3'!$B$12="69de",ROUND(IF(E187&gt;=0.22,0,IF(E187&lt;=0.01,1,E187^2*'Reference Standards'!$AB$90+E187*'Reference Standards'!$AB$91+'Reference Standards'!$AB$92)),2),IF('Quantification Tool R3'!$B$12="68c",ROUND(IF(E187&gt;=0.87,0,IF(E187&lt;=0.01,1,E187^2*'Reference Standards'!$AC$90+E187*'Reference Standards'!$AC$91+'Reference Standards'!$AC$92)),2),IF('Quantification Tool R3'!$B$12="68a",ROUND(IF(E187&gt;=0.81,0,IF(E187&lt;=0.01,1,E187^2*'Reference Standards'!$AD$90+E187*'Reference Standards'!$AD$91+'Reference Standards'!$AD$92)),2),IF('Quantification Tool R3'!$B$12="65abei",ROUND(IF(E187&gt;=0.67,0,IF(E187&lt;=0.01,1,IF(E187&lt;=0.18,E187*'Reference Standards'!$AG$91+'Reference Standards'!$AG$92,E187*'Reference Standards'!$AE$91+'Reference Standards'!$AE$92))),2),IF('Quantification Tool R3'!$B$12="65j",ROUND(IF(E187&gt;=0.32,0,IF(E187&lt;=0.01,1,IF(E187&lt;=0.25,E187*'Reference Standards'!$AH$91+'Reference Standards'!$AH$92,E187*'Reference Standards'!$AF$91+'Reference Standards'!$AF$92))),2),IF('Quantification Tool R3'!$B$12="71f",ROUND(IF(E187&gt;=3,0,IF(E187&lt;=0,1,IF(E187&lt;=0.01,0.7,E187^2*'Reference Standards'!$AB$126+E187*'Reference Standards'!$AB$127+'Reference Standards'!$AB$128))),2),IF('Quantification Tool R3'!$B$12="74a",ROUND(IF(E187&gt;=0.14,0,IF(E187&lt;=0.01,1,IF(E187&lt;=0.02,0.7,E187^2*'Reference Standards'!$AC$126+E187*'Reference Standards'!$AC$127+'Reference Standards'!$AC$128))),2),IF(OR('Quantification Tool R3'!$B$12="67fhi",'Quantification Tool R3'!$B$12="67g"),ROUND(IF(E187&gt;=1.9,0,IF(E187&lt;=0.01,1,IF(E187&lt;=0.05,E187*'Reference Standards'!$AF$127+'Reference Standards'!$AF$128,E187^2*'Reference Standards'!$AD$126+E187*'Reference Standards'!$AD$127+'Reference Standards'!$AD$128))),2),IF('Quantification Tool R3'!$B$12="73a",ROUND(IF(E187&gt;=1.44,0,IF(E187&lt;=0.01,1,IF(E187&lt;=0.12,E187*'Reference Standards'!$AG$127+'Reference Standards'!$AG$128,E187^2*'Reference Standards'!$AE$126+E187*'Reference Standards'!$AE$127+'Reference Standards'!$AE$128))),2),IF('Quantification Tool R3'!$B$12="66d",ROUND(IF(E187&gt;=0.46,0,IF(E187&lt;=0.02,1,IF(E187&lt;=0.08,E187*'Reference Standards'!$AF$163+'Reference Standards'!$AF$164,E187^2*'Reference Standards'!$AB$162+E187*'Reference Standards'!$AB$163+'Reference Standards'!$AB$164))),2),IF(OR('Quantification Tool R3'!$B$12="71g",'Quantification Tool R3'!$B$12="71h",'Quantification Tool R3'!$B$12="71i"),ROUND(IF(E187&gt;=3,0,IF(E187&lt;=0.06,1,IF(E187&lt;=0.24,E187*'Reference Standards'!$AG$163+'Reference Standards'!$AG$164,E187^2*'Reference Standards'!$AC$162+E187*'Reference Standards'!$AC$163+'Reference Standards'!$AC$164))),2),IF('Quantification Tool R3'!$B$12="74b",ROUND(IF(E187&gt;=1.3,0,IF(E187&lt;=0.29,1,IF(E187&lt;=0.48,E187*'Reference Standards'!$AH$163+'Reference Standards'!$AH$164,E187^2*'Reference Standards'!$AD$162+E187*'Reference Standards'!$AD$163+'Reference Standards'!$AD$164))),2),IF('Quantification Tool R3'!$B$12="71e",ROUND(IF(E187&gt;=4.3,0,IF(E187&lt;=0.53,1,IF(E187&lt;=0.67,E187*'Reference Standards'!$AI$163+'Reference Standards'!$AI$164,E187^2*'Reference Standards'!$AE$162+E187*'Reference Standards'!$AE$163+'Reference Standards'!$AE$164))),2)))))))))))))),IF('Quantification Tool R3'!$B$13&gt;2.5,IF('Quantification Tool R3'!$B$12="73a",ROUND(IF(E187&gt;=0.55,0,IF(E187&lt;=0,1,E187^2*'Reference Standards'!$AB$232+E187*'Reference Standards'!$AB$233+'Reference Standards'!$AB$234)),2),IF('Quantification Tool R3'!$B$12="68a",ROUND(IF(E187&gt;=0.54,0,IF(E187&lt;=0,1,IF(E187&lt;=0.01,0.85,E187^2*'Reference Standards'!$AC$232+E187*'Reference Standards'!$AC$233+'Reference Standards'!$AC$234))),2),IF('Quantification Tool R3'!$B$12="74a",ROUND(IF(E187&gt;=0.47,0,IF(E187&lt;=0.01,1,IF(E187&lt;=0.02,0.7,E187^2*'Reference Standards'!$AD$232+E187*'Reference Standards'!$AD$233+'Reference Standards'!$AD$234))),2),IF('Quantification Tool R3'!$B$12="69de",ROUND(IF(E187&gt;=0.26,0,IF(E187&lt;=0.01,1,IF(E187&lt;=0.02,0.85,E187^2*'Reference Standards'!$AE$232+E187*'Reference Standards'!$AE$233+'Reference Standards'!$AE$234))),2),IF('Quantification Tool R3'!$B$12="71f",ROUND(IF(E187&gt;=0.87,0,IF(E187&lt;=0.01,1,IF(E187&lt;=0.04,E187*'Reference Standards'!$AF$269+'Reference Standards'!$AF$270,E187^2*'Reference Standards'!$AB$268+E187*'Reference Standards'!$AB$269+'Reference Standards'!$AB$270))),2),IF('Quantification Tool R3'!$B$12="65abei",ROUND(IF(E187&gt;=0.82,0,IF(E187&lt;=0.01,1,IF(E187&lt;=0.06,E187*'Reference Standards'!$AG$269+'Reference Standards'!$AG$270,E187^2*'Reference Standards'!$AC$268+E187*'Reference Standards'!$AC$269+'Reference Standards'!$AC$270))),2),IF('Quantification Tool R3'!$B$12="65j",ROUND(IF(E187&gt;=0.33,0,IF(E187&lt;=0.03,1,IF(E187&lt;=0.09,E187*'Reference Standards'!$AH$269+'Reference Standards'!$AH$270,E187^2*'Reference Standards'!$AD$268+E187*'Reference Standards'!$AD$269+'Reference Standards'!$AD$270))),2),IF('Quantification Tool R3'!$B$12="68c",ROUND(IF(E187&gt;=0.7,0,IF(E187&lt;=0.07,1,IF(E187&lt;=0.12,E187*'Reference Standards'!$AI$269+'Reference Standards'!$AI$270,E187^2*'Reference Standards'!$AE$268+E187*'Reference Standards'!$AE$269+'Reference Standards'!$AE$270))),2),IF(OR('Quantification Tool R3'!$B$12="67fhi",'Quantification Tool R3'!$B$12="67g"),ROUND(IF(E187&gt;=1.8,0,IF(E187&lt;=0.08,1,IF(E187&lt;=0.2,E187*'Reference Standards'!$AF$306+'Reference Standards'!$AF$307,E187^2*'Reference Standards'!$AB$305+E187*'Reference Standards'!$AB$306+'Reference Standards'!$AB$307))),2),IF('Quantification Tool R3'!$B$12="74b",ROUND(IF(E187&gt;=0.96,0,IF(E187&lt;=0.12,1,IF(E187&lt;=0.16,E187*'Reference Standards'!$AG$306+'Reference Standards'!$AG$307,E187^2*'Reference Standards'!$AC$305+E187*'Reference Standards'!$AC$306+'Reference Standards'!$AC$307))),2),IF('Quantification Tool R3'!$B$12="66d",ROUND(IF(E187&gt;=0.75,0,IF(E187&lt;=0.13,1,IF(E187&lt;=0.2,E187*'Reference Standards'!$AH$306+'Reference Standards'!$AH$307,E187^2*'Reference Standards'!$AD$305+E187*'Reference Standards'!$AD$306+'Reference Standards'!$AD$307))),2),IF(OR('Quantification Tool R3'!$B$12="71g",'Quantification Tool R3'!$B$12="71h",'Quantification Tool R3'!$B$12="71i"),ROUND(IF(E187&gt;=1.68,0,IF(E187&lt;=0.08,1,IF(E187&lt;=0.23,E187*'Reference Standards'!$AI$306+'Reference Standards'!$AI$307,E187^2*'Reference Standards'!$AE$305+E187*'Reference Standards'!$AE$306+'Reference Standards'!$AE$307))),2),IF('Quantification Tool R3'!$B$12="71e",ROUND(IF(E187&gt;=5.3,0,IF(E187&lt;=0.94,1,IF(E187&lt;=1.4,E187*'Reference Standards'!$AF$310+'Reference Standards'!$AF$311,E187^2*'Reference Standards'!$AB$309+E187*'Reference Standards'!$AB$310+'Reference Standards'!$AB$311))),2))))))))))))))))))))</f>
        <v/>
      </c>
      <c r="G187" s="86" t="str">
        <f>IFERROR(AVERAGE(F187),"")</f>
        <v/>
      </c>
      <c r="H187" s="548"/>
      <c r="I187" s="535"/>
      <c r="J187" s="559"/>
      <c r="K187" s="555"/>
      <c r="L187" s="21"/>
    </row>
    <row r="188" spans="1:13" ht="15.6" x14ac:dyDescent="0.3">
      <c r="A188" s="539"/>
      <c r="B188" s="298" t="s">
        <v>82</v>
      </c>
      <c r="C188" s="66" t="s">
        <v>280</v>
      </c>
      <c r="D188" s="66"/>
      <c r="E188" s="136"/>
      <c r="F188" s="343" t="str">
        <f>IF(E188="","",IF(ISNUMBER('Quantification Tool R3'!$B$13),IF('Quantification Tool R3'!$B$13&gt;2.5,IF(OR('Quantification Tool R3'!$B$12="71h",'Quantification Tool R3'!$B$12="71i",'Quantification Tool R3'!$B$12="73a",'Quantification Tool R3'!$B$12="74a"),IF(E188&lt;=0.01,1,IF(OR('Quantification Tool R3'!$B$12="71h",'Quantification Tool R3'!$B$12="71i"),IF(E188&gt;0.37,0,ROUND(IF(E188&gt;0.03,'Reference Standards'!$AB$425*E188^2+'Reference Standards'!$AB$426*E188+'Reference Standards'!$AB$427,'Reference Standards'!$AF$426*E188+'Reference Standards'!$AF$427),2)),IF('Quantification Tool R3'!$B$12="73a",IF(E188&gt;0.405,0,ROUND(IF(E188&gt;0.046,'Reference Standards'!$AC$425*E188^2+'Reference Standards'!$AC$426*E188+'Reference Standards'!$AC$427,'Reference Standards'!$AG$426*E188+'Reference Standards'!$AG$427),2)),IF('Quantification Tool R3'!$B$12="74a",IF(E188&gt;0.3,0,ROUND(IF(E188&gt;0.052,'Reference Standards'!$AD$425*E188^2+'Reference Standards'!$AD$426*E188+'Reference Standards'!$AD$427,'Reference Standards'!$AH$426*E188+'Reference Standards'!$AH$427),2)))))),IF(E188&lt;=0.002,1,IF(OR('Quantification Tool R3'!$B$12="66d",'Quantification Tool R3'!$B$12="66e",'Quantification Tool R3'!$B$12="66g"),IF(E188&gt;0.053,0,ROUND(E188^2*'Reference Standards'!$AB$347+E188*'Reference Standards'!$AB$348+'Reference Standards'!$AB$349,2)),IF('Quantification Tool R3'!$B$12="68b",IF(E188&gt;0.05,0,ROUND(E188^2*'Reference Standards'!$AC$347+E188*'Reference Standards'!$AC$348+'Reference Standards'!$AC$349,2)),IF(OR('Quantification Tool R3'!$B$12="68a",'Quantification Tool R3'!$B$12="68c"),IF(E188&gt;0.07,0,ROUND(E188^2*'Reference Standards'!$AD$347+E188*'Reference Standards'!$AD$348+'Reference Standards'!$AD$349,2)),IF(OR('Quantification Tool R3'!$B$12="71f",'Quantification Tool R3'!$B$12="71g"),IF(E188&gt;0.13,0,ROUND(IF(E188&gt;0.042,E188*'Reference Standards'!$AE$348+'Reference Standards'!$AE$349,E188*'Reference Standards'!$AF$348+'Reference Standards'!$AF$349),2)),IF('Quantification Tool R3'!$B$12="67fhi",IF(E188&gt;0.16,0,ROUND(E188^2*'Reference Standards'!$AG$347+E188*'Reference Standards'!$AG$348+'Reference Standards'!$AG$349,2)),IF('Quantification Tool R3'!$B$12="65j",IF(E188&gt;0.035,0,ROUND(IF(E188&lt;=0.003,0.7,E188^2*'Reference Standards'!$AB$387+E188*'Reference Standards'!$AB$388+'Reference Standards'!$AB$389),2)),IF('Quantification Tool R3'!$B$12="69de",IF(E188&gt;0.037,0,ROUND(IF(E188&lt;=0.003,0.7,E188^2*'Reference Standards'!$AC$387+E188*'Reference Standards'!$AC$388+'Reference Standards'!$AC$389),2)),IF('Quantification Tool R3'!$B$12="71e",IF(E188&gt;0.23,0,ROUND(IF(E188&lt;=0.003,0.7,E188^2*'Reference Standards'!$AD$387+E188*'Reference Standards'!$AD$388+'Reference Standards'!$AD$389),2)),IF('Quantification Tool R3'!$B$12="66f",IF(E188&gt;0.06,0,ROUND(IF(E188&lt;=0.003,0.85,IF(E188&lt;=0.004,0.7,E188^2*'Reference Standards'!$AE$387+E188*'Reference Standards'!$AE$388+'Reference Standards'!$AE$389)),2)),IF('Quantification Tool R3'!$B$12="67g",IF(E188&gt;0.11,0,ROUND(IF(E188&lt;=0.01,E188*'Reference Standards'!$AH$388+'Reference Standards'!$AH$389,E188^2*'Reference Standards'!$AF$387+E188*'Reference Standards'!$AF$388+'Reference Standards'!$AF$389),2)),IF('Quantification Tool R3'!$B$12="74b",IF(E188&gt;0.49,0,ROUND(IF(E188&lt;=0.01,E188*'Reference Standards'!$AH$388+'Reference Standards'!$AH$389,E188^2*'Reference Standards'!$AG$387+E188*'Reference Standards'!$AG$388+'Reference Standards'!$AG$389),2)),IF('Quantification Tool R3'!$B$12="65abei",IF(E188&gt;0.199,0,ROUND(IF(E188&lt;=0.01,E188*'Reference Standards'!$AI$426+'Reference Standards'!$AI$427,E188^2*'Reference Standards'!$AE$425+E188*'Reference Standards'!$AE$426+'Reference Standards'!$AE$427),2)))))))))))))))),IF('Quantification Tool R3'!$B$13&lt;=2.5,IF(OR('Quantification Tool R3'!$B$12="66d",'Quantification Tool R3'!$B$12="66e",'Quantification Tool R3'!$B$12="66g"),IF(E188&gt;0.05,0,ROUND(IF(E188&lt;=0.002,1,IF(E188&lt;=0.005,E188*'Reference Standards'!$AF$464+'Reference Standards'!$AF$465,E188^2*'Reference Standards'!$AB$463+E188*'Reference Standards'!$AB$464+'Reference Standards'!$AB$465)),2)),IF('Quantification Tool R3'!$B$12="67fhi",IF(E188&gt;0.1,0,ROUND(IF(E188&lt;=0.002,1,IF(E188&lt;=0.006,E188*'Reference Standards'!$AG$464+'Reference Standards'!$AG$465,E188^2*'Reference Standards'!$AC$463+E188*'Reference Standards'!$AC$464+'Reference Standards'!$AC$465)),2)),IF('Quantification Tool R3'!$B$12="65abei",IF(E188&gt;0.13,0,ROUND(IF(E188&lt;=0.003,1,IF(E188&lt;=0.008,E188*'Reference Standards'!$AH$464+'Reference Standards'!$AH$465,E188^2*'Reference Standards'!$AD$463+E188*'Reference Standards'!$AD$464+'Reference Standards'!$AD$465)),2)),IF('Quantification Tool R3'!$B$12="68b",IF(E188&gt;0.043,0,ROUND(IF(E188&lt;=0.004,1,IF(E188&lt;=0.005,0.7,E188^2*'Reference Standards'!$AE$463+E188*'Reference Standards'!$AE$464+'Reference Standards'!$AE$465)),2)),IF('Quantification Tool R3'!$B$12="69de",IF(E188&gt;=0.034,0,ROUND(IF(E188&lt;=0.003,1,IF(E188&lt;=0.006,E188*'Reference Standards'!$AG$500+'Reference Standards'!$AG$501,E188*'Reference Standards'!$AB$500+'Reference Standards'!$AB$501)),2)),IF(OR('Quantification Tool R3'!$B$12="68a",'Quantification Tool R3'!$B$12="68c"),IF(E188&gt;0.202,0,ROUND(IF(E188&lt;=0.003,1,IF(E188&lt;=0.006,E188*'Reference Standards'!$AG$500+'Reference Standards'!$AG$501,IF(E188&gt;=0.04,E188*'Reference Standards'!$AC$500+'Reference Standards'!$AC$501,E188*'Reference Standards'!$AE$500+'Reference Standards'!$AE$501))),2)),IF(OR('Quantification Tool R3'!$B$12="71f",'Quantification Tool R3'!$B$12="71g"),IF(E188&gt;0.631,0,ROUND(IF(E188&lt;=0.003,1,IF(E188&lt;=0.006,E188*'Reference Standards'!$AG$500+'Reference Standards'!$AG$501,IF(E188&gt;=0.17,E188*'Reference Standards'!$AD$500+'Reference Standards'!$AD$501,E188*'Reference Standards'!$AF$500+'Reference Standards'!$AF$501))),2)),IF('Quantification Tool R3'!$B$12="71e",IF(E188&gt;1.23,0,ROUND(IF(E188&lt;=0.004,1,IF(E188&lt;=0.006,E188*'Reference Standards'!$AF$538+'Reference Standards'!$AF$539,E188^2*'Reference Standards'!$AB$537+E188*'Reference Standards'!$AB$538+'Reference Standards'!$AB$539)),2)),IF('Quantification Tool R3'!$B$12="67g",IF(E188&gt;0.11,0,ROUND(IF(E188&lt;=0.006,1,IF(E188&lt;=0.011,E188*'Reference Standards'!$AG$538+'Reference Standards'!$AG$539,E188^2*'Reference Standards'!$AC$537+E188*'Reference Standards'!$AC$538+'Reference Standards'!$AC$539)),2)),IF('Quantification Tool R3'!$B$12="65j",IF(E188&gt;0.046,0,ROUND(IF(E188&lt;=0.007,1,IF(E188&lt;=0.012,E188*'Reference Standards'!$AH$538+'Reference Standards'!$AH$539,E188^2*'Reference Standards'!$AD$537+E188*'Reference Standards'!$AD$538+'Reference Standards'!$AD$539)),2)),IF('Quantification Tool R3'!$B$12="66f",IF(E188&gt;0.081,0,ROUND(IF(E188&lt;=0.008,1,IF(E188&lt;=0.011,E188*'Reference Standards'!$AI$538+'Reference Standards'!$AI$539,E188^2*'Reference Standards'!$AE$537+E188*'Reference Standards'!$AE$538+'Reference Standards'!$AE$539)),2)),IF(OR('Quantification Tool R3'!$B$12="71h",'Quantification Tool R3'!$B$12="71i"),IF(E188&gt;0.37,0,ROUND(IF(E188&lt;=0.013,1,IF(E188&lt;=0.032,E188*'Reference Standards'!$AH$576+'Reference Standards'!$AH$577,IF(E188&lt;=0.3,E188*'Reference Standards'!$AF$576+'Reference Standards'!$AF$577,E188*'Reference Standards'!$AB$576+'Reference Standards'!$AB$577))),2)),IF('Quantification Tool R3'!$B$12="73a",IF(E188&gt;0.448,0,ROUND(IF(E188&lt;=0.071,1,IF(E188&lt;=0.086,E188*'Reference Standards'!$AJ$576+'Reference Standards'!$AJ$577,IF(E188&lt;=0.165,E188*'Reference Standards'!$AG$576+'Reference Standards'!$AG$577,E188*'Reference Standards'!$AE$576+'Reference Standards'!$AE$577))),2)),IF('Quantification Tool R3'!$B$12="74b",IF(E188&gt;0.43,0,ROUND(IF(E188&lt;=0.018,1,IF(E188&lt;=0.019,0.85,IF(E188&lt;=0.02,0.7,E188^2*'Reference Standards'!$AC$575+E188*'Reference Standards'!$AC$576+'Reference Standards'!$AC$577))),2)),IF('Quantification Tool R3'!$B$12="74a",IF(E188&gt;0.217,0,ROUND(IF(E188&lt;=0.02,1,IF(E188&lt;=0.033,E188*'Reference Standards'!$AI$576+'Reference Standards'!$AI$577,E188^2*'Reference Standards'!$AD$575+E188*'Reference Standards'!$AD$576+'Reference Standards'!$AD$577)),2)))))))))))))))))))))</f>
        <v/>
      </c>
      <c r="G188" s="87" t="str">
        <f>IFERROR(AVERAGE(F188),"")</f>
        <v/>
      </c>
      <c r="H188" s="549"/>
      <c r="I188" s="536"/>
      <c r="J188" s="559"/>
      <c r="K188" s="555"/>
      <c r="L188" s="21"/>
    </row>
    <row r="189" spans="1:13" ht="15.6" x14ac:dyDescent="0.3">
      <c r="A189" s="550" t="s">
        <v>59</v>
      </c>
      <c r="B189" s="560" t="s">
        <v>340</v>
      </c>
      <c r="C189" s="125" t="s">
        <v>331</v>
      </c>
      <c r="D189" s="126"/>
      <c r="E189" s="166"/>
      <c r="F189" s="345" t="str">
        <f>IF(E189="","",IF(OR('Quantification Tool R3'!B$12="73a",'Quantification Tool R3'!B$12="73b"),IF(E189&lt;1,0,IF(E189&gt;=30,1,ROUND(IF(E189&lt;22,'Reference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531" t="str">
        <f>IFERROR(AVERAGE(F189:F192),"")</f>
        <v/>
      </c>
      <c r="H189" s="568" t="str">
        <f>IFERROR(ROUND(AVERAGE(G189:G194),2),"")</f>
        <v/>
      </c>
      <c r="I189" s="519" t="str">
        <f>IF(H189="","",IF(H189&gt;0.69,"Functioning",IF(H189&gt;0.29,"Functioning At Risk",IF(H189&gt;-1,"Not Functioning"))))</f>
        <v/>
      </c>
      <c r="J189" s="559"/>
      <c r="K189" s="555"/>
      <c r="L189" s="21"/>
    </row>
    <row r="190" spans="1:13" ht="15.6" x14ac:dyDescent="0.3">
      <c r="A190" s="556"/>
      <c r="B190" s="561"/>
      <c r="C190" s="174" t="s">
        <v>335</v>
      </c>
      <c r="D190" s="175"/>
      <c r="E190" s="165"/>
      <c r="F190" s="346" t="str">
        <f>IF(E190="","",IF(AND('Quantification Tool R3'!$B$12="74b",'Quantification Tool R3'!$B$13&lt;=2),IF(E190&lt;0,0,IF(E190&gt;15.6,0.69,ROUND('Reference Standards'!$AL$54*E190^2+'Reference Standards'!$AL$55*E190+'Reference Standards'!$AL$56,2))),IF(AND('Quantification Tool R3'!$B$12="65abei",'Quantification Tool R3'!$B$13&lt;=2),IF(E190&lt;0,0,IF(E190&gt;=20,0.69,ROUND('Reference Standards'!$AM$54*E190^2+'Reference Standards'!$AM$55*E190+'Reference Standards'!$AM$56,2))),IF(OR(AND('Quantification Tool R3'!$B$12="74a",'Quantification Tool R3'!$B$13&gt;2,'Quantification Tool R3'!$B$19="January - June"),AND('Quantification Tool R3'!$B$12="71i",'Quantification Tool R3'!$B$13&gt;2,'Quantification Tool R3'!$B$20="SQBANK")),IF(E190&lt;0,0,IF(E190&gt;24.7,0.69,ROUND('Reference Standards'!$AN$54*E190^2+'Reference Standards'!$AN$55*E190+'Reference Standards'!$AN$56,2))),IF(OR('Quantification Tool R3'!$B$12="74b",'Quantification Tool R3'!$B$12="65abei"),IF(E190&lt;0,0,IF(E190&gt;32.7,0.69,ROUND('Reference Standards'!$AO$54*E190^2+'Reference Standards'!$AO$55*E190+'Reference Standards'!$AO$56,2))),IF(AND('Quantification Tool R3'!$B$12="68b",'Quantification Tool R3'!$B$13&gt;2),IF(E190&lt;0,0,IF(E190&gt;41.2,0.69,ROUND('Reference Standards'!$AP$54*E190^2+'Reference Standards'!$AP$55*E190+'Reference Standards'!$AP$56,2))),IF(OR(AND('Quantification Tool R3'!$B$12="71i",'Quantification Tool R3'!$B$13&lt;=2),AND(OR('Quantification Tool R3'!$B$12="68c",'Quantification Tool R3'!$B$12="68d"),'Quantification Tool R3'!$B$19="January - June")),IF(E190&lt;0,0,IF(E190&gt;49.2,0.69,ROUND('Reference Standards'!$AL$94*E190^2+'Reference Standards'!$AL$95*E190+'Reference Standards'!$AL$96,2))),IF(OR(AND('Quantification Tool R3'!$B$12="68a",'Quantification Tool R3'!$B$19="January - June"),AND(OR('Quantification Tool R3'!$B$12="68c",'Quantification Tool R3'!$B$12="68d"),'Quantification Tool R3'!$B$19="July - December")),IF(E190&lt;0,0,IF(E190&gt;53.4,0.69,ROUND('Reference Standards'!$AM$94*E190^2+'Reference Standards'!$AM$95*E190+'Reference Standards'!$AM$96,2))),IF(OR(AND('Quantification Tool R3'!$B$12="71i",'Quantification Tool R3'!$B$13&gt;2,'Quantification Tool R3'!$B$20="SQKICK"),AND(OR('Quantification Tool R3'!$B$12="67fhi",'Quantification Tool R3'!$B$12="67g"),'Quantification Tool R3'!$B$13&lt;=2),'Quantification Tool R3'!$B$12="65j"),IF(E190&lt;0,0,IF(E190&gt;57.8,0.69,ROUND('Reference Standards'!$AN$94*E190^2+'Reference Standards'!$AN$95*E190+'Reference Standards'!$AN$96,2))),IF(OR(AND('Quantification Tool R3'!$B$12="74a",'Quantification Tool R3'!$B$13&gt;2,'Quantification Tool R3'!$B$19="July - December"),AND(OR('Quantification Tool R3'!$B$12="67fhi",'Quantification Tool R3'!$B$12="67g"),'Quantification Tool R3'!$B$13&gt;2),'Quantification Tool R3'!$B$12="69de"),IF(E190&lt;0,0,IF(E190&gt;62.5,0.69,ROUND('Reference Standards'!$AO$94*E190^2+'Reference Standards'!$AO$95*E190+'Reference Standards'!$AO$96,2))),  IF(OR('Quantification Tool R3'!$B$12="66d",'Quantification Tool R3'!$B$12="66e",'Quantification Tool R3'!$B$12="66ik",'Quantification Tool R3'!$B$12="71e",'Quantification Tool R3'!$B$12="71f",'Quantification Tool R3'!$B$12="71g",'Quantification Tool R3'!$B$12="71h"),IF(E190&lt;0,0,IF(E190&gt;66.5,0.69,ROUND('Reference Standards'!$AP$94*E190^2+'Reference Standards'!$AP$95*E190+'Reference Standards'!$AP$96,2))),IF(OR('Quantification Tool R3'!$B$12="66f",'Quantification Tool R3'!$B$12="66g",'Quantification Tool R3'!$B$12="66j",AND('Quantification Tool R3'!$B$12="68a",'Quantification Tool R3'!$B$19="July - December")), IF(E190&lt;0,0,IF(E190&gt;69,0.69,ROUND('Reference Standards'!$AQ$94*E190^2+'Reference Standards'!$AQ$95*E190+'Reference Standards'!$AQ$96,2))))   )))))))))))</f>
        <v/>
      </c>
      <c r="G190" s="531"/>
      <c r="H190" s="568"/>
      <c r="I190" s="519"/>
      <c r="J190" s="559"/>
      <c r="K190" s="555"/>
      <c r="L190" s="21"/>
    </row>
    <row r="191" spans="1:13" ht="15.6" x14ac:dyDescent="0.3">
      <c r="A191" s="556"/>
      <c r="B191" s="561"/>
      <c r="C191" s="174" t="s">
        <v>339</v>
      </c>
      <c r="D191" s="175"/>
      <c r="E191" s="165"/>
      <c r="F191" s="346" t="str">
        <f>IF(E191="","",IF(AND('Quantification Tool R3'!$B$12="74b",'Quantification Tool R3'!$B$13&lt;=2),IF(E191&lt;0,0,IF(E191&gt;8.1,0.69,ROUND('Reference Standards'!$AL$131*E191^2+'Reference Standards'!$AL$132*E191+'Reference Standards'!$AL$133,2))),IF(OR('Quantification Tool R3'!$B$12="73a",'Quantification Tool R3'!$B$12="73b"),IF(E191&lt;0,0,IF(E191&gt;=28,0.69,ROUND('Reference Standards'!$AM$131*E191^2+'Reference Standards'!$AM$132*E191+'Reference Standards'!$AM$133,2))),IF(AND('Quantification Tool R3'!$B$12="74a",'Quantification Tool R3'!$B$13&gt;2,'Quantification Tool R3'!$B$19="January - June"),IF(E191&lt;0,0,IF(E191&gt;=32.5,0.69,ROUND('Reference Standards'!$AN$131*E191^2+'Reference Standards'!$AN$132*E191+'Reference Standards'!$AN$133,2))),IF(AND('Quantification Tool R3'!$B$12="71i",'Quantification Tool R3'!$B$13&gt;2,'Quantification Tool R3'!$B$20="SQBANK"),IF(E191&lt;0,0,IF(E191&gt;=37,0.69,ROUND('Reference Standards'!$AO$131*E191^2+'Reference Standards'!$AO$132*E191+'Reference Standards'!$AO$133,2))),IF(OR(AND(OR('Quantification Tool R3'!$B$12="65abei",'Quantification Tool R3'!$B$12="74b"),'Quantification Tool R3'!$B$13&gt;2),AND('Quantification Tool R3'!$B$12="71i",'Quantification Tool R3'!$B$13&gt;2,'Quantification Tool R3'!$B$20="SQKICK")),IF(E191&lt;0,0,IF(E191&gt;42.6,0.69,ROUND('Reference Standards'!$AP$131*E191^2+'Reference Standards'!$AP$132*E191+'Reference Standards'!$AP$133,2))),     IF(OR(AND('Quantification Tool R3'!$B$12="65abei",'Quantification Tool R3'!$B$13&lt;=2),AND(OR('Quantification Tool R3'!$B$12="68c",'Quantification Tool R3'!$B$12="68d"),'Quantification Tool R3'!$B$19="July - December"),'Quantification Tool R3'!$B$12="71e"),IF(E191&lt;0,0,IF(E191&gt;=48,0.69,ROUND('Reference Standards'!$AL$171*E191^2+'Reference Standards'!$AL$172*E191+'Reference Standards'!$AL$173,2))),IF(OR('Quantification Tool R3'!$B$12="65j",'Quantification Tool R3'!$B$12="67fhi",'Quantification Tool R3'!$B$12="67g",AND('Quantification Tool R3'!$B$12="74a",'Quantification Tool R3'!$B$19="July - December",'Quantification Tool R3'!$B$13&gt;2),AND('Quantification Tool R3'!$B$12="71i",'Quantification Tool R3'!$B$13&lt;=2)),IF(E191&lt;0,0,IF(E191&gt;=53,0.69,ROUND('Reference Standards'!$AM$171*E191^2+'Reference Standards'!$AM$172*E191+'Reference Standards'!$AM$173,2))),IF(OR(AND(OR('Quantification Tool R3'!$B$12="68b",'Quantification Tool R3'!$B$12="71f",'Quantification Tool R3'!$B$12="71g",'Quantification Tool R3'!$B$12="71h"),'Quantification Tool R3'!$B$13&gt;2),'Quantification Tool R3'!$B$12="68a"),IF(E191&lt;0,0,IF(E191&gt;=57,0.69,ROUND('Reference Standards'!$AN$171*E191^2+'Reference Standards'!$AN$172*E191+'Reference Standards'!$AN$173,2))),IF(OR('Quantification Tool R3'!$B$12="66f",'Quantification Tool R3'!$B$12="66g",'Quantification Tool R3'!$B$12="66j",AND(OR('Quantification Tool R3'!$B$12="71f",'Quantification Tool R3'!$B$12="71g",'Quantification Tool R3'!$B$12="71h"),'Quantification Tool R3'!$B$13&lt;=2)),IF(E191&lt;0,0,IF(E191&gt;=60,0.69,ROUND('Reference Standards'!$AO$171*E191^2+'Reference Standards'!$AO$172*E191+'Reference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December")),IF(E191&lt;0,0,IF(E191&gt;=67.5,0.69,ROUND('Reference Standards'!$AP$171*E191^2+'Reference Standards'!$AP$172*E191+'Reference Standards'!$AP$173,2))),IF(AND('Quantification Tool R3'!$B$12="69de",'Quantification Tool R3'!$B$19="January - June"), IF(E191&lt;0,0,IF(E191&gt;=72,0.69,ROUND('Reference Standards'!$AQ$171*E191^2+'Reference Standards'!$AQ$172*E191+'Reference Standards'!$AQ$173,2))))   )))))))))))</f>
        <v/>
      </c>
      <c r="G191" s="531"/>
      <c r="H191" s="568"/>
      <c r="I191" s="519"/>
      <c r="J191" s="559"/>
      <c r="K191" s="555"/>
      <c r="L191" s="21"/>
    </row>
    <row r="192" spans="1:13" ht="15.6" x14ac:dyDescent="0.3">
      <c r="A192" s="556"/>
      <c r="B192" s="562"/>
      <c r="C192" s="127" t="s">
        <v>336</v>
      </c>
      <c r="D192" s="71"/>
      <c r="E192" s="167"/>
      <c r="F192" s="346" t="str">
        <f>IF(E192="","",IF(OR('Quantification Tool R3'!$B$12="67fhi",'Quantification Tool R3'!$B$12="67g",'Quantification Tool R3'!$B$12="71e",'Quantification Tool R3'!$B$12="73a",'Quantification Tool R3'!$B$12="73b",AND(OR('Quantification Tool R3'!$B$12="71f",'Quantification Tool R3'!$B$12="71g",'Quantification Tool R3'!$B$12="71h"),'Quantification Tool R3'!$B$13&gt;2)),IF(E192&gt;100,0,IF(E192&lt;15,0.69,ROUND('Reference Standards'!$AL$208*E192^2+'Reference Standards'!$AL$209*E192+'Reference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),IF(E192&gt;100,0,IF(E192&lt;19,0.69,ROUND('Reference Standards'!$AM$208*E192^2+'Reference Standards'!$AM$209*E192+'Reference Standards'!$AM$210,2))),    IF(OR(AND('Quantification Tool R3'!$B$12="69de",'Quantification Tool R3'!$B$19="January - June"),AND('Quantification Tool R3'!$B$12="71i",'Quantification Tool R3'!$B$13&gt;2,'Quantification Tool R3'!$B$20="SQKICK" )),IF(E192&gt;100,0,IF(E192&lt;22,0.69,ROUND('Reference Standards'!$AN$208*E192^2+'Reference Standards'!$AN$209*E192+'Reference Standards'!$AN$210,2))),    IF(OR('Quantification Tool R3'!$B$12="65j",AND('Quantification Tool R3'!$B$12="68b",'Quantification Tool R3'!$B$13&gt;2)),IF(E192&gt;100,0,IF(E192&lt;24,0.69,ROUND('Reference Standards'!$AO$208*E192^2+'Reference Standards'!$AO$209*E192+'Reference Standards'!$AO$210,2))),    IF(AND(OR('Quantification Tool R3'!$B$12="65abei",'Quantification Tool R3'!$B$12="71f",'Quantification Tool R3'!$B$12="71g",'Quantification Tool R3'!$B$12="71h"),'Quantification Tool R3'!$B$13&lt;=2),IF(E192&gt;95,0,IF(E192&lt;33,0.69,ROUND('Reference Standards'!$AL$246*E192^2+'Reference Standards'!$AL$247*E192+'Reference Standards'!$AL$248,2))),   IF(AND(OR('Quantification Tool R3'!$B$12="65abei",'Quantification Tool R3'!$B$12="74b"),'Quantification Tool R3'!$B$13&gt;2),IF(E192&gt;97,0,IF(E192&lt;36,0.69,ROUND('Reference Standards'!$AM$246*E192^2+'Reference Standards'!$AM$247*E192+'Reference Standards'!$AM$248,2))),  IF(AND('Quantification Tool R3'!$B$12="74a",'Quantification Tool R3'!$B$19="January - June",'Quantification Tool R3'!$B$13&gt;2),IF(E192&gt;93,0,IF(E192&lt;52,0.69,ROUND('Reference Standards'!$AN$246*E192^2+'Reference Standards'!$AN$247*E192+'Reference Standards'!$AN$248,2))),   IF(AND('Quantification Tool R3'!$B$12="74b",'Quantification Tool R3'!$B$13&lt;=2),IF(E192&gt;97,0,IF(E192&lt;62,0.69,ROUND('Reference Standards'!$AO$246*E192^2+'Reference Standards'!$AO$247*E192+'Reference Standards'!$AO$248,2)))  )))))))))</f>
        <v/>
      </c>
      <c r="G192" s="531"/>
      <c r="H192" s="568"/>
      <c r="I192" s="519"/>
      <c r="J192" s="559"/>
      <c r="K192" s="555"/>
      <c r="L192" s="21"/>
    </row>
    <row r="193" spans="1:12" ht="15.6" x14ac:dyDescent="0.3">
      <c r="A193" s="556"/>
      <c r="B193" s="563" t="s">
        <v>74</v>
      </c>
      <c r="C193" s="125" t="s">
        <v>211</v>
      </c>
      <c r="D193" s="126"/>
      <c r="E193" s="166"/>
      <c r="F193" s="345" t="str">
        <f>IF(E193="","",IF(E193=1,0.15,IF(E193=3,0.5,IF(E193=5,0.85,0))))</f>
        <v/>
      </c>
      <c r="G193" s="564" t="str">
        <f>IFERROR(AVERAGE(F193:F194),"")</f>
        <v/>
      </c>
      <c r="H193" s="568"/>
      <c r="I193" s="519"/>
      <c r="J193" s="559"/>
      <c r="K193" s="555"/>
      <c r="L193" s="21"/>
    </row>
    <row r="194" spans="1:12" ht="15.6" x14ac:dyDescent="0.3">
      <c r="A194" s="551"/>
      <c r="B194" s="563"/>
      <c r="C194" s="127" t="s">
        <v>332</v>
      </c>
      <c r="D194" s="71"/>
      <c r="E194" s="167"/>
      <c r="F194" s="347" t="str">
        <f>IF(E194="","",IF(E194=1,0.15,IF(E194=3,0.5,IF(E194=5,0.85,0))))</f>
        <v/>
      </c>
      <c r="G194" s="565"/>
      <c r="H194" s="568"/>
      <c r="I194" s="519"/>
      <c r="J194" s="559"/>
      <c r="K194" s="555"/>
      <c r="L194" s="21"/>
    </row>
    <row r="195" spans="1:12" ht="13.95" customHeight="1" x14ac:dyDescent="0.3">
      <c r="L195" s="21"/>
    </row>
    <row r="196" spans="1:12" ht="21" x14ac:dyDescent="0.4">
      <c r="A196" s="148" t="s">
        <v>135</v>
      </c>
      <c r="B196" s="246"/>
      <c r="C196" s="249" t="s">
        <v>324</v>
      </c>
      <c r="D196" s="246"/>
      <c r="E196" s="247"/>
      <c r="F196" s="248"/>
      <c r="G196" s="544" t="s">
        <v>18</v>
      </c>
      <c r="H196" s="545"/>
      <c r="I196" s="545"/>
      <c r="J196" s="545"/>
      <c r="K196" s="546"/>
      <c r="L196" s="21"/>
    </row>
    <row r="197" spans="1:12" ht="15.6" x14ac:dyDescent="0.3">
      <c r="A197" s="158" t="s">
        <v>1</v>
      </c>
      <c r="B197" s="158" t="s">
        <v>2</v>
      </c>
      <c r="C197" s="542" t="s">
        <v>3</v>
      </c>
      <c r="D197" s="644"/>
      <c r="E197" s="158" t="s">
        <v>15</v>
      </c>
      <c r="F197" s="158" t="s">
        <v>16</v>
      </c>
      <c r="G197" s="158" t="s">
        <v>19</v>
      </c>
      <c r="H197" s="158" t="s">
        <v>20</v>
      </c>
      <c r="I197" s="314" t="s">
        <v>20</v>
      </c>
      <c r="J197" s="158" t="s">
        <v>21</v>
      </c>
      <c r="K197" s="315" t="s">
        <v>21</v>
      </c>
    </row>
    <row r="198" spans="1:12" ht="15.6" x14ac:dyDescent="0.3">
      <c r="A198" s="540" t="s">
        <v>60</v>
      </c>
      <c r="B198" s="299" t="s">
        <v>86</v>
      </c>
      <c r="C198" s="52" t="s">
        <v>388</v>
      </c>
      <c r="D198" s="52"/>
      <c r="E198" s="162"/>
      <c r="F198" s="338" t="str">
        <f>IF(E198="","",IF(E198&lt;=0,0,IF(E198&gt;=0.95,1,ROUND('Reference Standards'!C$14*E198+'Reference Standards'!C$15,2))))</f>
        <v/>
      </c>
      <c r="G198" s="83" t="str">
        <f>IFERROR(AVERAGE(F198),"")</f>
        <v/>
      </c>
      <c r="H198" s="522" t="str">
        <f>IFERROR(ROUND(AVERAGE(G198:G199),2),"")</f>
        <v/>
      </c>
      <c r="I198" s="519" t="str">
        <f>IF(H198="","",IF(H198&gt;0.69,"Functioning",IF(H198&gt;0.29,"Functioning At Risk",IF(H198&gt;-1,"Not Functioning"))))</f>
        <v/>
      </c>
      <c r="J198" s="559" t="str">
        <f>IF(AND(H198="",H200="",H202="",H224="",H228=""),"",ROUND((IF(H198="",0,H198)*0.2)+(IF(H200="",0,H200)*0.2)+(IF(H202="",0,H202)*0.2)+(IF(H224="",0,H224)*0.2)+(IF(H228="",0,H228)*0.2),2))</f>
        <v/>
      </c>
      <c r="K198" s="555" t="str">
        <f>IF(J198="","",IF(J198&lt;0.3, "Not Functioning",IF(OR(H198&lt;0.7,H200&lt;0.7,H202&lt;0.7,H224&lt;0.7,H228&lt;0.7),"Functioning At Risk",IF(J198&lt;0.7,"Functioning At Risk","Functioning"))))</f>
        <v/>
      </c>
    </row>
    <row r="199" spans="1:12" ht="15.6" x14ac:dyDescent="0.3">
      <c r="A199" s="541"/>
      <c r="B199" s="371" t="s">
        <v>128</v>
      </c>
      <c r="C199" s="373" t="s">
        <v>161</v>
      </c>
      <c r="D199" s="374"/>
      <c r="E199" s="43"/>
      <c r="F199" s="372" t="str">
        <f>IF(E199="","",IF(E199&gt;=1,1,IF(E199&lt;=0,0,ROUND(E199,2))))</f>
        <v/>
      </c>
      <c r="G199" s="367" t="str">
        <f>IFERROR(AVERAGE(F199:F199),"")</f>
        <v/>
      </c>
      <c r="H199" s="523"/>
      <c r="I199" s="519"/>
      <c r="J199" s="559"/>
      <c r="K199" s="555"/>
    </row>
    <row r="200" spans="1:12" ht="15.6" x14ac:dyDescent="0.3">
      <c r="A200" s="524" t="s">
        <v>6</v>
      </c>
      <c r="B200" s="572" t="s">
        <v>7</v>
      </c>
      <c r="C200" s="54" t="s">
        <v>8</v>
      </c>
      <c r="D200" s="54"/>
      <c r="E200" s="162"/>
      <c r="F200" s="339" t="str">
        <f>IF(E200="","",ROUND(IF(E200&gt;1.6,0,IF(E200&lt;=1,1,E200^2*'Reference Standards'!K$14+E200*'Reference Standards'!K$15+'Reference Standards'!K$16)),2))</f>
        <v/>
      </c>
      <c r="G200" s="579" t="str">
        <f>IFERROR(AVERAGE(F200:F201),"")</f>
        <v/>
      </c>
      <c r="H200" s="579" t="str">
        <f>IFERROR(ROUND(AVERAGE(G200),2),"")</f>
        <v/>
      </c>
      <c r="I200" s="569" t="str">
        <f>IF(H200="","",IF(H200&gt;0.69,"Functioning",IF(H200&gt;0.29,"Functioning At Risk",IF(H200&gt;-1,"Not Functioning"))))</f>
        <v/>
      </c>
      <c r="J200" s="559"/>
      <c r="K200" s="555"/>
    </row>
    <row r="201" spans="1:12" ht="15.6" x14ac:dyDescent="0.3">
      <c r="A201" s="525"/>
      <c r="B201" s="572"/>
      <c r="C201" s="54" t="s">
        <v>9</v>
      </c>
      <c r="D201" s="54"/>
      <c r="E201" s="163"/>
      <c r="F201" s="339" t="str">
        <f>IF(E201="","",(IF(OR('Quantification Tool R3'!B$11="A",'Quantification Tool R3'!B$11="B",'Quantification Tool R3'!$B$11="Bc"),IF(E201&lt;1.2,0,IF(E201&gt;=2.2,1,ROUND(IF(E201&lt;1.4,E201*'Reference Standards'!$K$84+'Reference Standards'!$K$85,E201*'Reference Standards'!$L$84+'Reference Standards'!$L$85),2))),IF(OR('Quantification Tool R3'!B$11="C",'Quantification Tool R3'!B$11="E"),IF(E201&lt;2,0,IF(E201&gt;=5,1,ROUND(IF(E201&lt;2.4,E201*'Reference Standards'!$L$49+'Reference Standards'!$L$50,E201*'Reference Standards'!$K$49+'Reference Standards'!$K$50),2)))))))</f>
        <v/>
      </c>
      <c r="G201" s="581"/>
      <c r="H201" s="580"/>
      <c r="I201" s="570"/>
      <c r="J201" s="559"/>
      <c r="K201" s="555"/>
    </row>
    <row r="202" spans="1:12" ht="15.6" x14ac:dyDescent="0.3">
      <c r="A202" s="526" t="s">
        <v>26</v>
      </c>
      <c r="B202" s="557" t="s">
        <v>27</v>
      </c>
      <c r="C202" s="60" t="s">
        <v>333</v>
      </c>
      <c r="D202" s="244"/>
      <c r="E202" s="61"/>
      <c r="F202" s="340" t="str">
        <f>IF(E202="","",IF(OR(LEFT('Quantification Tool R3'!$B$12,2)="65",LEFT('Quantification Tool R3'!$B$12,2)="66",LEFT('Quantification Tool R3'!$B$12,2)="71"),IF(E202&gt;=850,1,IF(E202&lt;250,ROUND('Reference Standards'!$S$17*(E202)+'Reference Standards'!$S$18,2),ROUND('Reference Standards'!$T$17*E202+'Reference Standards'!$T$18,2))),  IF(E202&gt;=345,1,IF(E202&lt;=180,ROUND('Reference Standards'!$U$17*(E202)+'Reference Standards'!$U$18,2),ROUND('Reference Standards'!$V$17*E202+'Reference Standards'!$V$18,2))))    )</f>
        <v/>
      </c>
      <c r="G202" s="528" t="str">
        <f>IFERROR(AVERAGE(F202:F203),"")</f>
        <v/>
      </c>
      <c r="H202" s="566" t="str">
        <f>IFERROR(ROUND(AVERAGE(G202:G223),2),"")</f>
        <v/>
      </c>
      <c r="I202" s="555" t="str">
        <f>IF(H202="","",IF(H202&gt;0.69,"Functioning",IF(H202&gt;0.29,"Functioning At Risk",IF(H202&gt;-1,"Not Functioning"))))</f>
        <v/>
      </c>
      <c r="J202" s="559"/>
      <c r="K202" s="555"/>
    </row>
    <row r="203" spans="1:12" ht="15.6" x14ac:dyDescent="0.3">
      <c r="A203" s="520"/>
      <c r="B203" s="558"/>
      <c r="C203" s="63" t="s">
        <v>323</v>
      </c>
      <c r="D203" s="245"/>
      <c r="E203" s="53"/>
      <c r="F203" s="341" t="str">
        <f>IF(E203="","",IF(OR(LEFT('Quantification Tool R3'!$B$12,2)="65",LEFT('Quantification Tool R3'!$B$12,2)="66",LEFT('Quantification Tool R3'!$B$12,2)="71"),IF(E203&gt;=30,1,IF(E203&lt;13,ROUND('Reference Standards'!$S$53*(E203)+'Reference Standards'!$S$54,2),ROUND('Reference Standards'!$T$53*E203+'Reference Standards'!$T$54,2))),  IF(E203&gt;=16,1,IF(E203&lt;=9,ROUND('Reference Standards'!$U$53*(E203)+'Reference Standards'!$U$54,2),ROUND('Reference Standards'!$V$53*E203+'Reference Standards'!$V$54,2))))    )</f>
        <v/>
      </c>
      <c r="G203" s="530"/>
      <c r="H203" s="566"/>
      <c r="I203" s="555"/>
      <c r="J203" s="559"/>
      <c r="K203" s="555"/>
    </row>
    <row r="204" spans="1:12" ht="15.6" x14ac:dyDescent="0.3">
      <c r="A204" s="520"/>
      <c r="B204" s="520" t="s">
        <v>395</v>
      </c>
      <c r="C204" s="58" t="s">
        <v>80</v>
      </c>
      <c r="D204" s="58"/>
      <c r="E204" s="165"/>
      <c r="F204" s="340" t="str">
        <f>IF(E204="","",ROUND(IF(E204&gt;0.7,0,IF(E204&lt;=0.1,1,E204^3*'Reference Standards'!S$87+E204^2*'Reference Standards'!S$88+E204*'Reference Standards'!S$89+'Reference Standards'!S$90)),2))</f>
        <v/>
      </c>
      <c r="G204" s="528" t="str">
        <f>IFERROR(ROUND(AVERAGE(F204:F207),2),"")</f>
        <v/>
      </c>
      <c r="H204" s="567"/>
      <c r="I204" s="555"/>
      <c r="J204" s="559"/>
      <c r="K204" s="555"/>
    </row>
    <row r="205" spans="1:12" ht="15.6" x14ac:dyDescent="0.3">
      <c r="A205" s="520"/>
      <c r="B205" s="520"/>
      <c r="C205" s="58" t="s">
        <v>49</v>
      </c>
      <c r="D205" s="58"/>
      <c r="E205" s="165"/>
      <c r="F205" s="84"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529"/>
      <c r="H205" s="567"/>
      <c r="I205" s="555"/>
      <c r="J205" s="559"/>
      <c r="K205" s="555"/>
    </row>
    <row r="206" spans="1:12" ht="15.6" x14ac:dyDescent="0.3">
      <c r="A206" s="520"/>
      <c r="B206" s="520"/>
      <c r="C206" s="58" t="s">
        <v>87</v>
      </c>
      <c r="D206" s="58"/>
      <c r="E206" s="165"/>
      <c r="F206" s="84" t="str">
        <f>IF(E206="","",ROUND(IF(E206&gt;40,0,IF(E206&lt;5,1,E206^3*'Reference Standards'!S$122+E206^2*'Reference Standards'!S$123+E206*'Reference Standards'!S$124+'Reference Standards'!S$125)),2))</f>
        <v/>
      </c>
      <c r="G206" s="529"/>
      <c r="H206" s="567"/>
      <c r="I206" s="555"/>
      <c r="J206" s="559"/>
      <c r="K206" s="555"/>
    </row>
    <row r="207" spans="1:12" ht="15.6" x14ac:dyDescent="0.3">
      <c r="A207" s="520"/>
      <c r="B207" s="521"/>
      <c r="C207" s="59" t="s">
        <v>394</v>
      </c>
      <c r="D207" s="59"/>
      <c r="E207" s="167"/>
      <c r="F207" s="341" t="str">
        <f>IF(E207="","",ROUND(IF(E207&gt;=30,0,IF(E207&lt;=0,1,E207*'Reference Standards'!S$156+'Reference Standards'!S$157)),2))</f>
        <v/>
      </c>
      <c r="G207" s="530"/>
      <c r="H207" s="567"/>
      <c r="I207" s="555"/>
      <c r="J207" s="559"/>
      <c r="K207" s="555"/>
    </row>
    <row r="208" spans="1:12" ht="15.6" x14ac:dyDescent="0.3">
      <c r="A208" s="520"/>
      <c r="B208" s="520" t="s">
        <v>50</v>
      </c>
      <c r="C208" s="60" t="s">
        <v>377</v>
      </c>
      <c r="D208" s="64"/>
      <c r="E208" s="136"/>
      <c r="F208" s="294" t="str">
        <f>IF(E208="","",ROUND(IF(E208&gt;9.2,1,E208*'Reference Standards'!$S$189+'Reference Standards'!$S$190),2))</f>
        <v/>
      </c>
      <c r="G208" s="552" t="str">
        <f>IFERROR(ROUND(AVERAGE(F208:F217),2),"")</f>
        <v/>
      </c>
      <c r="H208" s="567"/>
      <c r="I208" s="555"/>
      <c r="J208" s="559"/>
      <c r="K208" s="555"/>
    </row>
    <row r="209" spans="1:13" ht="15.6" x14ac:dyDescent="0.3">
      <c r="A209" s="520"/>
      <c r="B209" s="520"/>
      <c r="C209" s="62" t="s">
        <v>378</v>
      </c>
      <c r="D209" s="58"/>
      <c r="E209" s="162"/>
      <c r="F209" s="294" t="str">
        <f>IF(E209="","",ROUND(IF(E209&gt;9.2,1,E209*'Reference Standards'!$S$189+'Reference Standards'!$S$190),2))</f>
        <v/>
      </c>
      <c r="G209" s="553"/>
      <c r="H209" s="567"/>
      <c r="I209" s="555"/>
      <c r="J209" s="559"/>
      <c r="K209" s="555"/>
    </row>
    <row r="210" spans="1:13" ht="15.6" x14ac:dyDescent="0.3">
      <c r="A210" s="520"/>
      <c r="B210" s="520"/>
      <c r="C210" s="62" t="s">
        <v>379</v>
      </c>
      <c r="D210" s="58"/>
      <c r="E210" s="162"/>
      <c r="F210" s="294" t="str">
        <f>IF(E210="","",ROUND( IF(E210&gt;=200,1,IF(E210&lt;50, E210^2*'Reference Standards'!S$224+E210*'Reference Standards'!S$225+'Reference Standards'!S$226, E210*'Reference Standards'!T$224+'Reference Standards'!T$225)),2))</f>
        <v/>
      </c>
      <c r="G210" s="553"/>
      <c r="H210" s="567"/>
      <c r="I210" s="555"/>
      <c r="J210" s="559"/>
      <c r="K210" s="555"/>
    </row>
    <row r="211" spans="1:13" ht="15.6" x14ac:dyDescent="0.3">
      <c r="A211" s="520"/>
      <c r="B211" s="520"/>
      <c r="C211" s="62" t="s">
        <v>380</v>
      </c>
      <c r="D211" s="58"/>
      <c r="E211" s="162"/>
      <c r="F211" s="294" t="str">
        <f>IF(E211="","",ROUND( IF(E211&gt;=200,1,IF(E211&lt;50, E211^2*'Reference Standards'!S$224+E211*'Reference Standards'!S$225+'Reference Standards'!S$226, E211*'Reference Standards'!T$224+'Reference Standards'!T$225)),2))</f>
        <v/>
      </c>
      <c r="G211" s="553"/>
      <c r="H211" s="567"/>
      <c r="I211" s="555"/>
      <c r="J211" s="559"/>
      <c r="K211" s="555"/>
    </row>
    <row r="212" spans="1:13" ht="15.6" x14ac:dyDescent="0.3">
      <c r="A212" s="520"/>
      <c r="B212" s="520"/>
      <c r="C212" s="58" t="s">
        <v>381</v>
      </c>
      <c r="D212" s="58"/>
      <c r="E212" s="162"/>
      <c r="F212" s="294" t="str">
        <f>IF(E212="","",ROUND(IF(AND(E212&gt;=135,E212&lt;=262),1,IF(  E212&gt;=366,0.5, IF(E212&lt;135,E212*'Reference Standards'!S$259+'Reference Standards'!S$260, E212*'Reference Standards'!T$259+'Reference Standards'!T$260))),2))</f>
        <v/>
      </c>
      <c r="G212" s="553"/>
      <c r="H212" s="567"/>
      <c r="I212" s="555"/>
      <c r="J212" s="559"/>
      <c r="K212" s="555"/>
    </row>
    <row r="213" spans="1:13" ht="15.6" x14ac:dyDescent="0.3">
      <c r="A213" s="520"/>
      <c r="B213" s="520"/>
      <c r="C213" s="58" t="s">
        <v>382</v>
      </c>
      <c r="D213" s="58"/>
      <c r="E213" s="162"/>
      <c r="F213" s="294" t="str">
        <f>IF(E213="","",ROUND(IF(AND(E213&gt;=135,E213&lt;=262),1,IF(  E213&gt;=366,0.5, IF(E213&lt;135,E213*'Reference Standards'!S$259+'Reference Standards'!S$260, E213*'Reference Standards'!T$259+'Reference Standards'!T$260))),2))</f>
        <v/>
      </c>
      <c r="G213" s="553"/>
      <c r="H213" s="567"/>
      <c r="I213" s="555"/>
      <c r="J213" s="559"/>
      <c r="K213" s="555"/>
    </row>
    <row r="214" spans="1:13" ht="15.6" x14ac:dyDescent="0.3">
      <c r="A214" s="520"/>
      <c r="B214" s="520"/>
      <c r="C214" s="58" t="s">
        <v>383</v>
      </c>
      <c r="D214" s="58"/>
      <c r="E214" s="162"/>
      <c r="F214" s="84" t="str">
        <f>IF(E214="","",ROUND(IF(E214&gt;=75,1,IF(E214&lt;=0,0,E214*'Reference Standards'!S$330)),2))</f>
        <v/>
      </c>
      <c r="G214" s="553"/>
      <c r="H214" s="567"/>
      <c r="I214" s="555"/>
      <c r="J214" s="559"/>
      <c r="K214" s="555"/>
    </row>
    <row r="215" spans="1:13" ht="15.6" x14ac:dyDescent="0.3">
      <c r="A215" s="520"/>
      <c r="B215" s="520"/>
      <c r="C215" s="58" t="s">
        <v>384</v>
      </c>
      <c r="D215" s="58"/>
      <c r="E215" s="162"/>
      <c r="F215" s="84" t="str">
        <f>IF(E215="","",ROUND(IF(E215&gt;=75,1,IF(E215&lt;=0,0,E215*'Reference Standards'!S$330)),2))</f>
        <v/>
      </c>
      <c r="G215" s="553"/>
      <c r="H215" s="567"/>
      <c r="I215" s="555"/>
      <c r="J215" s="559"/>
      <c r="K215" s="555"/>
    </row>
    <row r="216" spans="1:13" ht="15.6" x14ac:dyDescent="0.3">
      <c r="A216" s="520"/>
      <c r="B216" s="520"/>
      <c r="C216" s="58" t="s">
        <v>385</v>
      </c>
      <c r="D216" s="58"/>
      <c r="E216" s="162"/>
      <c r="F216" s="294" t="str">
        <f>IF(E216="","",ROUND(IF(AND(E216&gt;=36.3,E216&lt;=68),1,IF(E216&gt;100,0,IF(E216&lt;36.3,(('Reference Standards'!S$297*(E216^2))+('Reference Standards'!S$298*E216)+'Reference Standards'!S$299),IF(E216&gt;68,(('Reference Standards'!T$297*(E216^2))+('Reference Standards'!T$298*E216)+'Reference Standards'!T$299))))),2))</f>
        <v/>
      </c>
      <c r="G216" s="553"/>
      <c r="H216" s="567"/>
      <c r="I216" s="555"/>
      <c r="J216" s="559"/>
      <c r="K216" s="555"/>
      <c r="M216" s="21"/>
    </row>
    <row r="217" spans="1:13" ht="15.6" x14ac:dyDescent="0.3">
      <c r="A217" s="520"/>
      <c r="B217" s="521"/>
      <c r="C217" s="58" t="s">
        <v>386</v>
      </c>
      <c r="D217" s="65"/>
      <c r="E217" s="162"/>
      <c r="F217" s="294" t="str">
        <f>IF(E217="","",ROUND(IF(AND(E217&gt;=36.3,E217&lt;=68),1,IF(E217&gt;100,0,IF(E217&lt;36.3,(('Reference Standards'!S$297*(E217^2))+('Reference Standards'!S$298*E217)+'Reference Standards'!S$299),IF(E217&gt;68,(('Reference Standards'!T$297*(E217^2))+('Reference Standards'!T$298*E217)+'Reference Standards'!T$299))))),2))</f>
        <v/>
      </c>
      <c r="G217" s="554"/>
      <c r="H217" s="567"/>
      <c r="I217" s="555"/>
      <c r="J217" s="559"/>
      <c r="K217" s="555"/>
    </row>
    <row r="218" spans="1:13" ht="15.6" x14ac:dyDescent="0.3">
      <c r="A218" s="520"/>
      <c r="B218" s="56" t="s">
        <v>108</v>
      </c>
      <c r="C218" s="72" t="s">
        <v>130</v>
      </c>
      <c r="D218" s="58"/>
      <c r="E218" s="43"/>
      <c r="F218" s="82" t="str">
        <f>IF(E218="","",IF(OR('Quantification Tool R3'!B$14="Gravel",'Quantification Tool R3'!B$14="Cobble"),IF(E218&gt;0.1,1,IF(E218&lt;=0.01,0,ROUND(E218*'Reference Standards'!$S$362+'Reference Standards'!$S$363,2)))))</f>
        <v/>
      </c>
      <c r="G218" s="82" t="str">
        <f>IFERROR(AVERAGE(F218),"")</f>
        <v/>
      </c>
      <c r="H218" s="567"/>
      <c r="I218" s="555"/>
      <c r="J218" s="559"/>
      <c r="K218" s="555"/>
    </row>
    <row r="219" spans="1:13" ht="15.6" x14ac:dyDescent="0.3">
      <c r="A219" s="520"/>
      <c r="B219" s="526" t="s">
        <v>51</v>
      </c>
      <c r="C219" s="64" t="s">
        <v>52</v>
      </c>
      <c r="D219" s="64"/>
      <c r="E219" s="166"/>
      <c r="F219" s="337" t="str">
        <f>IF(E219="","",IF(ISNUMBER('Quantification Tool R3'!$B$17),IF('Quantification Tool R3'!$B$17&lt;=2,IF(AND(E219&gt;=3,E219&lt;=5),1,IF(OR(E219&lt;=1,E219&gt;=7),0,ROUND(IF(E219&lt;3,E219*'Reference Standards'!S$398+'Reference Standards'!S$399,E219*'Reference Standards'!T$398+'Reference Standards'!T$399),2))),IF(E219&lt;=2.5,1,IF(E219&gt;=5.8,0,ROUND(E219*'Reference Standards'!S$430+'Reference Standards'!S$431,2))))))</f>
        <v/>
      </c>
      <c r="G219" s="528" t="str">
        <f>IFERROR(AVERAGE(F219:F222),"")</f>
        <v/>
      </c>
      <c r="H219" s="567"/>
      <c r="I219" s="555"/>
      <c r="J219" s="559"/>
      <c r="K219" s="555"/>
    </row>
    <row r="220" spans="1:13" ht="15.6" x14ac:dyDescent="0.3">
      <c r="A220" s="520"/>
      <c r="B220" s="520"/>
      <c r="C220" s="58" t="s">
        <v>53</v>
      </c>
      <c r="D220" s="58"/>
      <c r="E220" s="165"/>
      <c r="F220" s="84" t="str">
        <f>IF(E220="","", IF( E220&gt;=2.4,1, IF(E220&lt;=1,0,  ROUND(IF(E220&lt;2.4, E220*'Reference Standards'!$S$464+'Reference Standards'!$S$465  ),2))))</f>
        <v/>
      </c>
      <c r="G220" s="529"/>
      <c r="H220" s="567"/>
      <c r="I220" s="555"/>
      <c r="J220" s="559"/>
      <c r="K220" s="555"/>
    </row>
    <row r="221" spans="1:13" ht="15.6" x14ac:dyDescent="0.3">
      <c r="A221" s="520"/>
      <c r="B221" s="520"/>
      <c r="C221" s="58" t="s">
        <v>334</v>
      </c>
      <c r="D221" s="58"/>
      <c r="E221" s="165"/>
      <c r="F221" s="390" t="str">
        <f>IF(E221="","", IF(LEFT('Quantification Tool R3'!$B$12,2)="67",  IF( AND(E221&gt;=45,E221&lt;=65),1, IF(OR(E221&lt;=20,E221&gt;=90),0, ROUND(  IF(E221&lt;45, E221*'Reference Standards'!$S$498+'Reference Standards'!$S$499,E221*'Reference Standards'!$T$498+'Reference Standards'!$T$499),2))), IF(OR(  LEFT('Quantification Tool R3'!$B$12,2)="68", LEFT('Quantification Tool R3'!$B$12,2)="69",LEFT('Quantification Tool R3'!$B$12,2)="71"),  IF( AND(E221&gt;=30,E221&lt;=50),1, IF(OR(E221&lt;=10,E221&gt;=70),0, ROUND(  IF(E221&lt;30, E221*'Reference Standards'!$S$533+'Reference Standards'!$S$534,E221*'Reference Standards'!$T$533+'Reference Standards'!$T$534),2))), IF(LEFT('Quantification Tool R3'!$B$12,2)="66",  IF( AND(E221&gt;=20,E221&lt;=45),1, IF(OR(E221&lt;=0,E221&gt;=90),0, ROUND(  IF(E221&lt;20, E221*'Reference Standards'!$S$567+'Reference Standards'!$S$568,E221*'Reference Standards'!$T$567+'Reference Standards'!$T$568),2))), IF(OR(  LEFT('Quantification Tool R3'!$B$12,2)="65", LEFT('Quantification Tool R3'!$B$12,2)="74", LEFT('Quantification Tool R3'!$B$12,2)="73"),  IF( AND(E221&gt;=20,E221&lt;=30),1, IF(OR(E221&lt;=0,E221&gt;=50),0, ROUND(  IF(E221&lt;20, E221*'Reference Standards'!$S$601+'Reference Standards'!$S$602,E221*'Reference Standards'!$T$601+'Reference Standards'!$T$602),2))))))))</f>
        <v/>
      </c>
      <c r="G221" s="529"/>
      <c r="H221" s="567"/>
      <c r="I221" s="555"/>
      <c r="J221" s="559"/>
      <c r="K221" s="555"/>
    </row>
    <row r="222" spans="1:13" ht="15.6" x14ac:dyDescent="0.3">
      <c r="A222" s="520"/>
      <c r="B222" s="521"/>
      <c r="C222" s="62" t="s">
        <v>210</v>
      </c>
      <c r="D222" s="58"/>
      <c r="E222" s="167"/>
      <c r="F222" s="391" t="str">
        <f>IF(E222="","",IF(E222&gt;=1.6,0,IF(E222&lt;=1,1,ROUND('Reference Standards'!$S$633*E222^3+'Reference Standards'!$S$634*E222^2+'Reference Standards'!$S$635*E222+'Reference Standards'!$S$636,2))))</f>
        <v/>
      </c>
      <c r="G222" s="530"/>
      <c r="H222" s="567"/>
      <c r="I222" s="555"/>
      <c r="J222" s="559"/>
      <c r="K222" s="555"/>
    </row>
    <row r="223" spans="1:13" ht="15.6" x14ac:dyDescent="0.3">
      <c r="A223" s="521"/>
      <c r="B223" s="296" t="s">
        <v>55</v>
      </c>
      <c r="C223" s="242" t="s">
        <v>54</v>
      </c>
      <c r="D223" s="243"/>
      <c r="E223" s="163"/>
      <c r="F223" s="342" t="str">
        <f>IF(E223="","",IF(AND('Quantification Tool R3'!B$11="E",'Quantification Tool R3'!$B$14="Sand",'Quantification Tool R3'!$B$21="Unconfined Alluvial"),ROUND(IF(OR(E223&gt;1.8,E223&lt;1.3),0,IF(E223&lt;=1.6,1,E223*'Reference Standards'!S$667+'Reference Standards'!S$668)),2),    IF('Quantification Tool R3'!$B$21="Unconfined Alluvial",ROUND(IF(OR(E223&lt;1.2, E223&gt;1.5),0,IF(E223&lt;=1.4,1,E223*'Reference Standards'!$S$700+'Reference Standards'!$S$701)),2), IF('Quantification Tool R3'!$B$21="Confined Alluvial",ROUND(IF(E223&lt;1.15,0,IF(E223&lt;=1.4,E223*'Reference Standards'!$S$729+'Reference Standards'!$S$730,1)),2),  IF('Quantification Tool R3'!$B$21="Colluvial",ROUND(IF(E223&gt;1.3,0,IF(E223&gt;1.2,E223*'Reference Standards'!$S$760+'Reference Standards'!$S$761,1)),2) )))))</f>
        <v/>
      </c>
      <c r="G223" s="84" t="str">
        <f>IFERROR(AVERAGE(F223),"")</f>
        <v/>
      </c>
      <c r="H223" s="567"/>
      <c r="I223" s="555"/>
      <c r="J223" s="559"/>
      <c r="K223" s="555"/>
      <c r="L223" s="13"/>
    </row>
    <row r="224" spans="1:13" ht="15.6" x14ac:dyDescent="0.3">
      <c r="A224" s="537" t="s">
        <v>58</v>
      </c>
      <c r="B224" s="67" t="s">
        <v>88</v>
      </c>
      <c r="C224" s="70" t="s">
        <v>338</v>
      </c>
      <c r="D224" s="70"/>
      <c r="E224" s="43"/>
      <c r="F224" s="343" t="str">
        <f>IF(E224="","",ROUND(IF(E224&gt;=942,0,IF(E224&lt;=487,E224*'Reference Standards'!AB$15+'Reference Standards'!AB$16,E224*'Reference Standards'!$AC$15+'Reference Standards'!$AC$16)),2))</f>
        <v/>
      </c>
      <c r="G224" s="85" t="str">
        <f>IFERROR(AVERAGE(F224),"")</f>
        <v/>
      </c>
      <c r="H224" s="547" t="str">
        <f>IFERROR(ROUND(AVERAGE(G224:G227),2),"")</f>
        <v/>
      </c>
      <c r="I224" s="534" t="str">
        <f>IF(H224="","",IF(H224&gt;0.69,"Functioning",IF(H224&gt;0.29,"Functioning At Risk",IF(H224&gt;-1,"Not Functioning"))))</f>
        <v/>
      </c>
      <c r="J224" s="559"/>
      <c r="K224" s="555"/>
      <c r="L224" s="13"/>
    </row>
    <row r="225" spans="1:12" ht="15.6" x14ac:dyDescent="0.3">
      <c r="A225" s="538"/>
      <c r="B225" s="297" t="s">
        <v>362</v>
      </c>
      <c r="C225" s="66" t="s">
        <v>354</v>
      </c>
      <c r="D225" s="66"/>
      <c r="E225" s="163"/>
      <c r="F225" s="344" t="str">
        <f>IF(E225="","",IF(OR('Quantification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June")),IF(E225&gt;93,0,IF(E225&lt;13,1,ROUND('Reference Standards'!$AB$53*E225^2+'Reference Standards'!$AB$54*E225+'Reference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R3'!$B$12="73b"),IF(E225&gt;94,0,IF(E225&lt;17,1,ROUND('Reference Standards'!$AC$53*E225^2+'Reference Standards'!$AC$54*E225+'Reference Standards'!$AC$55,2))),    IF(OR(AND(OR('Quantification Tool R3'!$B$12="68b",'Quantification Tool R3'!$B$12="71i"),'Quantification Tool R3'!$B$13&gt;2), 'Quantification Tool R3'!$B$12="71e"),IF(E225&gt;91,0,IF(E225&lt;24,1,ROUND('Reference Standards'!$AD$53*E225^2+'Reference Standards'!$AD$54*E225+'Reference Standards'!$AD$55,2))),  IF(OR(AND(OR('Quantification Tool R3'!$B$12="71f",'Quantification Tool R3'!$B$12="71g",'Quantification Tool R3'!$B$12="71h",'Quantification Tool R3'!$B$12="71i"),'Quantification Tool R3'!$B$13&lt;=2), AND('Quantification Tool R3'!$B$12="74a",'Quantification Tool R3'!$B$13&gt;2)),IF(E225&gt;95,0,IF(E225&lt;=36,1,ROUND('Reference Standards'!$AE$53*E225^2+'Reference Standards'!$AE$54*E225+'Reference Standards'!$AE$55,2))))))))</f>
        <v/>
      </c>
      <c r="G225" s="236" t="str">
        <f>IFERROR(AVERAGE(F225:F225),"")</f>
        <v/>
      </c>
      <c r="H225" s="548"/>
      <c r="I225" s="535"/>
      <c r="J225" s="559"/>
      <c r="K225" s="555"/>
      <c r="L225" s="21"/>
    </row>
    <row r="226" spans="1:12" ht="15.6" x14ac:dyDescent="0.3">
      <c r="A226" s="538"/>
      <c r="B226" s="67" t="s">
        <v>81</v>
      </c>
      <c r="C226" s="68" t="s">
        <v>281</v>
      </c>
      <c r="D226" s="68"/>
      <c r="E226" s="162"/>
      <c r="F226" s="344" t="str">
        <f>IF(E226="","",IF(ISNUMBER('Quantification Tool R3'!$B$13),IF(OR('Quantification Tool R3'!$B$12="66e",'Quantification Tool R3'!$B$12="66f",'Quantification Tool R3'!$B$12="66g"),ROUND(IF(E226&gt;=0.61,0,IF(E226&lt;=0.01,1,IF(E226&lt;=0.06,E226*'Reference Standards'!$AD$197+'Reference Standards'!$AD$198,E226^2*'Reference Standards'!$AB$196+E226*'Reference Standards'!$AB$197+'Reference Standards'!$AB$198))),2),IF('Quantification Tool R3'!$B$12="68b",ROUND(IF(E226&gt;=1.1,0,IF(E226&lt;=0.17,1,IF(E226&lt;=0.22,E226*'Reference Standards'!$AE$197+'Reference Standards'!$AE$198,E226^2*'Reference Standards'!$AC$196+E226*'Reference Standards'!$AC$197+'Reference Standards'!$AC$198))),2),IF('Quantification Tool R3'!$B$13&lt;=2.5,IF('Quantification Tool R3'!$B$12="69de",ROUND(IF(E226&gt;=0.22,0,IF(E226&lt;=0.01,1,E226^2*'Reference Standards'!$AB$90+E226*'Reference Standards'!$AB$91+'Reference Standards'!$AB$92)),2),IF('Quantification Tool R3'!$B$12="68c",ROUND(IF(E226&gt;=0.87,0,IF(E226&lt;=0.01,1,E226^2*'Reference Standards'!$AC$90+E226*'Reference Standards'!$AC$91+'Reference Standards'!$AC$92)),2),IF('Quantification Tool R3'!$B$12="68a",ROUND(IF(E226&gt;=0.81,0,IF(E226&lt;=0.01,1,E226^2*'Reference Standards'!$AD$90+E226*'Reference Standards'!$AD$91+'Reference Standards'!$AD$92)),2),IF('Quantification Tool R3'!$B$12="65abei",ROUND(IF(E226&gt;=0.67,0,IF(E226&lt;=0.01,1,IF(E226&lt;=0.18,E226*'Reference Standards'!$AG$91+'Reference Standards'!$AG$92,E226*'Reference Standards'!$AE$91+'Reference Standards'!$AE$92))),2),IF('Quantification Tool R3'!$B$12="65j",ROUND(IF(E226&gt;=0.32,0,IF(E226&lt;=0.01,1,IF(E226&lt;=0.25,E226*'Reference Standards'!$AH$91+'Reference Standards'!$AH$92,E226*'Reference Standards'!$AF$91+'Reference Standards'!$AF$92))),2),IF('Quantification Tool R3'!$B$12="71f",ROUND(IF(E226&gt;=3,0,IF(E226&lt;=0,1,IF(E226&lt;=0.01,0.7,E226^2*'Reference Standards'!$AB$126+E226*'Reference Standards'!$AB$127+'Reference Standards'!$AB$128))),2),IF('Quantification Tool R3'!$B$12="74a",ROUND(IF(E226&gt;=0.14,0,IF(E226&lt;=0.01,1,IF(E226&lt;=0.02,0.7,E226^2*'Reference Standards'!$AC$126+E226*'Reference Standards'!$AC$127+'Reference Standards'!$AC$128))),2),IF(OR('Quantification Tool R3'!$B$12="67fhi",'Quantification Tool R3'!$B$12="67g"),ROUND(IF(E226&gt;=1.9,0,IF(E226&lt;=0.01,1,IF(E226&lt;=0.05,E226*'Reference Standards'!$AF$127+'Reference Standards'!$AF$128,E226^2*'Reference Standards'!$AD$126+E226*'Reference Standards'!$AD$127+'Reference Standards'!$AD$128))),2),IF('Quantification Tool R3'!$B$12="73a",ROUND(IF(E226&gt;=1.44,0,IF(E226&lt;=0.01,1,IF(E226&lt;=0.12,E226*'Reference Standards'!$AG$127+'Reference Standards'!$AG$128,E226^2*'Reference Standards'!$AE$126+E226*'Reference Standards'!$AE$127+'Reference Standards'!$AE$128))),2),IF('Quantification Tool R3'!$B$12="66d",ROUND(IF(E226&gt;=0.46,0,IF(E226&lt;=0.02,1,IF(E226&lt;=0.08,E226*'Reference Standards'!$AF$163+'Reference Standards'!$AF$164,E226^2*'Reference Standards'!$AB$162+E226*'Reference Standards'!$AB$163+'Reference Standards'!$AB$164))),2),IF(OR('Quantification Tool R3'!$B$12="71g",'Quantification Tool R3'!$B$12="71h",'Quantification Tool R3'!$B$12="71i"),ROUND(IF(E226&gt;=3,0,IF(E226&lt;=0.06,1,IF(E226&lt;=0.24,E226*'Reference Standards'!$AG$163+'Reference Standards'!$AG$164,E226^2*'Reference Standards'!$AC$162+E226*'Reference Standards'!$AC$163+'Reference Standards'!$AC$164))),2),IF('Quantification Tool R3'!$B$12="74b",ROUND(IF(E226&gt;=1.3,0,IF(E226&lt;=0.29,1,IF(E226&lt;=0.48,E226*'Reference Standards'!$AH$163+'Reference Standards'!$AH$164,E226^2*'Reference Standards'!$AD$162+E226*'Reference Standards'!$AD$163+'Reference Standards'!$AD$164))),2),IF('Quantification Tool R3'!$B$12="71e",ROUND(IF(E226&gt;=4.3,0,IF(E226&lt;=0.53,1,IF(E226&lt;=0.67,E226*'Reference Standards'!$AI$163+'Reference Standards'!$AI$164,E226^2*'Reference Standards'!$AE$162+E226*'Reference Standards'!$AE$163+'Reference Standards'!$AE$164))),2)))))))))))))),IF('Quantification Tool R3'!$B$13&gt;2.5,IF('Quantification Tool R3'!$B$12="73a",ROUND(IF(E226&gt;=0.55,0,IF(E226&lt;=0,1,E226^2*'Reference Standards'!$AB$232+E226*'Reference Standards'!$AB$233+'Reference Standards'!$AB$234)),2),IF('Quantification Tool R3'!$B$12="68a",ROUND(IF(E226&gt;=0.54,0,IF(E226&lt;=0,1,IF(E226&lt;=0.01,0.85,E226^2*'Reference Standards'!$AC$232+E226*'Reference Standards'!$AC$233+'Reference Standards'!$AC$234))),2),IF('Quantification Tool R3'!$B$12="74a",ROUND(IF(E226&gt;=0.47,0,IF(E226&lt;=0.01,1,IF(E226&lt;=0.02,0.7,E226^2*'Reference Standards'!$AD$232+E226*'Reference Standards'!$AD$233+'Reference Standards'!$AD$234))),2),IF('Quantification Tool R3'!$B$12="69de",ROUND(IF(E226&gt;=0.26,0,IF(E226&lt;=0.01,1,IF(E226&lt;=0.02,0.85,E226^2*'Reference Standards'!$AE$232+E226*'Reference Standards'!$AE$233+'Reference Standards'!$AE$234))),2),IF('Quantification Tool R3'!$B$12="71f",ROUND(IF(E226&gt;=0.87,0,IF(E226&lt;=0.01,1,IF(E226&lt;=0.04,E226*'Reference Standards'!$AF$269+'Reference Standards'!$AF$270,E226^2*'Reference Standards'!$AB$268+E226*'Reference Standards'!$AB$269+'Reference Standards'!$AB$270))),2),IF('Quantification Tool R3'!$B$12="65abei",ROUND(IF(E226&gt;=0.82,0,IF(E226&lt;=0.01,1,IF(E226&lt;=0.06,E226*'Reference Standards'!$AG$269+'Reference Standards'!$AG$270,E226^2*'Reference Standards'!$AC$268+E226*'Reference Standards'!$AC$269+'Reference Standards'!$AC$270))),2),IF('Quantification Tool R3'!$B$12="65j",ROUND(IF(E226&gt;=0.33,0,IF(E226&lt;=0.03,1,IF(E226&lt;=0.09,E226*'Reference Standards'!$AH$269+'Reference Standards'!$AH$270,E226^2*'Reference Standards'!$AD$268+E226*'Reference Standards'!$AD$269+'Reference Standards'!$AD$270))),2),IF('Quantification Tool R3'!$B$12="68c",ROUND(IF(E226&gt;=0.7,0,IF(E226&lt;=0.07,1,IF(E226&lt;=0.12,E226*'Reference Standards'!$AI$269+'Reference Standards'!$AI$270,E226^2*'Reference Standards'!$AE$268+E226*'Reference Standards'!$AE$269+'Reference Standards'!$AE$270))),2),IF(OR('Quantification Tool R3'!$B$12="67fhi",'Quantification Tool R3'!$B$12="67g"),ROUND(IF(E226&gt;=1.8,0,IF(E226&lt;=0.08,1,IF(E226&lt;=0.2,E226*'Reference Standards'!$AF$306+'Reference Standards'!$AF$307,E226^2*'Reference Standards'!$AB$305+E226*'Reference Standards'!$AB$306+'Reference Standards'!$AB$307))),2),IF('Quantification Tool R3'!$B$12="74b",ROUND(IF(E226&gt;=0.96,0,IF(E226&lt;=0.12,1,IF(E226&lt;=0.16,E226*'Reference Standards'!$AG$306+'Reference Standards'!$AG$307,E226^2*'Reference Standards'!$AC$305+E226*'Reference Standards'!$AC$306+'Reference Standards'!$AC$307))),2),IF('Quantification Tool R3'!$B$12="66d",ROUND(IF(E226&gt;=0.75,0,IF(E226&lt;=0.13,1,IF(E226&lt;=0.2,E226*'Reference Standards'!$AH$306+'Reference Standards'!$AH$307,E226^2*'Reference Standards'!$AD$305+E226*'Reference Standards'!$AD$306+'Reference Standards'!$AD$307))),2),IF(OR('Quantification Tool R3'!$B$12="71g",'Quantification Tool R3'!$B$12="71h",'Quantification Tool R3'!$B$12="71i"),ROUND(IF(E226&gt;=1.68,0,IF(E226&lt;=0.08,1,IF(E226&lt;=0.23,E226*'Reference Standards'!$AI$306+'Reference Standards'!$AI$307,E226^2*'Reference Standards'!$AE$305+E226*'Reference Standards'!$AE$306+'Reference Standards'!$AE$307))),2),IF('Quantification Tool R3'!$B$12="71e",ROUND(IF(E226&gt;=5.3,0,IF(E226&lt;=0.94,1,IF(E226&lt;=1.4,E226*'Reference Standards'!$AF$310+'Reference Standards'!$AF$311,E226^2*'Reference Standards'!$AB$309+E226*'Reference Standards'!$AB$310+'Reference Standards'!$AB$311))),2))))))))))))))))))))</f>
        <v/>
      </c>
      <c r="G226" s="86" t="str">
        <f>IFERROR(AVERAGE(F226),"")</f>
        <v/>
      </c>
      <c r="H226" s="548"/>
      <c r="I226" s="535"/>
      <c r="J226" s="559"/>
      <c r="K226" s="555"/>
      <c r="L226" s="21"/>
    </row>
    <row r="227" spans="1:12" ht="15.6" x14ac:dyDescent="0.3">
      <c r="A227" s="539"/>
      <c r="B227" s="298" t="s">
        <v>82</v>
      </c>
      <c r="C227" s="66" t="s">
        <v>280</v>
      </c>
      <c r="D227" s="66"/>
      <c r="E227" s="136"/>
      <c r="F227" s="343" t="str">
        <f>IF(E227="","",IF(ISNUMBER('Quantification Tool R3'!$B$13),IF('Quantification Tool R3'!$B$13&gt;2.5,IF(OR('Quantification Tool R3'!$B$12="71h",'Quantification Tool R3'!$B$12="71i",'Quantification Tool R3'!$B$12="73a",'Quantification Tool R3'!$B$12="74a"),IF(E227&lt;=0.01,1,IF(OR('Quantification Tool R3'!$B$12="71h",'Quantification Tool R3'!$B$12="71i"),IF(E227&gt;0.37,0,ROUND(IF(E227&gt;0.03,'Reference Standards'!$AB$425*E227^2+'Reference Standards'!$AB$426*E227+'Reference Standards'!$AB$427,'Reference Standards'!$AF$426*E227+'Reference Standards'!$AF$427),2)),IF('Quantification Tool R3'!$B$12="73a",IF(E227&gt;0.405,0,ROUND(IF(E227&gt;0.046,'Reference Standards'!$AC$425*E227^2+'Reference Standards'!$AC$426*E227+'Reference Standards'!$AC$427,'Reference Standards'!$AG$426*E227+'Reference Standards'!$AG$427),2)),IF('Quantification Tool R3'!$B$12="74a",IF(E227&gt;0.3,0,ROUND(IF(E227&gt;0.052,'Reference Standards'!$AD$425*E227^2+'Reference Standards'!$AD$426*E227+'Reference Standards'!$AD$427,'Reference Standards'!$AH$426*E227+'Reference Standards'!$AH$427),2)))))),IF(E227&lt;=0.002,1,IF(OR('Quantification Tool R3'!$B$12="66d",'Quantification Tool R3'!$B$12="66e",'Quantification Tool R3'!$B$12="66g"),IF(E227&gt;0.053,0,ROUND(E227^2*'Reference Standards'!$AB$347+E227*'Reference Standards'!$AB$348+'Reference Standards'!$AB$349,2)),IF('Quantification Tool R3'!$B$12="68b",IF(E227&gt;0.05,0,ROUND(E227^2*'Reference Standards'!$AC$347+E227*'Reference Standards'!$AC$348+'Reference Standards'!$AC$349,2)),IF(OR('Quantification Tool R3'!$B$12="68a",'Quantification Tool R3'!$B$12="68c"),IF(E227&gt;0.07,0,ROUND(E227^2*'Reference Standards'!$AD$347+E227*'Reference Standards'!$AD$348+'Reference Standards'!$AD$349,2)),IF(OR('Quantification Tool R3'!$B$12="71f",'Quantification Tool R3'!$B$12="71g"),IF(E227&gt;0.13,0,ROUND(IF(E227&gt;0.042,E227*'Reference Standards'!$AE$348+'Reference Standards'!$AE$349,E227*'Reference Standards'!$AF$348+'Reference Standards'!$AF$349),2)),IF('Quantification Tool R3'!$B$12="67fhi",IF(E227&gt;0.16,0,ROUND(E227^2*'Reference Standards'!$AG$347+E227*'Reference Standards'!$AG$348+'Reference Standards'!$AG$349,2)),IF('Quantification Tool R3'!$B$12="65j",IF(E227&gt;0.035,0,ROUND(IF(E227&lt;=0.003,0.7,E227^2*'Reference Standards'!$AB$387+E227*'Reference Standards'!$AB$388+'Reference Standards'!$AB$389),2)),IF('Quantification Tool R3'!$B$12="69de",IF(E227&gt;0.037,0,ROUND(IF(E227&lt;=0.003,0.7,E227^2*'Reference Standards'!$AC$387+E227*'Reference Standards'!$AC$388+'Reference Standards'!$AC$389),2)),IF('Quantification Tool R3'!$B$12="71e",IF(E227&gt;0.23,0,ROUND(IF(E227&lt;=0.003,0.7,E227^2*'Reference Standards'!$AD$387+E227*'Reference Standards'!$AD$388+'Reference Standards'!$AD$389),2)),IF('Quantification Tool R3'!$B$12="66f",IF(E227&gt;0.06,0,ROUND(IF(E227&lt;=0.003,0.85,IF(E227&lt;=0.004,0.7,E227^2*'Reference Standards'!$AE$387+E227*'Reference Standards'!$AE$388+'Reference Standards'!$AE$389)),2)),IF('Quantification Tool R3'!$B$12="67g",IF(E227&gt;0.11,0,ROUND(IF(E227&lt;=0.01,E227*'Reference Standards'!$AH$388+'Reference Standards'!$AH$389,E227^2*'Reference Standards'!$AF$387+E227*'Reference Standards'!$AF$388+'Reference Standards'!$AF$389),2)),IF('Quantification Tool R3'!$B$12="74b",IF(E227&gt;0.49,0,ROUND(IF(E227&lt;=0.01,E227*'Reference Standards'!$AH$388+'Reference Standards'!$AH$389,E227^2*'Reference Standards'!$AG$387+E227*'Reference Standards'!$AG$388+'Reference Standards'!$AG$389),2)),IF('Quantification Tool R3'!$B$12="65abei",IF(E227&gt;0.199,0,ROUND(IF(E227&lt;=0.01,E227*'Reference Standards'!$AI$426+'Reference Standards'!$AI$427,E227^2*'Reference Standards'!$AE$425+E227*'Reference Standards'!$AE$426+'Reference Standards'!$AE$427),2)))))))))))))))),IF('Quantification Tool R3'!$B$13&lt;=2.5,IF(OR('Quantification Tool R3'!$B$12="66d",'Quantification Tool R3'!$B$12="66e",'Quantification Tool R3'!$B$12="66g"),IF(E227&gt;0.05,0,ROUND(IF(E227&lt;=0.002,1,IF(E227&lt;=0.005,E227*'Reference Standards'!$AF$464+'Reference Standards'!$AF$465,E227^2*'Reference Standards'!$AB$463+E227*'Reference Standards'!$AB$464+'Reference Standards'!$AB$465)),2)),IF('Quantification Tool R3'!$B$12="67fhi",IF(E227&gt;0.1,0,ROUND(IF(E227&lt;=0.002,1,IF(E227&lt;=0.006,E227*'Reference Standards'!$AG$464+'Reference Standards'!$AG$465,E227^2*'Reference Standards'!$AC$463+E227*'Reference Standards'!$AC$464+'Reference Standards'!$AC$465)),2)),IF('Quantification Tool R3'!$B$12="65abei",IF(E227&gt;0.13,0,ROUND(IF(E227&lt;=0.003,1,IF(E227&lt;=0.008,E227*'Reference Standards'!$AH$464+'Reference Standards'!$AH$465,E227^2*'Reference Standards'!$AD$463+E227*'Reference Standards'!$AD$464+'Reference Standards'!$AD$465)),2)),IF('Quantification Tool R3'!$B$12="68b",IF(E227&gt;0.043,0,ROUND(IF(E227&lt;=0.004,1,IF(E227&lt;=0.005,0.7,E227^2*'Reference Standards'!$AE$463+E227*'Reference Standards'!$AE$464+'Reference Standards'!$AE$465)),2)),IF('Quantification Tool R3'!$B$12="69de",IF(E227&gt;=0.034,0,ROUND(IF(E227&lt;=0.003,1,IF(E227&lt;=0.006,E227*'Reference Standards'!$AG$500+'Reference Standards'!$AG$501,E227*'Reference Standards'!$AB$500+'Reference Standards'!$AB$501)),2)),IF(OR('Quantification Tool R3'!$B$12="68a",'Quantification Tool R3'!$B$12="68c"),IF(E227&gt;0.202,0,ROUND(IF(E227&lt;=0.003,1,IF(E227&lt;=0.006,E227*'Reference Standards'!$AG$500+'Reference Standards'!$AG$501,IF(E227&gt;=0.04,E227*'Reference Standards'!$AC$500+'Reference Standards'!$AC$501,E227*'Reference Standards'!$AE$500+'Reference Standards'!$AE$501))),2)),IF(OR('Quantification Tool R3'!$B$12="71f",'Quantification Tool R3'!$B$12="71g"),IF(E227&gt;0.631,0,ROUND(IF(E227&lt;=0.003,1,IF(E227&lt;=0.006,E227*'Reference Standards'!$AG$500+'Reference Standards'!$AG$501,IF(E227&gt;=0.17,E227*'Reference Standards'!$AD$500+'Reference Standards'!$AD$501,E227*'Reference Standards'!$AF$500+'Reference Standards'!$AF$501))),2)),IF('Quantification Tool R3'!$B$12="71e",IF(E227&gt;1.23,0,ROUND(IF(E227&lt;=0.004,1,IF(E227&lt;=0.006,E227*'Reference Standards'!$AF$538+'Reference Standards'!$AF$539,E227^2*'Reference Standards'!$AB$537+E227*'Reference Standards'!$AB$538+'Reference Standards'!$AB$539)),2)),IF('Quantification Tool R3'!$B$12="67g",IF(E227&gt;0.11,0,ROUND(IF(E227&lt;=0.006,1,IF(E227&lt;=0.011,E227*'Reference Standards'!$AG$538+'Reference Standards'!$AG$539,E227^2*'Reference Standards'!$AC$537+E227*'Reference Standards'!$AC$538+'Reference Standards'!$AC$539)),2)),IF('Quantification Tool R3'!$B$12="65j",IF(E227&gt;0.046,0,ROUND(IF(E227&lt;=0.007,1,IF(E227&lt;=0.012,E227*'Reference Standards'!$AH$538+'Reference Standards'!$AH$539,E227^2*'Reference Standards'!$AD$537+E227*'Reference Standards'!$AD$538+'Reference Standards'!$AD$539)),2)),IF('Quantification Tool R3'!$B$12="66f",IF(E227&gt;0.081,0,ROUND(IF(E227&lt;=0.008,1,IF(E227&lt;=0.011,E227*'Reference Standards'!$AI$538+'Reference Standards'!$AI$539,E227^2*'Reference Standards'!$AE$537+E227*'Reference Standards'!$AE$538+'Reference Standards'!$AE$539)),2)),IF(OR('Quantification Tool R3'!$B$12="71h",'Quantification Tool R3'!$B$12="71i"),IF(E227&gt;0.37,0,ROUND(IF(E227&lt;=0.013,1,IF(E227&lt;=0.032,E227*'Reference Standards'!$AH$576+'Reference Standards'!$AH$577,IF(E227&lt;=0.3,E227*'Reference Standards'!$AF$576+'Reference Standards'!$AF$577,E227*'Reference Standards'!$AB$576+'Reference Standards'!$AB$577))),2)),IF('Quantification Tool R3'!$B$12="73a",IF(E227&gt;0.448,0,ROUND(IF(E227&lt;=0.071,1,IF(E227&lt;=0.086,E227*'Reference Standards'!$AJ$576+'Reference Standards'!$AJ$577,IF(E227&lt;=0.165,E227*'Reference Standards'!$AG$576+'Reference Standards'!$AG$577,E227*'Reference Standards'!$AE$576+'Reference Standards'!$AE$577))),2)),IF('Quantification Tool R3'!$B$12="74b",IF(E227&gt;0.43,0,ROUND(IF(E227&lt;=0.018,1,IF(E227&lt;=0.019,0.85,IF(E227&lt;=0.02,0.7,E227^2*'Reference Standards'!$AC$575+E227*'Reference Standards'!$AC$576+'Reference Standards'!$AC$577))),2)),IF('Quantification Tool R3'!$B$12="74a",IF(E227&gt;0.217,0,ROUND(IF(E227&lt;=0.02,1,IF(E227&lt;=0.033,E227*'Reference Standards'!$AI$576+'Reference Standards'!$AI$577,E227^2*'Reference Standards'!$AD$575+E227*'Reference Standards'!$AD$576+'Reference Standards'!$AD$577)),2)))))))))))))))))))))</f>
        <v/>
      </c>
      <c r="G227" s="87" t="str">
        <f>IFERROR(AVERAGE(F227),"")</f>
        <v/>
      </c>
      <c r="H227" s="549"/>
      <c r="I227" s="536"/>
      <c r="J227" s="559"/>
      <c r="K227" s="555"/>
      <c r="L227" s="21"/>
    </row>
    <row r="228" spans="1:12" ht="15.6" x14ac:dyDescent="0.3">
      <c r="A228" s="550" t="s">
        <v>59</v>
      </c>
      <c r="B228" s="560" t="s">
        <v>340</v>
      </c>
      <c r="C228" s="125" t="s">
        <v>331</v>
      </c>
      <c r="D228" s="126"/>
      <c r="E228" s="166"/>
      <c r="F228" s="345" t="str">
        <f>IF(E228="","",IF(OR('Quantification Tool R3'!B$12="73a",'Quantification Tool R3'!B$12="73b"),IF(E228&lt;1,0,IF(E228&gt;=30,1,ROUND(IF(E228&lt;22,'Reference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531" t="str">
        <f>IFERROR(AVERAGE(F228:F231),"")</f>
        <v/>
      </c>
      <c r="H228" s="568" t="str">
        <f>IFERROR(ROUND(AVERAGE(G228:G233),2),"")</f>
        <v/>
      </c>
      <c r="I228" s="519" t="str">
        <f>IF(H228="","",IF(H228&gt;0.69,"Functioning",IF(H228&gt;0.29,"Functioning At Risk",IF(H228&gt;-1,"Not Functioning"))))</f>
        <v/>
      </c>
      <c r="J228" s="559"/>
      <c r="K228" s="555"/>
      <c r="L228" s="21"/>
    </row>
    <row r="229" spans="1:12" ht="15.6" x14ac:dyDescent="0.3">
      <c r="A229" s="556"/>
      <c r="B229" s="561"/>
      <c r="C229" s="174" t="s">
        <v>335</v>
      </c>
      <c r="D229" s="175"/>
      <c r="E229" s="165"/>
      <c r="F229" s="346" t="str">
        <f>IF(E229="","",IF(AND('Quantification Tool R3'!$B$12="74b",'Quantification Tool R3'!$B$13&lt;=2),IF(E229&lt;0,0,IF(E229&gt;15.6,0.69,ROUND('Reference Standards'!$AL$54*E229^2+'Reference Standards'!$AL$55*E229+'Reference Standards'!$AL$56,2))),IF(AND('Quantification Tool R3'!$B$12="65abei",'Quantification Tool R3'!$B$13&lt;=2),IF(E229&lt;0,0,IF(E229&gt;=20,0.69,ROUND('Reference Standards'!$AM$54*E229^2+'Reference Standards'!$AM$55*E229+'Reference Standards'!$AM$56,2))),IF(OR(AND('Quantification Tool R3'!$B$12="74a",'Quantification Tool R3'!$B$13&gt;2,'Quantification Tool R3'!$B$19="January - June"),AND('Quantification Tool R3'!$B$12="71i",'Quantification Tool R3'!$B$13&gt;2,'Quantification Tool R3'!$B$20="SQBANK")),IF(E229&lt;0,0,IF(E229&gt;24.7,0.69,ROUND('Reference Standards'!$AN$54*E229^2+'Reference Standards'!$AN$55*E229+'Reference Standards'!$AN$56,2))),IF(OR('Quantification Tool R3'!$B$12="74b",'Quantification Tool R3'!$B$12="65abei"),IF(E229&lt;0,0,IF(E229&gt;32.7,0.69,ROUND('Reference Standards'!$AO$54*E229^2+'Reference Standards'!$AO$55*E229+'Reference Standards'!$AO$56,2))),IF(AND('Quantification Tool R3'!$B$12="68b",'Quantification Tool R3'!$B$13&gt;2),IF(E229&lt;0,0,IF(E229&gt;41.2,0.69,ROUND('Reference Standards'!$AP$54*E229^2+'Reference Standards'!$AP$55*E229+'Reference Standards'!$AP$56,2))),IF(OR(AND('Quantification Tool R3'!$B$12="71i",'Quantification Tool R3'!$B$13&lt;=2),AND(OR('Quantification Tool R3'!$B$12="68c",'Quantification Tool R3'!$B$12="68d"),'Quantification Tool R3'!$B$19="January - June")),IF(E229&lt;0,0,IF(E229&gt;49.2,0.69,ROUND('Reference Standards'!$AL$94*E229^2+'Reference Standards'!$AL$95*E229+'Reference Standards'!$AL$96,2))),IF(OR(AND('Quantification Tool R3'!$B$12="68a",'Quantification Tool R3'!$B$19="January - June"),AND(OR('Quantification Tool R3'!$B$12="68c",'Quantification Tool R3'!$B$12="68d"),'Quantification Tool R3'!$B$19="July - December")),IF(E229&lt;0,0,IF(E229&gt;53.4,0.69,ROUND('Reference Standards'!$AM$94*E229^2+'Reference Standards'!$AM$95*E229+'Reference Standards'!$AM$96,2))),IF(OR(AND('Quantification Tool R3'!$B$12="71i",'Quantification Tool R3'!$B$13&gt;2,'Quantification Tool R3'!$B$20="SQKICK"),AND(OR('Quantification Tool R3'!$B$12="67fhi",'Quantification Tool R3'!$B$12="67g"),'Quantification Tool R3'!$B$13&lt;=2),'Quantification Tool R3'!$B$12="65j"),IF(E229&lt;0,0,IF(E229&gt;57.8,0.69,ROUND('Reference Standards'!$AN$94*E229^2+'Reference Standards'!$AN$95*E229+'Reference Standards'!$AN$96,2))),IF(OR(AND('Quantification Tool R3'!$B$12="74a",'Quantification Tool R3'!$B$13&gt;2,'Quantification Tool R3'!$B$19="July - December"),AND(OR('Quantification Tool R3'!$B$12="67fhi",'Quantification Tool R3'!$B$12="67g"),'Quantification Tool R3'!$B$13&gt;2),'Quantification Tool R3'!$B$12="69de"),IF(E229&lt;0,0,IF(E229&gt;62.5,0.69,ROUND('Reference Standards'!$AO$94*E229^2+'Reference Standards'!$AO$95*E229+'Reference Standards'!$AO$96,2))),  IF(OR('Quantification Tool R3'!$B$12="66d",'Quantification Tool R3'!$B$12="66e",'Quantification Tool R3'!$B$12="66ik",'Quantification Tool R3'!$B$12="71e",'Quantification Tool R3'!$B$12="71f",'Quantification Tool R3'!$B$12="71g",'Quantification Tool R3'!$B$12="71h"),IF(E229&lt;0,0,IF(E229&gt;66.5,0.69,ROUND('Reference Standards'!$AP$94*E229^2+'Reference Standards'!$AP$95*E229+'Reference Standards'!$AP$96,2))),IF(OR('Quantification Tool R3'!$B$12="66f",'Quantification Tool R3'!$B$12="66g",'Quantification Tool R3'!$B$12="66j",AND('Quantification Tool R3'!$B$12="68a",'Quantification Tool R3'!$B$19="July - December")), IF(E229&lt;0,0,IF(E229&gt;69,0.69,ROUND('Reference Standards'!$AQ$94*E229^2+'Reference Standards'!$AQ$95*E229+'Reference Standards'!$AQ$96,2))))   )))))))))))</f>
        <v/>
      </c>
      <c r="G229" s="531"/>
      <c r="H229" s="568"/>
      <c r="I229" s="519"/>
      <c r="J229" s="559"/>
      <c r="K229" s="555"/>
      <c r="L229" s="21"/>
    </row>
    <row r="230" spans="1:12" ht="15.6" x14ac:dyDescent="0.3">
      <c r="A230" s="556"/>
      <c r="B230" s="561"/>
      <c r="C230" s="174" t="s">
        <v>339</v>
      </c>
      <c r="D230" s="175"/>
      <c r="E230" s="165"/>
      <c r="F230" s="346" t="str">
        <f>IF(E230="","",IF(AND('Quantification Tool R3'!$B$12="74b",'Quantification Tool R3'!$B$13&lt;=2),IF(E230&lt;0,0,IF(E230&gt;8.1,0.69,ROUND('Reference Standards'!$AL$131*E230^2+'Reference Standards'!$AL$132*E230+'Reference Standards'!$AL$133,2))),IF(OR('Quantification Tool R3'!$B$12="73a",'Quantification Tool R3'!$B$12="73b"),IF(E230&lt;0,0,IF(E230&gt;=28,0.69,ROUND('Reference Standards'!$AM$131*E230^2+'Reference Standards'!$AM$132*E230+'Reference Standards'!$AM$133,2))),IF(AND('Quantification Tool R3'!$B$12="74a",'Quantification Tool R3'!$B$13&gt;2,'Quantification Tool R3'!$B$19="January - June"),IF(E230&lt;0,0,IF(E230&gt;=32.5,0.69,ROUND('Reference Standards'!$AN$131*E230^2+'Reference Standards'!$AN$132*E230+'Reference Standards'!$AN$133,2))),IF(AND('Quantification Tool R3'!$B$12="71i",'Quantification Tool R3'!$B$13&gt;2,'Quantification Tool R3'!$B$20="SQBANK"),IF(E230&lt;0,0,IF(E230&gt;=37,0.69,ROUND('Reference Standards'!$AO$131*E230^2+'Reference Standards'!$AO$132*E230+'Reference Standards'!$AO$133,2))),IF(OR(AND(OR('Quantification Tool R3'!$B$12="65abei",'Quantification Tool R3'!$B$12="74b"),'Quantification Tool R3'!$B$13&gt;2),AND('Quantification Tool R3'!$B$12="71i",'Quantification Tool R3'!$B$13&gt;2,'Quantification Tool R3'!$B$20="SQKICK")),IF(E230&lt;0,0,IF(E230&gt;42.6,0.69,ROUND('Reference Standards'!$AP$131*E230^2+'Reference Standards'!$AP$132*E230+'Reference Standards'!$AP$133,2))),     IF(OR(AND('Quantification Tool R3'!$B$12="65abei",'Quantification Tool R3'!$B$13&lt;=2),AND(OR('Quantification Tool R3'!$B$12="68c",'Quantification Tool R3'!$B$12="68d"),'Quantification Tool R3'!$B$19="July - December"),'Quantification Tool R3'!$B$12="71e"),IF(E230&lt;0,0,IF(E230&gt;=48,0.69,ROUND('Reference Standards'!$AL$171*E230^2+'Reference Standards'!$AL$172*E230+'Reference Standards'!$AL$173,2))),IF(OR('Quantification Tool R3'!$B$12="65j",'Quantification Tool R3'!$B$12="67fhi",'Quantification Tool R3'!$B$12="67g",AND('Quantification Tool R3'!$B$12="74a",'Quantification Tool R3'!$B$19="July - December",'Quantification Tool R3'!$B$13&gt;2),AND('Quantification Tool R3'!$B$12="71i",'Quantification Tool R3'!$B$13&lt;=2)),IF(E230&lt;0,0,IF(E230&gt;=53,0.69,ROUND('Reference Standards'!$AM$171*E230^2+'Reference Standards'!$AM$172*E230+'Reference Standards'!$AM$173,2))),IF(OR(AND(OR('Quantification Tool R3'!$B$12="68b",'Quantification Tool R3'!$B$12="71f",'Quantification Tool R3'!$B$12="71g",'Quantification Tool R3'!$B$12="71h"),'Quantification Tool R3'!$B$13&gt;2),'Quantification Tool R3'!$B$12="68a"),IF(E230&lt;0,0,IF(E230&gt;=57,0.69,ROUND('Reference Standards'!$AN$171*E230^2+'Reference Standards'!$AN$172*E230+'Reference Standards'!$AN$173,2))),IF(OR('Quantification Tool R3'!$B$12="66f",'Quantification Tool R3'!$B$12="66g",'Quantification Tool R3'!$B$12="66j",AND(OR('Quantification Tool R3'!$B$12="71f",'Quantification Tool R3'!$B$12="71g",'Quantification Tool R3'!$B$12="71h"),'Quantification Tool R3'!$B$13&lt;=2)),IF(E230&lt;0,0,IF(E230&gt;=60,0.69,ROUND('Reference Standards'!$AO$171*E230^2+'Reference Standards'!$AO$172*E230+'Reference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December")),IF(E230&lt;0,0,IF(E230&gt;=67.5,0.69,ROUND('Reference Standards'!$AP$171*E230^2+'Reference Standards'!$AP$172*E230+'Reference Standards'!$AP$173,2))),IF(AND('Quantification Tool R3'!$B$12="69de",'Quantification Tool R3'!$B$19="January - June"), IF(E230&lt;0,0,IF(E230&gt;=72,0.69,ROUND('Reference Standards'!$AQ$171*E230^2+'Reference Standards'!$AQ$172*E230+'Reference Standards'!$AQ$173,2))))   )))))))))))</f>
        <v/>
      </c>
      <c r="G230" s="531"/>
      <c r="H230" s="568"/>
      <c r="I230" s="519"/>
      <c r="J230" s="559"/>
      <c r="K230" s="555"/>
      <c r="L230" s="21"/>
    </row>
    <row r="231" spans="1:12" ht="15.6" x14ac:dyDescent="0.3">
      <c r="A231" s="556"/>
      <c r="B231" s="562"/>
      <c r="C231" s="127" t="s">
        <v>336</v>
      </c>
      <c r="D231" s="71"/>
      <c r="E231" s="167"/>
      <c r="F231" s="346" t="str">
        <f>IF(E231="","",IF(OR('Quantification Tool R3'!$B$12="67fhi",'Quantification Tool R3'!$B$12="67g",'Quantification Tool R3'!$B$12="71e",'Quantification Tool R3'!$B$12="73a",'Quantification Tool R3'!$B$12="73b",AND(OR('Quantification Tool R3'!$B$12="71f",'Quantification Tool R3'!$B$12="71g",'Quantification Tool R3'!$B$12="71h"),'Quantification Tool R3'!$B$13&gt;2)),IF(E231&gt;100,0,IF(E231&lt;15,0.69,ROUND('Reference Standards'!$AL$208*E231^2+'Reference Standards'!$AL$209*E231+'Reference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),IF(E231&gt;100,0,IF(E231&lt;19,0.69,ROUND('Reference Standards'!$AM$208*E231^2+'Reference Standards'!$AM$209*E231+'Reference Standards'!$AM$210,2))),    IF(OR(AND('Quantification Tool R3'!$B$12="69de",'Quantification Tool R3'!$B$19="January - June"),AND('Quantification Tool R3'!$B$12="71i",'Quantification Tool R3'!$B$13&gt;2,'Quantification Tool R3'!$B$20="SQKICK" )),IF(E231&gt;100,0,IF(E231&lt;22,0.69,ROUND('Reference Standards'!$AN$208*E231^2+'Reference Standards'!$AN$209*E231+'Reference Standards'!$AN$210,2))),    IF(OR('Quantification Tool R3'!$B$12="65j",AND('Quantification Tool R3'!$B$12="68b",'Quantification Tool R3'!$B$13&gt;2)),IF(E231&gt;100,0,IF(E231&lt;24,0.69,ROUND('Reference Standards'!$AO$208*E231^2+'Reference Standards'!$AO$209*E231+'Reference Standards'!$AO$210,2))),    IF(AND(OR('Quantification Tool R3'!$B$12="65abei",'Quantification Tool R3'!$B$12="71f",'Quantification Tool R3'!$B$12="71g",'Quantification Tool R3'!$B$12="71h"),'Quantification Tool R3'!$B$13&lt;=2),IF(E231&gt;95,0,IF(E231&lt;33,0.69,ROUND('Reference Standards'!$AL$246*E231^2+'Reference Standards'!$AL$247*E231+'Reference Standards'!$AL$248,2))),   IF(AND(OR('Quantification Tool R3'!$B$12="65abei",'Quantification Tool R3'!$B$12="74b"),'Quantification Tool R3'!$B$13&gt;2),IF(E231&gt;97,0,IF(E231&lt;36,0.69,ROUND('Reference Standards'!$AM$246*E231^2+'Reference Standards'!$AM$247*E231+'Reference Standards'!$AM$248,2))),  IF(AND('Quantification Tool R3'!$B$12="74a",'Quantification Tool R3'!$B$19="January - June",'Quantification Tool R3'!$B$13&gt;2),IF(E231&gt;93,0,IF(E231&lt;52,0.69,ROUND('Reference Standards'!$AN$246*E231^2+'Reference Standards'!$AN$247*E231+'Reference Standards'!$AN$248,2))),   IF(AND('Quantification Tool R3'!$B$12="74b",'Quantification Tool R3'!$B$13&lt;=2),IF(E231&gt;97,0,IF(E231&lt;62,0.69,ROUND('Reference Standards'!$AO$246*E231^2+'Reference Standards'!$AO$247*E231+'Reference Standards'!$AO$248,2)))  )))))))))</f>
        <v/>
      </c>
      <c r="G231" s="531"/>
      <c r="H231" s="568"/>
      <c r="I231" s="519"/>
      <c r="J231" s="559"/>
      <c r="K231" s="555"/>
      <c r="L231" s="21"/>
    </row>
    <row r="232" spans="1:12" ht="15.6" x14ac:dyDescent="0.3">
      <c r="A232" s="556"/>
      <c r="B232" s="563" t="s">
        <v>74</v>
      </c>
      <c r="C232" s="125" t="s">
        <v>211</v>
      </c>
      <c r="D232" s="126"/>
      <c r="E232" s="166"/>
      <c r="F232" s="345" t="str">
        <f>IF(E232="","",IF(E232=1,0.15,IF(E232=3,0.5,IF(E232=5,0.85,0))))</f>
        <v/>
      </c>
      <c r="G232" s="564" t="str">
        <f>IFERROR(AVERAGE(F232:F233),"")</f>
        <v/>
      </c>
      <c r="H232" s="568"/>
      <c r="I232" s="519"/>
      <c r="J232" s="559"/>
      <c r="K232" s="555"/>
      <c r="L232" s="21"/>
    </row>
    <row r="233" spans="1:12" ht="15.6" x14ac:dyDescent="0.3">
      <c r="A233" s="551"/>
      <c r="B233" s="563"/>
      <c r="C233" s="127" t="s">
        <v>332</v>
      </c>
      <c r="D233" s="71"/>
      <c r="E233" s="167"/>
      <c r="F233" s="347" t="str">
        <f>IF(E233="","",IF(E233=1,0.15,IF(E233=3,0.5,IF(E233=5,0.85,0))))</f>
        <v/>
      </c>
      <c r="G233" s="565"/>
      <c r="H233" s="568"/>
      <c r="I233" s="519"/>
      <c r="J233" s="559"/>
      <c r="K233" s="555"/>
      <c r="L233" s="21"/>
    </row>
    <row r="234" spans="1:12" x14ac:dyDescent="0.3">
      <c r="L234" s="21"/>
    </row>
    <row r="235" spans="1:12" x14ac:dyDescent="0.3">
      <c r="L235" s="21"/>
    </row>
    <row r="236" spans="1:12" ht="21" x14ac:dyDescent="0.4">
      <c r="A236" s="148" t="s">
        <v>135</v>
      </c>
      <c r="B236" s="246"/>
      <c r="C236" s="249" t="s">
        <v>324</v>
      </c>
      <c r="D236" s="246"/>
      <c r="E236" s="247"/>
      <c r="F236" s="248"/>
      <c r="G236" s="544" t="s">
        <v>18</v>
      </c>
      <c r="H236" s="545"/>
      <c r="I236" s="545"/>
      <c r="J236" s="545"/>
      <c r="K236" s="546"/>
      <c r="L236" s="21"/>
    </row>
    <row r="237" spans="1:12" ht="15.6" x14ac:dyDescent="0.3">
      <c r="A237" s="158" t="s">
        <v>1</v>
      </c>
      <c r="B237" s="158" t="s">
        <v>2</v>
      </c>
      <c r="C237" s="542" t="s">
        <v>3</v>
      </c>
      <c r="D237" s="644"/>
      <c r="E237" s="158" t="s">
        <v>15</v>
      </c>
      <c r="F237" s="158" t="s">
        <v>16</v>
      </c>
      <c r="G237" s="158" t="s">
        <v>19</v>
      </c>
      <c r="H237" s="158" t="s">
        <v>20</v>
      </c>
      <c r="I237" s="314" t="s">
        <v>20</v>
      </c>
      <c r="J237" s="158" t="s">
        <v>21</v>
      </c>
      <c r="K237" s="315" t="s">
        <v>21</v>
      </c>
    </row>
    <row r="238" spans="1:12" ht="15.6" x14ac:dyDescent="0.3">
      <c r="A238" s="540" t="s">
        <v>60</v>
      </c>
      <c r="B238" s="299" t="s">
        <v>86</v>
      </c>
      <c r="C238" s="52" t="s">
        <v>388</v>
      </c>
      <c r="D238" s="52"/>
      <c r="E238" s="162"/>
      <c r="F238" s="338" t="str">
        <f>IF(E238="","",IF(E238&lt;=0,0,IF(E238&gt;=0.95,1,ROUND('Reference Standards'!C$14*E238+'Reference Standards'!C$15,2))))</f>
        <v/>
      </c>
      <c r="G238" s="83" t="str">
        <f>IFERROR(AVERAGE(F238),"")</f>
        <v/>
      </c>
      <c r="H238" s="522" t="str">
        <f>IFERROR(ROUND(AVERAGE(G238:G239),2),"")</f>
        <v/>
      </c>
      <c r="I238" s="519" t="str">
        <f>IF(H238="","",IF(H238&gt;0.69,"Functioning",IF(H238&gt;0.29,"Functioning At Risk",IF(H238&gt;-1,"Not Functioning"))))</f>
        <v/>
      </c>
      <c r="J238" s="559" t="str">
        <f>IF(AND(H238="",H240="",H242="",H264="",H268=""),"",ROUND((IF(H238="",0,H238)*0.2)+(IF(H240="",0,H240)*0.2)+(IF(H242="",0,H242)*0.2)+(IF(H264="",0,H264)*0.2)+(IF(H268="",0,H268)*0.2),2))</f>
        <v/>
      </c>
      <c r="K238" s="555" t="str">
        <f>IF(J238="","",IF(J238&lt;0.3, "Not Functioning",IF(OR(H238&lt;0.7,H240&lt;0.7,H242&lt;0.7,H264&lt;0.7,H268&lt;0.7),"Functioning At Risk",IF(J238&lt;0.7,"Functioning At Risk","Functioning"))))</f>
        <v/>
      </c>
    </row>
    <row r="239" spans="1:12" ht="15.6" x14ac:dyDescent="0.3">
      <c r="A239" s="541"/>
      <c r="B239" s="371" t="s">
        <v>128</v>
      </c>
      <c r="C239" s="373" t="s">
        <v>161</v>
      </c>
      <c r="D239" s="374"/>
      <c r="E239" s="43"/>
      <c r="F239" s="372" t="str">
        <f>IF(E239="","",IF(E239&gt;=1,1,IF(E239&lt;=0,0,ROUND(E239,2))))</f>
        <v/>
      </c>
      <c r="G239" s="367" t="str">
        <f>IFERROR(AVERAGE(F239:F239),"")</f>
        <v/>
      </c>
      <c r="H239" s="523"/>
      <c r="I239" s="519"/>
      <c r="J239" s="559"/>
      <c r="K239" s="555"/>
    </row>
    <row r="240" spans="1:12" ht="15.6" x14ac:dyDescent="0.3">
      <c r="A240" s="524" t="s">
        <v>6</v>
      </c>
      <c r="B240" s="572" t="s">
        <v>7</v>
      </c>
      <c r="C240" s="54" t="s">
        <v>8</v>
      </c>
      <c r="D240" s="54"/>
      <c r="E240" s="162"/>
      <c r="F240" s="339" t="str">
        <f>IF(E240="","",ROUND(IF(E240&gt;1.6,0,IF(E240&lt;=1,1,E240^2*'Reference Standards'!K$14+E240*'Reference Standards'!K$15+'Reference Standards'!K$16)),2))</f>
        <v/>
      </c>
      <c r="G240" s="579" t="str">
        <f>IFERROR(AVERAGE(F240:F241),"")</f>
        <v/>
      </c>
      <c r="H240" s="579" t="str">
        <f>IFERROR(ROUND(AVERAGE(G240),2),"")</f>
        <v/>
      </c>
      <c r="I240" s="569" t="str">
        <f>IF(H240="","",IF(H240&gt;0.69,"Functioning",IF(H240&gt;0.29,"Functioning At Risk",IF(H240&gt;-1,"Not Functioning"))))</f>
        <v/>
      </c>
      <c r="J240" s="559"/>
      <c r="K240" s="555"/>
    </row>
    <row r="241" spans="1:13" ht="15.6" x14ac:dyDescent="0.3">
      <c r="A241" s="525"/>
      <c r="B241" s="572"/>
      <c r="C241" s="54" t="s">
        <v>9</v>
      </c>
      <c r="D241" s="54"/>
      <c r="E241" s="163"/>
      <c r="F241" s="339" t="str">
        <f>IF(E241="","",(IF(OR('Quantification Tool R3'!B$11="A",'Quantification Tool R3'!B$11="B",'Quantification Tool R3'!$B$11="Bc"),IF(E241&lt;1.2,0,IF(E241&gt;=2.2,1,ROUND(IF(E241&lt;1.4,E241*'Reference Standards'!$K$84+'Reference Standards'!$K$85,E241*'Reference Standards'!$L$84+'Reference Standards'!$L$85),2))),IF(OR('Quantification Tool R3'!B$11="C",'Quantification Tool R3'!B$11="E"),IF(E241&lt;2,0,IF(E241&gt;=5,1,ROUND(IF(E241&lt;2.4,E241*'Reference Standards'!$L$49+'Reference Standards'!$L$50,E241*'Reference Standards'!$K$49+'Reference Standards'!$K$50),2)))))))</f>
        <v/>
      </c>
      <c r="G241" s="581"/>
      <c r="H241" s="580"/>
      <c r="I241" s="570"/>
      <c r="J241" s="559"/>
      <c r="K241" s="555"/>
    </row>
    <row r="242" spans="1:13" ht="15.6" x14ac:dyDescent="0.3">
      <c r="A242" s="526" t="s">
        <v>26</v>
      </c>
      <c r="B242" s="557" t="s">
        <v>27</v>
      </c>
      <c r="C242" s="60" t="s">
        <v>333</v>
      </c>
      <c r="D242" s="244"/>
      <c r="E242" s="61"/>
      <c r="F242" s="340" t="str">
        <f>IF(E242="","",IF(OR(LEFT('Quantification Tool R3'!$B$12,2)="65",LEFT('Quantification Tool R3'!$B$12,2)="66",LEFT('Quantification Tool R3'!$B$12,2)="71"),IF(E242&gt;=850,1,IF(E242&lt;250,ROUND('Reference Standards'!$S$17*(E242)+'Reference Standards'!$S$18,2),ROUND('Reference Standards'!$T$17*E242+'Reference Standards'!$T$18,2))),  IF(E242&gt;=345,1,IF(E242&lt;=180,ROUND('Reference Standards'!$U$17*(E242)+'Reference Standards'!$U$18,2),ROUND('Reference Standards'!$V$17*E242+'Reference Standards'!$V$18,2))))    )</f>
        <v/>
      </c>
      <c r="G242" s="528" t="str">
        <f>IFERROR(AVERAGE(F242:F243),"")</f>
        <v/>
      </c>
      <c r="H242" s="566" t="str">
        <f>IFERROR(ROUND(AVERAGE(G242:G263),2),"")</f>
        <v/>
      </c>
      <c r="I242" s="555" t="str">
        <f>IF(H242="","",IF(H242&gt;0.69,"Functioning",IF(H242&gt;0.29,"Functioning At Risk",IF(H242&gt;-1,"Not Functioning"))))</f>
        <v/>
      </c>
      <c r="J242" s="559"/>
      <c r="K242" s="555"/>
    </row>
    <row r="243" spans="1:13" ht="15.6" x14ac:dyDescent="0.3">
      <c r="A243" s="520"/>
      <c r="B243" s="558"/>
      <c r="C243" s="63" t="s">
        <v>323</v>
      </c>
      <c r="D243" s="245"/>
      <c r="E243" s="53"/>
      <c r="F243" s="341" t="str">
        <f>IF(E243="","",IF(OR(LEFT('Quantification Tool R3'!$B$12,2)="65",LEFT('Quantification Tool R3'!$B$12,2)="66",LEFT('Quantification Tool R3'!$B$12,2)="71"),IF(E243&gt;=30,1,IF(E243&lt;13,ROUND('Reference Standards'!$S$53*(E243)+'Reference Standards'!$S$54,2),ROUND('Reference Standards'!$T$53*E243+'Reference Standards'!$T$54,2))),  IF(E243&gt;=16,1,IF(E243&lt;=9,ROUND('Reference Standards'!$U$53*(E243)+'Reference Standards'!$U$54,2),ROUND('Reference Standards'!$V$53*E243+'Reference Standards'!$V$54,2))))    )</f>
        <v/>
      </c>
      <c r="G243" s="530"/>
      <c r="H243" s="566"/>
      <c r="I243" s="555"/>
      <c r="J243" s="559"/>
      <c r="K243" s="555"/>
    </row>
    <row r="244" spans="1:13" ht="15.6" x14ac:dyDescent="0.3">
      <c r="A244" s="520"/>
      <c r="B244" s="520" t="s">
        <v>395</v>
      </c>
      <c r="C244" s="58" t="s">
        <v>80</v>
      </c>
      <c r="D244" s="58"/>
      <c r="E244" s="165"/>
      <c r="F244" s="340" t="str">
        <f>IF(E244="","",ROUND(IF(E244&gt;0.7,0,IF(E244&lt;=0.1,1,E244^3*'Reference Standards'!S$87+E244^2*'Reference Standards'!S$88+E244*'Reference Standards'!S$89+'Reference Standards'!S$90)),2))</f>
        <v/>
      </c>
      <c r="G244" s="528" t="str">
        <f>IFERROR(ROUND(AVERAGE(F244:F247),2),"")</f>
        <v/>
      </c>
      <c r="H244" s="567"/>
      <c r="I244" s="555"/>
      <c r="J244" s="559"/>
      <c r="K244" s="555"/>
    </row>
    <row r="245" spans="1:13" ht="15.6" x14ac:dyDescent="0.3">
      <c r="A245" s="520"/>
      <c r="B245" s="520"/>
      <c r="C245" s="58" t="s">
        <v>49</v>
      </c>
      <c r="D245" s="58"/>
      <c r="E245" s="165"/>
      <c r="F245" s="84"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529"/>
      <c r="H245" s="567"/>
      <c r="I245" s="555"/>
      <c r="J245" s="559"/>
      <c r="K245" s="555"/>
    </row>
    <row r="246" spans="1:13" ht="15.6" x14ac:dyDescent="0.3">
      <c r="A246" s="520"/>
      <c r="B246" s="520"/>
      <c r="C246" s="58" t="s">
        <v>87</v>
      </c>
      <c r="D246" s="58"/>
      <c r="E246" s="165"/>
      <c r="F246" s="84" t="str">
        <f>IF(E246="","",ROUND(IF(E246&gt;40,0,IF(E246&lt;5,1,E246^3*'Reference Standards'!S$122+E246^2*'Reference Standards'!S$123+E246*'Reference Standards'!S$124+'Reference Standards'!S$125)),2))</f>
        <v/>
      </c>
      <c r="G246" s="529"/>
      <c r="H246" s="567"/>
      <c r="I246" s="555"/>
      <c r="J246" s="559"/>
      <c r="K246" s="555"/>
    </row>
    <row r="247" spans="1:13" ht="15.6" x14ac:dyDescent="0.3">
      <c r="A247" s="520"/>
      <c r="B247" s="521"/>
      <c r="C247" s="59" t="s">
        <v>394</v>
      </c>
      <c r="D247" s="59"/>
      <c r="E247" s="167"/>
      <c r="F247" s="341" t="str">
        <f>IF(E247="","",ROUND(IF(E247&gt;=30,0,IF(E247&lt;=0,1,E247*'Reference Standards'!S$156+'Reference Standards'!S$157)),2))</f>
        <v/>
      </c>
      <c r="G247" s="530"/>
      <c r="H247" s="567"/>
      <c r="I247" s="555"/>
      <c r="J247" s="559"/>
      <c r="K247" s="555"/>
    </row>
    <row r="248" spans="1:13" ht="15.6" x14ac:dyDescent="0.3">
      <c r="A248" s="520"/>
      <c r="B248" s="520" t="s">
        <v>50</v>
      </c>
      <c r="C248" s="60" t="s">
        <v>377</v>
      </c>
      <c r="D248" s="64"/>
      <c r="E248" s="136"/>
      <c r="F248" s="294" t="str">
        <f>IF(E248="","",ROUND(IF(E248&gt;9.2,1,E248*'Reference Standards'!$S$189+'Reference Standards'!$S$190),2))</f>
        <v/>
      </c>
      <c r="G248" s="552" t="str">
        <f>IFERROR(ROUND(AVERAGE(F248:F257),2),"")</f>
        <v/>
      </c>
      <c r="H248" s="567"/>
      <c r="I248" s="555"/>
      <c r="J248" s="559"/>
      <c r="K248" s="555"/>
    </row>
    <row r="249" spans="1:13" ht="15.6" x14ac:dyDescent="0.3">
      <c r="A249" s="520"/>
      <c r="B249" s="520"/>
      <c r="C249" s="62" t="s">
        <v>378</v>
      </c>
      <c r="D249" s="58"/>
      <c r="E249" s="162"/>
      <c r="F249" s="294" t="str">
        <f>IF(E249="","",ROUND(IF(E249&gt;9.2,1,E249*'Reference Standards'!$S$189+'Reference Standards'!$S$190),2))</f>
        <v/>
      </c>
      <c r="G249" s="553"/>
      <c r="H249" s="567"/>
      <c r="I249" s="555"/>
      <c r="J249" s="559"/>
      <c r="K249" s="555"/>
    </row>
    <row r="250" spans="1:13" ht="15.6" x14ac:dyDescent="0.3">
      <c r="A250" s="520"/>
      <c r="B250" s="520"/>
      <c r="C250" s="62" t="s">
        <v>379</v>
      </c>
      <c r="D250" s="58"/>
      <c r="E250" s="162"/>
      <c r="F250" s="294" t="str">
        <f>IF(E250="","",ROUND( IF(E250&gt;=200,1,IF(E250&lt;50, E250^2*'Reference Standards'!S$224+E250*'Reference Standards'!S$225+'Reference Standards'!S$226, E250*'Reference Standards'!T$224+'Reference Standards'!T$225)),2))</f>
        <v/>
      </c>
      <c r="G250" s="553"/>
      <c r="H250" s="567"/>
      <c r="I250" s="555"/>
      <c r="J250" s="559"/>
      <c r="K250" s="555"/>
    </row>
    <row r="251" spans="1:13" ht="15.6" x14ac:dyDescent="0.3">
      <c r="A251" s="520"/>
      <c r="B251" s="520"/>
      <c r="C251" s="62" t="s">
        <v>380</v>
      </c>
      <c r="D251" s="58"/>
      <c r="E251" s="162"/>
      <c r="F251" s="294" t="str">
        <f>IF(E251="","",ROUND( IF(E251&gt;=200,1,IF(E251&lt;50, E251^2*'Reference Standards'!S$224+E251*'Reference Standards'!S$225+'Reference Standards'!S$226, E251*'Reference Standards'!T$224+'Reference Standards'!T$225)),2))</f>
        <v/>
      </c>
      <c r="G251" s="553"/>
      <c r="H251" s="567"/>
      <c r="I251" s="555"/>
      <c r="J251" s="559"/>
      <c r="K251" s="555"/>
    </row>
    <row r="252" spans="1:13" ht="15.6" x14ac:dyDescent="0.3">
      <c r="A252" s="520"/>
      <c r="B252" s="520"/>
      <c r="C252" s="58" t="s">
        <v>381</v>
      </c>
      <c r="D252" s="58"/>
      <c r="E252" s="162"/>
      <c r="F252" s="294" t="str">
        <f>IF(E252="","",ROUND(IF(AND(E252&gt;=135,E252&lt;=262),1,IF(  E252&gt;=366,0.5, IF(E252&lt;135,E252*'Reference Standards'!S$259+'Reference Standards'!S$260, E252*'Reference Standards'!T$259+'Reference Standards'!T$260))),2))</f>
        <v/>
      </c>
      <c r="G252" s="553"/>
      <c r="H252" s="567"/>
      <c r="I252" s="555"/>
      <c r="J252" s="559"/>
      <c r="K252" s="555"/>
    </row>
    <row r="253" spans="1:13" ht="15.6" x14ac:dyDescent="0.3">
      <c r="A253" s="520"/>
      <c r="B253" s="520"/>
      <c r="C253" s="58" t="s">
        <v>382</v>
      </c>
      <c r="D253" s="58"/>
      <c r="E253" s="162"/>
      <c r="F253" s="294" t="str">
        <f>IF(E253="","",ROUND(IF(AND(E253&gt;=135,E253&lt;=262),1,IF(  E253&gt;=366,0.5, IF(E253&lt;135,E253*'Reference Standards'!S$259+'Reference Standards'!S$260, E253*'Reference Standards'!T$259+'Reference Standards'!T$260))),2))</f>
        <v/>
      </c>
      <c r="G253" s="553"/>
      <c r="H253" s="567"/>
      <c r="I253" s="555"/>
      <c r="J253" s="559"/>
      <c r="K253" s="555"/>
    </row>
    <row r="254" spans="1:13" ht="15.6" x14ac:dyDescent="0.3">
      <c r="A254" s="520"/>
      <c r="B254" s="520"/>
      <c r="C254" s="58" t="s">
        <v>383</v>
      </c>
      <c r="D254" s="58"/>
      <c r="E254" s="162"/>
      <c r="F254" s="84" t="str">
        <f>IF(E254="","",ROUND(IF(E254&gt;=75,1,IF(E254&lt;=0,0,E254*'Reference Standards'!S$330)),2))</f>
        <v/>
      </c>
      <c r="G254" s="553"/>
      <c r="H254" s="567"/>
      <c r="I254" s="555"/>
      <c r="J254" s="559"/>
      <c r="K254" s="555"/>
    </row>
    <row r="255" spans="1:13" ht="15.6" x14ac:dyDescent="0.3">
      <c r="A255" s="520"/>
      <c r="B255" s="520"/>
      <c r="C255" s="58" t="s">
        <v>384</v>
      </c>
      <c r="D255" s="58"/>
      <c r="E255" s="162"/>
      <c r="F255" s="84" t="str">
        <f>IF(E255="","",ROUND(IF(E255&gt;=75,1,IF(E255&lt;=0,0,E255*'Reference Standards'!S$330)),2))</f>
        <v/>
      </c>
      <c r="G255" s="553"/>
      <c r="H255" s="567"/>
      <c r="I255" s="555"/>
      <c r="J255" s="559"/>
      <c r="K255" s="555"/>
    </row>
    <row r="256" spans="1:13" ht="15.6" x14ac:dyDescent="0.3">
      <c r="A256" s="520"/>
      <c r="B256" s="520"/>
      <c r="C256" s="58" t="s">
        <v>385</v>
      </c>
      <c r="D256" s="58"/>
      <c r="E256" s="162"/>
      <c r="F256" s="294" t="str">
        <f>IF(E256="","",ROUND(IF(AND(E256&gt;=36.3,E256&lt;=68),1,IF(E256&gt;100,0,IF(E256&lt;36.3,(('Reference Standards'!S$297*(E256^2))+('Reference Standards'!S$298*E256)+'Reference Standards'!S$299),IF(E256&gt;68,(('Reference Standards'!T$297*(E256^2))+('Reference Standards'!T$298*E256)+'Reference Standards'!T$299))))),2))</f>
        <v/>
      </c>
      <c r="G256" s="553"/>
      <c r="H256" s="567"/>
      <c r="I256" s="555"/>
      <c r="J256" s="559"/>
      <c r="K256" s="555"/>
      <c r="M256" s="21"/>
    </row>
    <row r="257" spans="1:12" ht="15.6" x14ac:dyDescent="0.3">
      <c r="A257" s="520"/>
      <c r="B257" s="521"/>
      <c r="C257" s="58" t="s">
        <v>386</v>
      </c>
      <c r="D257" s="65"/>
      <c r="E257" s="162"/>
      <c r="F257" s="294" t="str">
        <f>IF(E257="","",ROUND(IF(AND(E257&gt;=36.3,E257&lt;=68),1,IF(E257&gt;100,0,IF(E257&lt;36.3,(('Reference Standards'!S$297*(E257^2))+('Reference Standards'!S$298*E257)+'Reference Standards'!S$299),IF(E257&gt;68,(('Reference Standards'!T$297*(E257^2))+('Reference Standards'!T$298*E257)+'Reference Standards'!T$299))))),2))</f>
        <v/>
      </c>
      <c r="G257" s="554"/>
      <c r="H257" s="567"/>
      <c r="I257" s="555"/>
      <c r="J257" s="559"/>
      <c r="K257" s="555"/>
    </row>
    <row r="258" spans="1:12" ht="15.6" x14ac:dyDescent="0.3">
      <c r="A258" s="520"/>
      <c r="B258" s="56" t="s">
        <v>108</v>
      </c>
      <c r="C258" s="72" t="s">
        <v>130</v>
      </c>
      <c r="D258" s="58"/>
      <c r="E258" s="43"/>
      <c r="F258" s="82" t="str">
        <f>IF(E258="","",IF(OR('Quantification Tool R3'!B$14="Gravel",'Quantification Tool R3'!B$14="Cobble"),IF(E258&gt;0.1,1,IF(E258&lt;=0.01,0,ROUND(E258*'Reference Standards'!$S$362+'Reference Standards'!$S$363,2)))))</f>
        <v/>
      </c>
      <c r="G258" s="82" t="str">
        <f>IFERROR(AVERAGE(F258),"")</f>
        <v/>
      </c>
      <c r="H258" s="567"/>
      <c r="I258" s="555"/>
      <c r="J258" s="559"/>
      <c r="K258" s="555"/>
    </row>
    <row r="259" spans="1:12" ht="15.6" x14ac:dyDescent="0.3">
      <c r="A259" s="520"/>
      <c r="B259" s="526" t="s">
        <v>51</v>
      </c>
      <c r="C259" s="64" t="s">
        <v>52</v>
      </c>
      <c r="D259" s="64"/>
      <c r="E259" s="166"/>
      <c r="F259" s="337" t="str">
        <f>IF(E259="","",IF(ISNUMBER('Quantification Tool R3'!$B$17),IF('Quantification Tool R3'!$B$17&lt;=2,IF(AND(E259&gt;=3,E259&lt;=5),1,IF(OR(E259&lt;=1,E259&gt;=7),0,ROUND(IF(E259&lt;3,E259*'Reference Standards'!S$398+'Reference Standards'!S$399,E259*'Reference Standards'!T$398+'Reference Standards'!T$399),2))),IF(E259&lt;=2.5,1,IF(E259&gt;=5.8,0,ROUND(E259*'Reference Standards'!S$430+'Reference Standards'!S$431,2))))))</f>
        <v/>
      </c>
      <c r="G259" s="528" t="str">
        <f>IFERROR(AVERAGE(F259:F262),"")</f>
        <v/>
      </c>
      <c r="H259" s="567"/>
      <c r="I259" s="555"/>
      <c r="J259" s="559"/>
      <c r="K259" s="555"/>
    </row>
    <row r="260" spans="1:12" ht="15.6" x14ac:dyDescent="0.3">
      <c r="A260" s="520"/>
      <c r="B260" s="520"/>
      <c r="C260" s="58" t="s">
        <v>53</v>
      </c>
      <c r="D260" s="58"/>
      <c r="E260" s="165"/>
      <c r="F260" s="84" t="str">
        <f>IF(E260="","", IF( E260&gt;=2.4,1, IF(E260&lt;=1,0,  ROUND(IF(E260&lt;2.4, E260*'Reference Standards'!$S$464+'Reference Standards'!$S$465  ),2))))</f>
        <v/>
      </c>
      <c r="G260" s="529"/>
      <c r="H260" s="567"/>
      <c r="I260" s="555"/>
      <c r="J260" s="559"/>
      <c r="K260" s="555"/>
    </row>
    <row r="261" spans="1:12" ht="15.6" x14ac:dyDescent="0.3">
      <c r="A261" s="520"/>
      <c r="B261" s="520"/>
      <c r="C261" s="58" t="s">
        <v>334</v>
      </c>
      <c r="D261" s="58"/>
      <c r="E261" s="165"/>
      <c r="F261" s="390" t="str">
        <f>IF(E261="","", IF(LEFT('Quantification Tool R3'!$B$12,2)="67",  IF( AND(E261&gt;=45,E261&lt;=65),1, IF(OR(E261&lt;=20,E261&gt;=90),0, ROUND(  IF(E261&lt;45, E261*'Reference Standards'!$S$498+'Reference Standards'!$S$499,E261*'Reference Standards'!$T$498+'Reference Standards'!$T$499),2))), IF(OR(  LEFT('Quantification Tool R3'!$B$12,2)="68", LEFT('Quantification Tool R3'!$B$12,2)="69",LEFT('Quantification Tool R3'!$B$12,2)="71"),  IF( AND(E261&gt;=30,E261&lt;=50),1, IF(OR(E261&lt;=10,E261&gt;=70),0, ROUND(  IF(E261&lt;30, E261*'Reference Standards'!$S$533+'Reference Standards'!$S$534,E261*'Reference Standards'!$T$533+'Reference Standards'!$T$534),2))), IF(LEFT('Quantification Tool R3'!$B$12,2)="66",  IF( AND(E261&gt;=20,E261&lt;=45),1, IF(OR(E261&lt;=0,E261&gt;=90),0, ROUND(  IF(E261&lt;20, E261*'Reference Standards'!$S$567+'Reference Standards'!$S$568,E261*'Reference Standards'!$T$567+'Reference Standards'!$T$568),2))), IF(OR(  LEFT('Quantification Tool R3'!$B$12,2)="65", LEFT('Quantification Tool R3'!$B$12,2)="74", LEFT('Quantification Tool R3'!$B$12,2)="73"),  IF( AND(E261&gt;=20,E261&lt;=30),1, IF(OR(E261&lt;=0,E261&gt;=50),0, ROUND(  IF(E261&lt;20, E261*'Reference Standards'!$S$601+'Reference Standards'!$S$602,E261*'Reference Standards'!$T$601+'Reference Standards'!$T$602),2))))))))</f>
        <v/>
      </c>
      <c r="G261" s="529"/>
      <c r="H261" s="567"/>
      <c r="I261" s="555"/>
      <c r="J261" s="559"/>
      <c r="K261" s="555"/>
    </row>
    <row r="262" spans="1:12" ht="15.6" x14ac:dyDescent="0.3">
      <c r="A262" s="520"/>
      <c r="B262" s="521"/>
      <c r="C262" s="62" t="s">
        <v>210</v>
      </c>
      <c r="D262" s="58"/>
      <c r="E262" s="167"/>
      <c r="F262" s="391" t="str">
        <f>IF(E262="","",IF(E262&gt;=1.6,0,IF(E262&lt;=1,1,ROUND('Reference Standards'!$S$633*E262^3+'Reference Standards'!$S$634*E262^2+'Reference Standards'!$S$635*E262+'Reference Standards'!$S$636,2))))</f>
        <v/>
      </c>
      <c r="G262" s="530"/>
      <c r="H262" s="567"/>
      <c r="I262" s="555"/>
      <c r="J262" s="559"/>
      <c r="K262" s="555"/>
    </row>
    <row r="263" spans="1:12" ht="15.6" x14ac:dyDescent="0.3">
      <c r="A263" s="521"/>
      <c r="B263" s="296" t="s">
        <v>55</v>
      </c>
      <c r="C263" s="242" t="s">
        <v>54</v>
      </c>
      <c r="D263" s="243"/>
      <c r="E263" s="163"/>
      <c r="F263" s="342" t="str">
        <f>IF(E263="","",IF(AND('Quantification Tool R3'!B$11="E",'Quantification Tool R3'!$B$14="Sand",'Quantification Tool R3'!$B$21="Unconfined Alluvial"),ROUND(IF(OR(E263&gt;1.8,E263&lt;1.3),0,IF(E263&lt;=1.6,1,E263*'Reference Standards'!S$667+'Reference Standards'!S$668)),2),    IF('Quantification Tool R3'!$B$21="Unconfined Alluvial",ROUND(IF(OR(E263&lt;1.2, E263&gt;1.5),0,IF(E263&lt;=1.4,1,E263*'Reference Standards'!$S$700+'Reference Standards'!$S$701)),2), IF('Quantification Tool R3'!$B$21="Confined Alluvial",ROUND(IF(E263&lt;1.15,0,IF(E263&lt;=1.4,E263*'Reference Standards'!$S$729+'Reference Standards'!$S$730,1)),2),  IF('Quantification Tool R3'!$B$21="Colluvial",ROUND(IF(E263&gt;1.3,0,IF(E263&gt;1.2,E263*'Reference Standards'!$S$760+'Reference Standards'!$S$761,1)),2) )))))</f>
        <v/>
      </c>
      <c r="G263" s="84" t="str">
        <f>IFERROR(AVERAGE(F263),"")</f>
        <v/>
      </c>
      <c r="H263" s="567"/>
      <c r="I263" s="555"/>
      <c r="J263" s="559"/>
      <c r="K263" s="555"/>
      <c r="L263" s="13"/>
    </row>
    <row r="264" spans="1:12" ht="15.6" x14ac:dyDescent="0.3">
      <c r="A264" s="537" t="s">
        <v>58</v>
      </c>
      <c r="B264" s="67" t="s">
        <v>88</v>
      </c>
      <c r="C264" s="70" t="s">
        <v>338</v>
      </c>
      <c r="D264" s="70"/>
      <c r="E264" s="43"/>
      <c r="F264" s="343" t="str">
        <f>IF(E264="","",ROUND(IF(E264&gt;=942,0,IF(E264&lt;=487,E264*'Reference Standards'!AB$15+'Reference Standards'!AB$16,E264*'Reference Standards'!$AC$15+'Reference Standards'!$AC$16)),2))</f>
        <v/>
      </c>
      <c r="G264" s="85" t="str">
        <f>IFERROR(AVERAGE(F264),"")</f>
        <v/>
      </c>
      <c r="H264" s="547" t="str">
        <f>IFERROR(ROUND(AVERAGE(G264:G267),2),"")</f>
        <v/>
      </c>
      <c r="I264" s="534" t="str">
        <f>IF(H264="","",IF(H264&gt;0.69,"Functioning",IF(H264&gt;0.29,"Functioning At Risk",IF(H264&gt;-1,"Not Functioning"))))</f>
        <v/>
      </c>
      <c r="J264" s="559"/>
      <c r="K264" s="555"/>
      <c r="L264" s="13"/>
    </row>
    <row r="265" spans="1:12" ht="15.6" x14ac:dyDescent="0.3">
      <c r="A265" s="538"/>
      <c r="B265" s="297" t="s">
        <v>362</v>
      </c>
      <c r="C265" s="66" t="s">
        <v>354</v>
      </c>
      <c r="D265" s="66"/>
      <c r="E265" s="163"/>
      <c r="F265" s="344" t="str">
        <f>IF(E265="","",IF(OR('Quantification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June")),IF(E265&gt;93,0,IF(E265&lt;13,1,ROUND('Reference Standards'!$AB$53*E265^2+'Reference Standards'!$AB$54*E265+'Reference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R3'!$B$12="73b"),IF(E265&gt;94,0,IF(E265&lt;17,1,ROUND('Reference Standards'!$AC$53*E265^2+'Reference Standards'!$AC$54*E265+'Reference Standards'!$AC$55,2))),    IF(OR(AND(OR('Quantification Tool R3'!$B$12="68b",'Quantification Tool R3'!$B$12="71i"),'Quantification Tool R3'!$B$13&gt;2), 'Quantification Tool R3'!$B$12="71e"),IF(E265&gt;91,0,IF(E265&lt;24,1,ROUND('Reference Standards'!$AD$53*E265^2+'Reference Standards'!$AD$54*E265+'Reference Standards'!$AD$55,2))),  IF(OR(AND(OR('Quantification Tool R3'!$B$12="71f",'Quantification Tool R3'!$B$12="71g",'Quantification Tool R3'!$B$12="71h",'Quantification Tool R3'!$B$12="71i"),'Quantification Tool R3'!$B$13&lt;=2), AND('Quantification Tool R3'!$B$12="74a",'Quantification Tool R3'!$B$13&gt;2)),IF(E265&gt;95,0,IF(E265&lt;=36,1,ROUND('Reference Standards'!$AE$53*E265^2+'Reference Standards'!$AE$54*E265+'Reference Standards'!$AE$55,2))))))))</f>
        <v/>
      </c>
      <c r="G265" s="236" t="str">
        <f>IFERROR(AVERAGE(F265:F265),"")</f>
        <v/>
      </c>
      <c r="H265" s="548"/>
      <c r="I265" s="535"/>
      <c r="J265" s="559"/>
      <c r="K265" s="555"/>
      <c r="L265" s="21"/>
    </row>
    <row r="266" spans="1:12" ht="15.6" x14ac:dyDescent="0.3">
      <c r="A266" s="538"/>
      <c r="B266" s="67" t="s">
        <v>81</v>
      </c>
      <c r="C266" s="68" t="s">
        <v>281</v>
      </c>
      <c r="D266" s="68"/>
      <c r="E266" s="162"/>
      <c r="F266" s="344" t="str">
        <f>IF(E266="","",IF(ISNUMBER('Quantification Tool R3'!$B$13),IF(OR('Quantification Tool R3'!$B$12="66e",'Quantification Tool R3'!$B$12="66f",'Quantification Tool R3'!$B$12="66g"),ROUND(IF(E266&gt;=0.61,0,IF(E266&lt;=0.01,1,IF(E266&lt;=0.06,E266*'Reference Standards'!$AD$197+'Reference Standards'!$AD$198,E266^2*'Reference Standards'!$AB$196+E266*'Reference Standards'!$AB$197+'Reference Standards'!$AB$198))),2),IF('Quantification Tool R3'!$B$12="68b",ROUND(IF(E266&gt;=1.1,0,IF(E266&lt;=0.17,1,IF(E266&lt;=0.22,E266*'Reference Standards'!$AE$197+'Reference Standards'!$AE$198,E266^2*'Reference Standards'!$AC$196+E266*'Reference Standards'!$AC$197+'Reference Standards'!$AC$198))),2),IF('Quantification Tool R3'!$B$13&lt;=2.5,IF('Quantification Tool R3'!$B$12="69de",ROUND(IF(E266&gt;=0.22,0,IF(E266&lt;=0.01,1,E266^2*'Reference Standards'!$AB$90+E266*'Reference Standards'!$AB$91+'Reference Standards'!$AB$92)),2),IF('Quantification Tool R3'!$B$12="68c",ROUND(IF(E266&gt;=0.87,0,IF(E266&lt;=0.01,1,E266^2*'Reference Standards'!$AC$90+E266*'Reference Standards'!$AC$91+'Reference Standards'!$AC$92)),2),IF('Quantification Tool R3'!$B$12="68a",ROUND(IF(E266&gt;=0.81,0,IF(E266&lt;=0.01,1,E266^2*'Reference Standards'!$AD$90+E266*'Reference Standards'!$AD$91+'Reference Standards'!$AD$92)),2),IF('Quantification Tool R3'!$B$12="65abei",ROUND(IF(E266&gt;=0.67,0,IF(E266&lt;=0.01,1,IF(E266&lt;=0.18,E266*'Reference Standards'!$AG$91+'Reference Standards'!$AG$92,E266*'Reference Standards'!$AE$91+'Reference Standards'!$AE$92))),2),IF('Quantification Tool R3'!$B$12="65j",ROUND(IF(E266&gt;=0.32,0,IF(E266&lt;=0.01,1,IF(E266&lt;=0.25,E266*'Reference Standards'!$AH$91+'Reference Standards'!$AH$92,E266*'Reference Standards'!$AF$91+'Reference Standards'!$AF$92))),2),IF('Quantification Tool R3'!$B$12="71f",ROUND(IF(E266&gt;=3,0,IF(E266&lt;=0,1,IF(E266&lt;=0.01,0.7,E266^2*'Reference Standards'!$AB$126+E266*'Reference Standards'!$AB$127+'Reference Standards'!$AB$128))),2),IF('Quantification Tool R3'!$B$12="74a",ROUND(IF(E266&gt;=0.14,0,IF(E266&lt;=0.01,1,IF(E266&lt;=0.02,0.7,E266^2*'Reference Standards'!$AC$126+E266*'Reference Standards'!$AC$127+'Reference Standards'!$AC$128))),2),IF(OR('Quantification Tool R3'!$B$12="67fhi",'Quantification Tool R3'!$B$12="67g"),ROUND(IF(E266&gt;=1.9,0,IF(E266&lt;=0.01,1,IF(E266&lt;=0.05,E266*'Reference Standards'!$AF$127+'Reference Standards'!$AF$128,E266^2*'Reference Standards'!$AD$126+E266*'Reference Standards'!$AD$127+'Reference Standards'!$AD$128))),2),IF('Quantification Tool R3'!$B$12="73a",ROUND(IF(E266&gt;=1.44,0,IF(E266&lt;=0.01,1,IF(E266&lt;=0.12,E266*'Reference Standards'!$AG$127+'Reference Standards'!$AG$128,E266^2*'Reference Standards'!$AE$126+E266*'Reference Standards'!$AE$127+'Reference Standards'!$AE$128))),2),IF('Quantification Tool R3'!$B$12="66d",ROUND(IF(E266&gt;=0.46,0,IF(E266&lt;=0.02,1,IF(E266&lt;=0.08,E266*'Reference Standards'!$AF$163+'Reference Standards'!$AF$164,E266^2*'Reference Standards'!$AB$162+E266*'Reference Standards'!$AB$163+'Reference Standards'!$AB$164))),2),IF(OR('Quantification Tool R3'!$B$12="71g",'Quantification Tool R3'!$B$12="71h",'Quantification Tool R3'!$B$12="71i"),ROUND(IF(E266&gt;=3,0,IF(E266&lt;=0.06,1,IF(E266&lt;=0.24,E266*'Reference Standards'!$AG$163+'Reference Standards'!$AG$164,E266^2*'Reference Standards'!$AC$162+E266*'Reference Standards'!$AC$163+'Reference Standards'!$AC$164))),2),IF('Quantification Tool R3'!$B$12="74b",ROUND(IF(E266&gt;=1.3,0,IF(E266&lt;=0.29,1,IF(E266&lt;=0.48,E266*'Reference Standards'!$AH$163+'Reference Standards'!$AH$164,E266^2*'Reference Standards'!$AD$162+E266*'Reference Standards'!$AD$163+'Reference Standards'!$AD$164))),2),IF('Quantification Tool R3'!$B$12="71e",ROUND(IF(E266&gt;=4.3,0,IF(E266&lt;=0.53,1,IF(E266&lt;=0.67,E266*'Reference Standards'!$AI$163+'Reference Standards'!$AI$164,E266^2*'Reference Standards'!$AE$162+E266*'Reference Standards'!$AE$163+'Reference Standards'!$AE$164))),2)))))))))))))),IF('Quantification Tool R3'!$B$13&gt;2.5,IF('Quantification Tool R3'!$B$12="73a",ROUND(IF(E266&gt;=0.55,0,IF(E266&lt;=0,1,E266^2*'Reference Standards'!$AB$232+E266*'Reference Standards'!$AB$233+'Reference Standards'!$AB$234)),2),IF('Quantification Tool R3'!$B$12="68a",ROUND(IF(E266&gt;=0.54,0,IF(E266&lt;=0,1,IF(E266&lt;=0.01,0.85,E266^2*'Reference Standards'!$AC$232+E266*'Reference Standards'!$AC$233+'Reference Standards'!$AC$234))),2),IF('Quantification Tool R3'!$B$12="74a",ROUND(IF(E266&gt;=0.47,0,IF(E266&lt;=0.01,1,IF(E266&lt;=0.02,0.7,E266^2*'Reference Standards'!$AD$232+E266*'Reference Standards'!$AD$233+'Reference Standards'!$AD$234))),2),IF('Quantification Tool R3'!$B$12="69de",ROUND(IF(E266&gt;=0.26,0,IF(E266&lt;=0.01,1,IF(E266&lt;=0.02,0.85,E266^2*'Reference Standards'!$AE$232+E266*'Reference Standards'!$AE$233+'Reference Standards'!$AE$234))),2),IF('Quantification Tool R3'!$B$12="71f",ROUND(IF(E266&gt;=0.87,0,IF(E266&lt;=0.01,1,IF(E266&lt;=0.04,E266*'Reference Standards'!$AF$269+'Reference Standards'!$AF$270,E266^2*'Reference Standards'!$AB$268+E266*'Reference Standards'!$AB$269+'Reference Standards'!$AB$270))),2),IF('Quantification Tool R3'!$B$12="65abei",ROUND(IF(E266&gt;=0.82,0,IF(E266&lt;=0.01,1,IF(E266&lt;=0.06,E266*'Reference Standards'!$AG$269+'Reference Standards'!$AG$270,E266^2*'Reference Standards'!$AC$268+E266*'Reference Standards'!$AC$269+'Reference Standards'!$AC$270))),2),IF('Quantification Tool R3'!$B$12="65j",ROUND(IF(E266&gt;=0.33,0,IF(E266&lt;=0.03,1,IF(E266&lt;=0.09,E266*'Reference Standards'!$AH$269+'Reference Standards'!$AH$270,E266^2*'Reference Standards'!$AD$268+E266*'Reference Standards'!$AD$269+'Reference Standards'!$AD$270))),2),IF('Quantification Tool R3'!$B$12="68c",ROUND(IF(E266&gt;=0.7,0,IF(E266&lt;=0.07,1,IF(E266&lt;=0.12,E266*'Reference Standards'!$AI$269+'Reference Standards'!$AI$270,E266^2*'Reference Standards'!$AE$268+E266*'Reference Standards'!$AE$269+'Reference Standards'!$AE$270))),2),IF(OR('Quantification Tool R3'!$B$12="67fhi",'Quantification Tool R3'!$B$12="67g"),ROUND(IF(E266&gt;=1.8,0,IF(E266&lt;=0.08,1,IF(E266&lt;=0.2,E266*'Reference Standards'!$AF$306+'Reference Standards'!$AF$307,E266^2*'Reference Standards'!$AB$305+E266*'Reference Standards'!$AB$306+'Reference Standards'!$AB$307))),2),IF('Quantification Tool R3'!$B$12="74b",ROUND(IF(E266&gt;=0.96,0,IF(E266&lt;=0.12,1,IF(E266&lt;=0.16,E266*'Reference Standards'!$AG$306+'Reference Standards'!$AG$307,E266^2*'Reference Standards'!$AC$305+E266*'Reference Standards'!$AC$306+'Reference Standards'!$AC$307))),2),IF('Quantification Tool R3'!$B$12="66d",ROUND(IF(E266&gt;=0.75,0,IF(E266&lt;=0.13,1,IF(E266&lt;=0.2,E266*'Reference Standards'!$AH$306+'Reference Standards'!$AH$307,E266^2*'Reference Standards'!$AD$305+E266*'Reference Standards'!$AD$306+'Reference Standards'!$AD$307))),2),IF(OR('Quantification Tool R3'!$B$12="71g",'Quantification Tool R3'!$B$12="71h",'Quantification Tool R3'!$B$12="71i"),ROUND(IF(E266&gt;=1.68,0,IF(E266&lt;=0.08,1,IF(E266&lt;=0.23,E266*'Reference Standards'!$AI$306+'Reference Standards'!$AI$307,E266^2*'Reference Standards'!$AE$305+E266*'Reference Standards'!$AE$306+'Reference Standards'!$AE$307))),2),IF('Quantification Tool R3'!$B$12="71e",ROUND(IF(E266&gt;=5.3,0,IF(E266&lt;=0.94,1,IF(E266&lt;=1.4,E266*'Reference Standards'!$AF$310+'Reference Standards'!$AF$311,E266^2*'Reference Standards'!$AB$309+E266*'Reference Standards'!$AB$310+'Reference Standards'!$AB$311))),2))))))))))))))))))))</f>
        <v/>
      </c>
      <c r="G266" s="86" t="str">
        <f>IFERROR(AVERAGE(F266),"")</f>
        <v/>
      </c>
      <c r="H266" s="548"/>
      <c r="I266" s="535"/>
      <c r="J266" s="559"/>
      <c r="K266" s="555"/>
      <c r="L266" s="21"/>
    </row>
    <row r="267" spans="1:12" ht="15.6" x14ac:dyDescent="0.3">
      <c r="A267" s="539"/>
      <c r="B267" s="298" t="s">
        <v>82</v>
      </c>
      <c r="C267" s="66" t="s">
        <v>280</v>
      </c>
      <c r="D267" s="66"/>
      <c r="E267" s="136"/>
      <c r="F267" s="343" t="str">
        <f>IF(E267="","",IF(ISNUMBER('Quantification Tool R3'!$B$13),IF('Quantification Tool R3'!$B$13&gt;2.5,IF(OR('Quantification Tool R3'!$B$12="71h",'Quantification Tool R3'!$B$12="71i",'Quantification Tool R3'!$B$12="73a",'Quantification Tool R3'!$B$12="74a"),IF(E267&lt;=0.01,1,IF(OR('Quantification Tool R3'!$B$12="71h",'Quantification Tool R3'!$B$12="71i"),IF(E267&gt;0.37,0,ROUND(IF(E267&gt;0.03,'Reference Standards'!$AB$425*E267^2+'Reference Standards'!$AB$426*E267+'Reference Standards'!$AB$427,'Reference Standards'!$AF$426*E267+'Reference Standards'!$AF$427),2)),IF('Quantification Tool R3'!$B$12="73a",IF(E267&gt;0.405,0,ROUND(IF(E267&gt;0.046,'Reference Standards'!$AC$425*E267^2+'Reference Standards'!$AC$426*E267+'Reference Standards'!$AC$427,'Reference Standards'!$AG$426*E267+'Reference Standards'!$AG$427),2)),IF('Quantification Tool R3'!$B$12="74a",IF(E267&gt;0.3,0,ROUND(IF(E267&gt;0.052,'Reference Standards'!$AD$425*E267^2+'Reference Standards'!$AD$426*E267+'Reference Standards'!$AD$427,'Reference Standards'!$AH$426*E267+'Reference Standards'!$AH$427),2)))))),IF(E267&lt;=0.002,1,IF(OR('Quantification Tool R3'!$B$12="66d",'Quantification Tool R3'!$B$12="66e",'Quantification Tool R3'!$B$12="66g"),IF(E267&gt;0.053,0,ROUND(E267^2*'Reference Standards'!$AB$347+E267*'Reference Standards'!$AB$348+'Reference Standards'!$AB$349,2)),IF('Quantification Tool R3'!$B$12="68b",IF(E267&gt;0.05,0,ROUND(E267^2*'Reference Standards'!$AC$347+E267*'Reference Standards'!$AC$348+'Reference Standards'!$AC$349,2)),IF(OR('Quantification Tool R3'!$B$12="68a",'Quantification Tool R3'!$B$12="68c"),IF(E267&gt;0.07,0,ROUND(E267^2*'Reference Standards'!$AD$347+E267*'Reference Standards'!$AD$348+'Reference Standards'!$AD$349,2)),IF(OR('Quantification Tool R3'!$B$12="71f",'Quantification Tool R3'!$B$12="71g"),IF(E267&gt;0.13,0,ROUND(IF(E267&gt;0.042,E267*'Reference Standards'!$AE$348+'Reference Standards'!$AE$349,E267*'Reference Standards'!$AF$348+'Reference Standards'!$AF$349),2)),IF('Quantification Tool R3'!$B$12="67fhi",IF(E267&gt;0.16,0,ROUND(E267^2*'Reference Standards'!$AG$347+E267*'Reference Standards'!$AG$348+'Reference Standards'!$AG$349,2)),IF('Quantification Tool R3'!$B$12="65j",IF(E267&gt;0.035,0,ROUND(IF(E267&lt;=0.003,0.7,E267^2*'Reference Standards'!$AB$387+E267*'Reference Standards'!$AB$388+'Reference Standards'!$AB$389),2)),IF('Quantification Tool R3'!$B$12="69de",IF(E267&gt;0.037,0,ROUND(IF(E267&lt;=0.003,0.7,E267^2*'Reference Standards'!$AC$387+E267*'Reference Standards'!$AC$388+'Reference Standards'!$AC$389),2)),IF('Quantification Tool R3'!$B$12="71e",IF(E267&gt;0.23,0,ROUND(IF(E267&lt;=0.003,0.7,E267^2*'Reference Standards'!$AD$387+E267*'Reference Standards'!$AD$388+'Reference Standards'!$AD$389),2)),IF('Quantification Tool R3'!$B$12="66f",IF(E267&gt;0.06,0,ROUND(IF(E267&lt;=0.003,0.85,IF(E267&lt;=0.004,0.7,E267^2*'Reference Standards'!$AE$387+E267*'Reference Standards'!$AE$388+'Reference Standards'!$AE$389)),2)),IF('Quantification Tool R3'!$B$12="67g",IF(E267&gt;0.11,0,ROUND(IF(E267&lt;=0.01,E267*'Reference Standards'!$AH$388+'Reference Standards'!$AH$389,E267^2*'Reference Standards'!$AF$387+E267*'Reference Standards'!$AF$388+'Reference Standards'!$AF$389),2)),IF('Quantification Tool R3'!$B$12="74b",IF(E267&gt;0.49,0,ROUND(IF(E267&lt;=0.01,E267*'Reference Standards'!$AH$388+'Reference Standards'!$AH$389,E267^2*'Reference Standards'!$AG$387+E267*'Reference Standards'!$AG$388+'Reference Standards'!$AG$389),2)),IF('Quantification Tool R3'!$B$12="65abei",IF(E267&gt;0.199,0,ROUND(IF(E267&lt;=0.01,E267*'Reference Standards'!$AI$426+'Reference Standards'!$AI$427,E267^2*'Reference Standards'!$AE$425+E267*'Reference Standards'!$AE$426+'Reference Standards'!$AE$427),2)))))))))))))))),IF('Quantification Tool R3'!$B$13&lt;=2.5,IF(OR('Quantification Tool R3'!$B$12="66d",'Quantification Tool R3'!$B$12="66e",'Quantification Tool R3'!$B$12="66g"),IF(E267&gt;0.05,0,ROUND(IF(E267&lt;=0.002,1,IF(E267&lt;=0.005,E267*'Reference Standards'!$AF$464+'Reference Standards'!$AF$465,E267^2*'Reference Standards'!$AB$463+E267*'Reference Standards'!$AB$464+'Reference Standards'!$AB$465)),2)),IF('Quantification Tool R3'!$B$12="67fhi",IF(E267&gt;0.1,0,ROUND(IF(E267&lt;=0.002,1,IF(E267&lt;=0.006,E267*'Reference Standards'!$AG$464+'Reference Standards'!$AG$465,E267^2*'Reference Standards'!$AC$463+E267*'Reference Standards'!$AC$464+'Reference Standards'!$AC$465)),2)),IF('Quantification Tool R3'!$B$12="65abei",IF(E267&gt;0.13,0,ROUND(IF(E267&lt;=0.003,1,IF(E267&lt;=0.008,E267*'Reference Standards'!$AH$464+'Reference Standards'!$AH$465,E267^2*'Reference Standards'!$AD$463+E267*'Reference Standards'!$AD$464+'Reference Standards'!$AD$465)),2)),IF('Quantification Tool R3'!$B$12="68b",IF(E267&gt;0.043,0,ROUND(IF(E267&lt;=0.004,1,IF(E267&lt;=0.005,0.7,E267^2*'Reference Standards'!$AE$463+E267*'Reference Standards'!$AE$464+'Reference Standards'!$AE$465)),2)),IF('Quantification Tool R3'!$B$12="69de",IF(E267&gt;=0.034,0,ROUND(IF(E267&lt;=0.003,1,IF(E267&lt;=0.006,E267*'Reference Standards'!$AG$500+'Reference Standards'!$AG$501,E267*'Reference Standards'!$AB$500+'Reference Standards'!$AB$501)),2)),IF(OR('Quantification Tool R3'!$B$12="68a",'Quantification Tool R3'!$B$12="68c"),IF(E267&gt;0.202,0,ROUND(IF(E267&lt;=0.003,1,IF(E267&lt;=0.006,E267*'Reference Standards'!$AG$500+'Reference Standards'!$AG$501,IF(E267&gt;=0.04,E267*'Reference Standards'!$AC$500+'Reference Standards'!$AC$501,E267*'Reference Standards'!$AE$500+'Reference Standards'!$AE$501))),2)),IF(OR('Quantification Tool R3'!$B$12="71f",'Quantification Tool R3'!$B$12="71g"),IF(E267&gt;0.631,0,ROUND(IF(E267&lt;=0.003,1,IF(E267&lt;=0.006,E267*'Reference Standards'!$AG$500+'Reference Standards'!$AG$501,IF(E267&gt;=0.17,E267*'Reference Standards'!$AD$500+'Reference Standards'!$AD$501,E267*'Reference Standards'!$AF$500+'Reference Standards'!$AF$501))),2)),IF('Quantification Tool R3'!$B$12="71e",IF(E267&gt;1.23,0,ROUND(IF(E267&lt;=0.004,1,IF(E267&lt;=0.006,E267*'Reference Standards'!$AF$538+'Reference Standards'!$AF$539,E267^2*'Reference Standards'!$AB$537+E267*'Reference Standards'!$AB$538+'Reference Standards'!$AB$539)),2)),IF('Quantification Tool R3'!$B$12="67g",IF(E267&gt;0.11,0,ROUND(IF(E267&lt;=0.006,1,IF(E267&lt;=0.011,E267*'Reference Standards'!$AG$538+'Reference Standards'!$AG$539,E267^2*'Reference Standards'!$AC$537+E267*'Reference Standards'!$AC$538+'Reference Standards'!$AC$539)),2)),IF('Quantification Tool R3'!$B$12="65j",IF(E267&gt;0.046,0,ROUND(IF(E267&lt;=0.007,1,IF(E267&lt;=0.012,E267*'Reference Standards'!$AH$538+'Reference Standards'!$AH$539,E267^2*'Reference Standards'!$AD$537+E267*'Reference Standards'!$AD$538+'Reference Standards'!$AD$539)),2)),IF('Quantification Tool R3'!$B$12="66f",IF(E267&gt;0.081,0,ROUND(IF(E267&lt;=0.008,1,IF(E267&lt;=0.011,E267*'Reference Standards'!$AI$538+'Reference Standards'!$AI$539,E267^2*'Reference Standards'!$AE$537+E267*'Reference Standards'!$AE$538+'Reference Standards'!$AE$539)),2)),IF(OR('Quantification Tool R3'!$B$12="71h",'Quantification Tool R3'!$B$12="71i"),IF(E267&gt;0.37,0,ROUND(IF(E267&lt;=0.013,1,IF(E267&lt;=0.032,E267*'Reference Standards'!$AH$576+'Reference Standards'!$AH$577,IF(E267&lt;=0.3,E267*'Reference Standards'!$AF$576+'Reference Standards'!$AF$577,E267*'Reference Standards'!$AB$576+'Reference Standards'!$AB$577))),2)),IF('Quantification Tool R3'!$B$12="73a",IF(E267&gt;0.448,0,ROUND(IF(E267&lt;=0.071,1,IF(E267&lt;=0.086,E267*'Reference Standards'!$AJ$576+'Reference Standards'!$AJ$577,IF(E267&lt;=0.165,E267*'Reference Standards'!$AG$576+'Reference Standards'!$AG$577,E267*'Reference Standards'!$AE$576+'Reference Standards'!$AE$577))),2)),IF('Quantification Tool R3'!$B$12="74b",IF(E267&gt;0.43,0,ROUND(IF(E267&lt;=0.018,1,IF(E267&lt;=0.019,0.85,IF(E267&lt;=0.02,0.7,E267^2*'Reference Standards'!$AC$575+E267*'Reference Standards'!$AC$576+'Reference Standards'!$AC$577))),2)),IF('Quantification Tool R3'!$B$12="74a",IF(E267&gt;0.217,0,ROUND(IF(E267&lt;=0.02,1,IF(E267&lt;=0.033,E267*'Reference Standards'!$AI$576+'Reference Standards'!$AI$577,E267^2*'Reference Standards'!$AD$575+E267*'Reference Standards'!$AD$576+'Reference Standards'!$AD$577)),2)))))))))))))))))))))</f>
        <v/>
      </c>
      <c r="G267" s="87" t="str">
        <f>IFERROR(AVERAGE(F267),"")</f>
        <v/>
      </c>
      <c r="H267" s="549"/>
      <c r="I267" s="536"/>
      <c r="J267" s="559"/>
      <c r="K267" s="555"/>
      <c r="L267" s="21"/>
    </row>
    <row r="268" spans="1:12" ht="15.6" x14ac:dyDescent="0.3">
      <c r="A268" s="550" t="s">
        <v>59</v>
      </c>
      <c r="B268" s="560" t="s">
        <v>340</v>
      </c>
      <c r="C268" s="125" t="s">
        <v>331</v>
      </c>
      <c r="D268" s="126"/>
      <c r="E268" s="166"/>
      <c r="F268" s="345" t="str">
        <f>IF(E268="","",IF(OR('Quantification Tool R3'!B$12="73a",'Quantification Tool R3'!B$12="73b"),IF(E268&lt;1,0,IF(E268&gt;=30,1,ROUND(IF(E268&lt;22,'Reference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531" t="str">
        <f>IFERROR(AVERAGE(F268:F271),"")</f>
        <v/>
      </c>
      <c r="H268" s="568" t="str">
        <f>IFERROR(ROUND(AVERAGE(G268:G273),2),"")</f>
        <v/>
      </c>
      <c r="I268" s="519" t="str">
        <f>IF(H268="","",IF(H268&gt;0.69,"Functioning",IF(H268&gt;0.29,"Functioning At Risk",IF(H268&gt;-1,"Not Functioning"))))</f>
        <v/>
      </c>
      <c r="J268" s="559"/>
      <c r="K268" s="555"/>
      <c r="L268" s="21"/>
    </row>
    <row r="269" spans="1:12" ht="15.6" x14ac:dyDescent="0.3">
      <c r="A269" s="556"/>
      <c r="B269" s="561"/>
      <c r="C269" s="174" t="s">
        <v>335</v>
      </c>
      <c r="D269" s="175"/>
      <c r="E269" s="165"/>
      <c r="F269" s="346" t="str">
        <f>IF(E269="","",IF(AND('Quantification Tool R3'!$B$12="74b",'Quantification Tool R3'!$B$13&lt;=2),IF(E269&lt;0,0,IF(E269&gt;15.6,0.69,ROUND('Reference Standards'!$AL$54*E269^2+'Reference Standards'!$AL$55*E269+'Reference Standards'!$AL$56,2))),IF(AND('Quantification Tool R3'!$B$12="65abei",'Quantification Tool R3'!$B$13&lt;=2),IF(E269&lt;0,0,IF(E269&gt;=20,0.69,ROUND('Reference Standards'!$AM$54*E269^2+'Reference Standards'!$AM$55*E269+'Reference Standards'!$AM$56,2))),IF(OR(AND('Quantification Tool R3'!$B$12="74a",'Quantification Tool R3'!$B$13&gt;2,'Quantification Tool R3'!$B$19="January - June"),AND('Quantification Tool R3'!$B$12="71i",'Quantification Tool R3'!$B$13&gt;2,'Quantification Tool R3'!$B$20="SQBANK")),IF(E269&lt;0,0,IF(E269&gt;24.7,0.69,ROUND('Reference Standards'!$AN$54*E269^2+'Reference Standards'!$AN$55*E269+'Reference Standards'!$AN$56,2))),IF(OR('Quantification Tool R3'!$B$12="74b",'Quantification Tool R3'!$B$12="65abei"),IF(E269&lt;0,0,IF(E269&gt;32.7,0.69,ROUND('Reference Standards'!$AO$54*E269^2+'Reference Standards'!$AO$55*E269+'Reference Standards'!$AO$56,2))),IF(AND('Quantification Tool R3'!$B$12="68b",'Quantification Tool R3'!$B$13&gt;2),IF(E269&lt;0,0,IF(E269&gt;41.2,0.69,ROUND('Reference Standards'!$AP$54*E269^2+'Reference Standards'!$AP$55*E269+'Reference Standards'!$AP$56,2))),IF(OR(AND('Quantification Tool R3'!$B$12="71i",'Quantification Tool R3'!$B$13&lt;=2),AND(OR('Quantification Tool R3'!$B$12="68c",'Quantification Tool R3'!$B$12="68d"),'Quantification Tool R3'!$B$19="January - June")),IF(E269&lt;0,0,IF(E269&gt;49.2,0.69,ROUND('Reference Standards'!$AL$94*E269^2+'Reference Standards'!$AL$95*E269+'Reference Standards'!$AL$96,2))),IF(OR(AND('Quantification Tool R3'!$B$12="68a",'Quantification Tool R3'!$B$19="January - June"),AND(OR('Quantification Tool R3'!$B$12="68c",'Quantification Tool R3'!$B$12="68d"),'Quantification Tool R3'!$B$19="July - December")),IF(E269&lt;0,0,IF(E269&gt;53.4,0.69,ROUND('Reference Standards'!$AM$94*E269^2+'Reference Standards'!$AM$95*E269+'Reference Standards'!$AM$96,2))),IF(OR(AND('Quantification Tool R3'!$B$12="71i",'Quantification Tool R3'!$B$13&gt;2,'Quantification Tool R3'!$B$20="SQKICK"),AND(OR('Quantification Tool R3'!$B$12="67fhi",'Quantification Tool R3'!$B$12="67g"),'Quantification Tool R3'!$B$13&lt;=2),'Quantification Tool R3'!$B$12="65j"),IF(E269&lt;0,0,IF(E269&gt;57.8,0.69,ROUND('Reference Standards'!$AN$94*E269^2+'Reference Standards'!$AN$95*E269+'Reference Standards'!$AN$96,2))),IF(OR(AND('Quantification Tool R3'!$B$12="74a",'Quantification Tool R3'!$B$13&gt;2,'Quantification Tool R3'!$B$19="July - December"),AND(OR('Quantification Tool R3'!$B$12="67fhi",'Quantification Tool R3'!$B$12="67g"),'Quantification Tool R3'!$B$13&gt;2),'Quantification Tool R3'!$B$12="69de"),IF(E269&lt;0,0,IF(E269&gt;62.5,0.69,ROUND('Reference Standards'!$AO$94*E269^2+'Reference Standards'!$AO$95*E269+'Reference Standards'!$AO$96,2))),  IF(OR('Quantification Tool R3'!$B$12="66d",'Quantification Tool R3'!$B$12="66e",'Quantification Tool R3'!$B$12="66ik",'Quantification Tool R3'!$B$12="71e",'Quantification Tool R3'!$B$12="71f",'Quantification Tool R3'!$B$12="71g",'Quantification Tool R3'!$B$12="71h"),IF(E269&lt;0,0,IF(E269&gt;66.5,0.69,ROUND('Reference Standards'!$AP$94*E269^2+'Reference Standards'!$AP$95*E269+'Reference Standards'!$AP$96,2))),IF(OR('Quantification Tool R3'!$B$12="66f",'Quantification Tool R3'!$B$12="66g",'Quantification Tool R3'!$B$12="66j",AND('Quantification Tool R3'!$B$12="68a",'Quantification Tool R3'!$B$19="July - December")), IF(E269&lt;0,0,IF(E269&gt;69,0.69,ROUND('Reference Standards'!$AQ$94*E269^2+'Reference Standards'!$AQ$95*E269+'Reference Standards'!$AQ$96,2))))   )))))))))))</f>
        <v/>
      </c>
      <c r="G269" s="531"/>
      <c r="H269" s="568"/>
      <c r="I269" s="519"/>
      <c r="J269" s="559"/>
      <c r="K269" s="555"/>
      <c r="L269" s="21"/>
    </row>
    <row r="270" spans="1:12" ht="15.6" x14ac:dyDescent="0.3">
      <c r="A270" s="556"/>
      <c r="B270" s="561"/>
      <c r="C270" s="174" t="s">
        <v>339</v>
      </c>
      <c r="D270" s="175"/>
      <c r="E270" s="165"/>
      <c r="F270" s="346" t="str">
        <f>IF(E270="","",IF(AND('Quantification Tool R3'!$B$12="74b",'Quantification Tool R3'!$B$13&lt;=2),IF(E270&lt;0,0,IF(E270&gt;8.1,0.69,ROUND('Reference Standards'!$AL$131*E270^2+'Reference Standards'!$AL$132*E270+'Reference Standards'!$AL$133,2))),IF(OR('Quantification Tool R3'!$B$12="73a",'Quantification Tool R3'!$B$12="73b"),IF(E270&lt;0,0,IF(E270&gt;=28,0.69,ROUND('Reference Standards'!$AM$131*E270^2+'Reference Standards'!$AM$132*E270+'Reference Standards'!$AM$133,2))),IF(AND('Quantification Tool R3'!$B$12="74a",'Quantification Tool R3'!$B$13&gt;2,'Quantification Tool R3'!$B$19="January - June"),IF(E270&lt;0,0,IF(E270&gt;=32.5,0.69,ROUND('Reference Standards'!$AN$131*E270^2+'Reference Standards'!$AN$132*E270+'Reference Standards'!$AN$133,2))),IF(AND('Quantification Tool R3'!$B$12="71i",'Quantification Tool R3'!$B$13&gt;2,'Quantification Tool R3'!$B$20="SQBANK"),IF(E270&lt;0,0,IF(E270&gt;=37,0.69,ROUND('Reference Standards'!$AO$131*E270^2+'Reference Standards'!$AO$132*E270+'Reference Standards'!$AO$133,2))),IF(OR(AND(OR('Quantification Tool R3'!$B$12="65abei",'Quantification Tool R3'!$B$12="74b"),'Quantification Tool R3'!$B$13&gt;2),AND('Quantification Tool R3'!$B$12="71i",'Quantification Tool R3'!$B$13&gt;2,'Quantification Tool R3'!$B$20="SQKICK")),IF(E270&lt;0,0,IF(E270&gt;42.6,0.69,ROUND('Reference Standards'!$AP$131*E270^2+'Reference Standards'!$AP$132*E270+'Reference Standards'!$AP$133,2))),     IF(OR(AND('Quantification Tool R3'!$B$12="65abei",'Quantification Tool R3'!$B$13&lt;=2),AND(OR('Quantification Tool R3'!$B$12="68c",'Quantification Tool R3'!$B$12="68d"),'Quantification Tool R3'!$B$19="July - December"),'Quantification Tool R3'!$B$12="71e"),IF(E270&lt;0,0,IF(E270&gt;=48,0.69,ROUND('Reference Standards'!$AL$171*E270^2+'Reference Standards'!$AL$172*E270+'Reference Standards'!$AL$173,2))),IF(OR('Quantification Tool R3'!$B$12="65j",'Quantification Tool R3'!$B$12="67fhi",'Quantification Tool R3'!$B$12="67g",AND('Quantification Tool R3'!$B$12="74a",'Quantification Tool R3'!$B$19="July - December",'Quantification Tool R3'!$B$13&gt;2),AND('Quantification Tool R3'!$B$12="71i",'Quantification Tool R3'!$B$13&lt;=2)),IF(E270&lt;0,0,IF(E270&gt;=53,0.69,ROUND('Reference Standards'!$AM$171*E270^2+'Reference Standards'!$AM$172*E270+'Reference Standards'!$AM$173,2))),IF(OR(AND(OR('Quantification Tool R3'!$B$12="68b",'Quantification Tool R3'!$B$12="71f",'Quantification Tool R3'!$B$12="71g",'Quantification Tool R3'!$B$12="71h"),'Quantification Tool R3'!$B$13&gt;2),'Quantification Tool R3'!$B$12="68a"),IF(E270&lt;0,0,IF(E270&gt;=57,0.69,ROUND('Reference Standards'!$AN$171*E270^2+'Reference Standards'!$AN$172*E270+'Reference Standards'!$AN$173,2))),IF(OR('Quantification Tool R3'!$B$12="66f",'Quantification Tool R3'!$B$12="66g",'Quantification Tool R3'!$B$12="66j",AND(OR('Quantification Tool R3'!$B$12="71f",'Quantification Tool R3'!$B$12="71g",'Quantification Tool R3'!$B$12="71h"),'Quantification Tool R3'!$B$13&lt;=2)),IF(E270&lt;0,0,IF(E270&gt;=60,0.69,ROUND('Reference Standards'!$AO$171*E270^2+'Reference Standards'!$AO$172*E270+'Reference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December")),IF(E270&lt;0,0,IF(E270&gt;=67.5,0.69,ROUND('Reference Standards'!$AP$171*E270^2+'Reference Standards'!$AP$172*E270+'Reference Standards'!$AP$173,2))),IF(AND('Quantification Tool R3'!$B$12="69de",'Quantification Tool R3'!$B$19="January - June"), IF(E270&lt;0,0,IF(E270&gt;=72,0.69,ROUND('Reference Standards'!$AQ$171*E270^2+'Reference Standards'!$AQ$172*E270+'Reference Standards'!$AQ$173,2))))   )))))))))))</f>
        <v/>
      </c>
      <c r="G270" s="531"/>
      <c r="H270" s="568"/>
      <c r="I270" s="519"/>
      <c r="J270" s="559"/>
      <c r="K270" s="555"/>
      <c r="L270" s="21"/>
    </row>
    <row r="271" spans="1:12" ht="15.6" x14ac:dyDescent="0.3">
      <c r="A271" s="556"/>
      <c r="B271" s="562"/>
      <c r="C271" s="127" t="s">
        <v>336</v>
      </c>
      <c r="D271" s="71"/>
      <c r="E271" s="167"/>
      <c r="F271" s="346" t="str">
        <f>IF(E271="","",IF(OR('Quantification Tool R3'!$B$12="67fhi",'Quantification Tool R3'!$B$12="67g",'Quantification Tool R3'!$B$12="71e",'Quantification Tool R3'!$B$12="73a",'Quantification Tool R3'!$B$12="73b",AND(OR('Quantification Tool R3'!$B$12="71f",'Quantification Tool R3'!$B$12="71g",'Quantification Tool R3'!$B$12="71h"),'Quantification Tool R3'!$B$13&gt;2)),IF(E271&gt;100,0,IF(E271&lt;15,0.69,ROUND('Reference Standards'!$AL$208*E271^2+'Reference Standards'!$AL$209*E271+'Reference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),IF(E271&gt;100,0,IF(E271&lt;19,0.69,ROUND('Reference Standards'!$AM$208*E271^2+'Reference Standards'!$AM$209*E271+'Reference Standards'!$AM$210,2))),    IF(OR(AND('Quantification Tool R3'!$B$12="69de",'Quantification Tool R3'!$B$19="January - June"),AND('Quantification Tool R3'!$B$12="71i",'Quantification Tool R3'!$B$13&gt;2,'Quantification Tool R3'!$B$20="SQKICK" )),IF(E271&gt;100,0,IF(E271&lt;22,0.69,ROUND('Reference Standards'!$AN$208*E271^2+'Reference Standards'!$AN$209*E271+'Reference Standards'!$AN$210,2))),    IF(OR('Quantification Tool R3'!$B$12="65j",AND('Quantification Tool R3'!$B$12="68b",'Quantification Tool R3'!$B$13&gt;2)),IF(E271&gt;100,0,IF(E271&lt;24,0.69,ROUND('Reference Standards'!$AO$208*E271^2+'Reference Standards'!$AO$209*E271+'Reference Standards'!$AO$210,2))),    IF(AND(OR('Quantification Tool R3'!$B$12="65abei",'Quantification Tool R3'!$B$12="71f",'Quantification Tool R3'!$B$12="71g",'Quantification Tool R3'!$B$12="71h"),'Quantification Tool R3'!$B$13&lt;=2),IF(E271&gt;95,0,IF(E271&lt;33,0.69,ROUND('Reference Standards'!$AL$246*E271^2+'Reference Standards'!$AL$247*E271+'Reference Standards'!$AL$248,2))),   IF(AND(OR('Quantification Tool R3'!$B$12="65abei",'Quantification Tool R3'!$B$12="74b"),'Quantification Tool R3'!$B$13&gt;2),IF(E271&gt;97,0,IF(E271&lt;36,0.69,ROUND('Reference Standards'!$AM$246*E271^2+'Reference Standards'!$AM$247*E271+'Reference Standards'!$AM$248,2))),  IF(AND('Quantification Tool R3'!$B$12="74a",'Quantification Tool R3'!$B$19="January - June",'Quantification Tool R3'!$B$13&gt;2),IF(E271&gt;93,0,IF(E271&lt;52,0.69,ROUND('Reference Standards'!$AN$246*E271^2+'Reference Standards'!$AN$247*E271+'Reference Standards'!$AN$248,2))),   IF(AND('Quantification Tool R3'!$B$12="74b",'Quantification Tool R3'!$B$13&lt;=2),IF(E271&gt;97,0,IF(E271&lt;62,0.69,ROUND('Reference Standards'!$AO$246*E271^2+'Reference Standards'!$AO$247*E271+'Reference Standards'!$AO$248,2)))  )))))))))</f>
        <v/>
      </c>
      <c r="G271" s="531"/>
      <c r="H271" s="568"/>
      <c r="I271" s="519"/>
      <c r="J271" s="559"/>
      <c r="K271" s="555"/>
      <c r="L271" s="21"/>
    </row>
    <row r="272" spans="1:12" ht="15.6" x14ac:dyDescent="0.3">
      <c r="A272" s="556"/>
      <c r="B272" s="563" t="s">
        <v>74</v>
      </c>
      <c r="C272" s="125" t="s">
        <v>211</v>
      </c>
      <c r="D272" s="126"/>
      <c r="E272" s="166"/>
      <c r="F272" s="345" t="str">
        <f>IF(E272="","",IF(E272=1,0.15,IF(E272=3,0.5,IF(E272=5,0.85,0))))</f>
        <v/>
      </c>
      <c r="G272" s="564" t="str">
        <f>IFERROR(AVERAGE(F272:F273),"")</f>
        <v/>
      </c>
      <c r="H272" s="568"/>
      <c r="I272" s="519"/>
      <c r="J272" s="559"/>
      <c r="K272" s="555"/>
      <c r="L272" s="21"/>
    </row>
    <row r="273" spans="1:12" ht="15.6" x14ac:dyDescent="0.3">
      <c r="A273" s="551"/>
      <c r="B273" s="563"/>
      <c r="C273" s="127" t="s">
        <v>332</v>
      </c>
      <c r="D273" s="71"/>
      <c r="E273" s="167"/>
      <c r="F273" s="347" t="str">
        <f>IF(E273="","",IF(E273=1,0.15,IF(E273=3,0.5,IF(E273=5,0.85,0))))</f>
        <v/>
      </c>
      <c r="G273" s="565"/>
      <c r="H273" s="568"/>
      <c r="I273" s="519"/>
      <c r="J273" s="559"/>
      <c r="K273" s="555"/>
      <c r="L273" s="21"/>
    </row>
    <row r="274" spans="1:12" x14ac:dyDescent="0.3">
      <c r="L274" s="21"/>
    </row>
    <row r="275" spans="1:12" x14ac:dyDescent="0.3">
      <c r="L275" s="21"/>
    </row>
    <row r="276" spans="1:12" ht="21" x14ac:dyDescent="0.4">
      <c r="A276" s="148" t="s">
        <v>135</v>
      </c>
      <c r="B276" s="246"/>
      <c r="C276" s="249" t="s">
        <v>324</v>
      </c>
      <c r="D276" s="246"/>
      <c r="E276" s="247"/>
      <c r="F276" s="248"/>
      <c r="G276" s="544" t="s">
        <v>18</v>
      </c>
      <c r="H276" s="545"/>
      <c r="I276" s="545"/>
      <c r="J276" s="545"/>
      <c r="K276" s="546"/>
      <c r="L276" s="21"/>
    </row>
    <row r="277" spans="1:12" ht="15.6" x14ac:dyDescent="0.3">
      <c r="A277" s="158" t="s">
        <v>1</v>
      </c>
      <c r="B277" s="158" t="s">
        <v>2</v>
      </c>
      <c r="C277" s="542" t="s">
        <v>3</v>
      </c>
      <c r="D277" s="644"/>
      <c r="E277" s="158" t="s">
        <v>15</v>
      </c>
      <c r="F277" s="158" t="s">
        <v>16</v>
      </c>
      <c r="G277" s="158" t="s">
        <v>19</v>
      </c>
      <c r="H277" s="158" t="s">
        <v>20</v>
      </c>
      <c r="I277" s="314" t="s">
        <v>20</v>
      </c>
      <c r="J277" s="158" t="s">
        <v>21</v>
      </c>
      <c r="K277" s="315" t="s">
        <v>21</v>
      </c>
    </row>
    <row r="278" spans="1:12" ht="15.6" x14ac:dyDescent="0.3">
      <c r="A278" s="540" t="s">
        <v>60</v>
      </c>
      <c r="B278" s="299" t="s">
        <v>86</v>
      </c>
      <c r="C278" s="52" t="s">
        <v>388</v>
      </c>
      <c r="D278" s="52"/>
      <c r="E278" s="162"/>
      <c r="F278" s="338" t="str">
        <f>IF(E278="","",IF(E278&lt;=0,0,IF(E278&gt;=0.95,1,ROUND('Reference Standards'!C$14*E278+'Reference Standards'!C$15,2))))</f>
        <v/>
      </c>
      <c r="G278" s="83" t="str">
        <f>IFERROR(AVERAGE(F278),"")</f>
        <v/>
      </c>
      <c r="H278" s="522" t="str">
        <f>IFERROR(ROUND(AVERAGE(G278:G279),2),"")</f>
        <v/>
      </c>
      <c r="I278" s="519" t="str">
        <f>IF(H278="","",IF(H278&gt;0.69,"Functioning",IF(H278&gt;0.29,"Functioning At Risk",IF(H278&gt;-1,"Not Functioning"))))</f>
        <v/>
      </c>
      <c r="J278" s="559" t="str">
        <f>IF(AND(H278="",H280="",H282="",H304="",H308=""),"",ROUND((IF(H278="",0,H278)*0.2)+(IF(H280="",0,H280)*0.2)+(IF(H282="",0,H282)*0.2)+(IF(H304="",0,H304)*0.2)+(IF(H308="",0,H308)*0.2),2))</f>
        <v/>
      </c>
      <c r="K278" s="555" t="str">
        <f>IF(J278="","",IF(J278&lt;0.3, "Not Functioning",IF(OR(H278&lt;0.7,H280&lt;0.7,H282&lt;0.7,H304&lt;0.7,H308&lt;0.7),"Functioning At Risk",IF(J278&lt;0.7,"Functioning At Risk","Functioning"))))</f>
        <v/>
      </c>
    </row>
    <row r="279" spans="1:12" ht="15.6" x14ac:dyDescent="0.3">
      <c r="A279" s="541"/>
      <c r="B279" s="371" t="s">
        <v>128</v>
      </c>
      <c r="C279" s="373" t="s">
        <v>161</v>
      </c>
      <c r="D279" s="374"/>
      <c r="E279" s="43"/>
      <c r="F279" s="372" t="str">
        <f>IF(E279="","",IF(E279&gt;=1,1,IF(E279&lt;=0,0,ROUND(E279,2))))</f>
        <v/>
      </c>
      <c r="G279" s="367" t="str">
        <f>IFERROR(AVERAGE(F279:F279),"")</f>
        <v/>
      </c>
      <c r="H279" s="523"/>
      <c r="I279" s="519"/>
      <c r="J279" s="559"/>
      <c r="K279" s="555"/>
    </row>
    <row r="280" spans="1:12" ht="15.6" x14ac:dyDescent="0.3">
      <c r="A280" s="524" t="s">
        <v>6</v>
      </c>
      <c r="B280" s="572" t="s">
        <v>7</v>
      </c>
      <c r="C280" s="54" t="s">
        <v>8</v>
      </c>
      <c r="D280" s="54"/>
      <c r="E280" s="162"/>
      <c r="F280" s="339" t="str">
        <f>IF(E280="","",ROUND(IF(E280&gt;1.6,0,IF(E280&lt;=1,1,E280^2*'Reference Standards'!K$14+E280*'Reference Standards'!K$15+'Reference Standards'!K$16)),2))</f>
        <v/>
      </c>
      <c r="G280" s="579" t="str">
        <f>IFERROR(AVERAGE(F280:F281),"")</f>
        <v/>
      </c>
      <c r="H280" s="579" t="str">
        <f>IFERROR(ROUND(AVERAGE(G280),2),"")</f>
        <v/>
      </c>
      <c r="I280" s="569" t="str">
        <f>IF(H280="","",IF(H280&gt;0.69,"Functioning",IF(H280&gt;0.29,"Functioning At Risk",IF(H280&gt;-1,"Not Functioning"))))</f>
        <v/>
      </c>
      <c r="J280" s="559"/>
      <c r="K280" s="555"/>
    </row>
    <row r="281" spans="1:12" ht="15.6" x14ac:dyDescent="0.3">
      <c r="A281" s="525"/>
      <c r="B281" s="572"/>
      <c r="C281" s="54" t="s">
        <v>9</v>
      </c>
      <c r="D281" s="54"/>
      <c r="E281" s="163"/>
      <c r="F281" s="339" t="str">
        <f>IF(E281="","",(IF(OR('Quantification Tool R3'!B$11="A",'Quantification Tool R3'!B$11="B",'Quantification Tool R3'!$B$11="Bc"),IF(E281&lt;1.2,0,IF(E281&gt;=2.2,1,ROUND(IF(E281&lt;1.4,E281*'Reference Standards'!$K$84+'Reference Standards'!$K$85,E281*'Reference Standards'!$L$84+'Reference Standards'!$L$85),2))),IF(OR('Quantification Tool R3'!B$11="C",'Quantification Tool R3'!B$11="E"),IF(E281&lt;2,0,IF(E281&gt;=5,1,ROUND(IF(E281&lt;2.4,E281*'Reference Standards'!$L$49+'Reference Standards'!$L$50,E281*'Reference Standards'!$K$49+'Reference Standards'!$K$50),2)))))))</f>
        <v/>
      </c>
      <c r="G281" s="581"/>
      <c r="H281" s="580"/>
      <c r="I281" s="570"/>
      <c r="J281" s="559"/>
      <c r="K281" s="555"/>
    </row>
    <row r="282" spans="1:12" ht="15.6" x14ac:dyDescent="0.3">
      <c r="A282" s="526" t="s">
        <v>26</v>
      </c>
      <c r="B282" s="557" t="s">
        <v>27</v>
      </c>
      <c r="C282" s="60" t="s">
        <v>333</v>
      </c>
      <c r="D282" s="244"/>
      <c r="E282" s="61"/>
      <c r="F282" s="340" t="str">
        <f>IF(E282="","",IF(OR(LEFT('Quantification Tool R3'!$B$12,2)="65",LEFT('Quantification Tool R3'!$B$12,2)="66",LEFT('Quantification Tool R3'!$B$12,2)="71"),IF(E282&gt;=850,1,IF(E282&lt;250,ROUND('Reference Standards'!$S$17*(E282)+'Reference Standards'!$S$18,2),ROUND('Reference Standards'!$T$17*E282+'Reference Standards'!$T$18,2))),  IF(E282&gt;=345,1,IF(E282&lt;=180,ROUND('Reference Standards'!$U$17*(E282)+'Reference Standards'!$U$18,2),ROUND('Reference Standards'!$V$17*E282+'Reference Standards'!$V$18,2))))    )</f>
        <v/>
      </c>
      <c r="G282" s="528" t="str">
        <f>IFERROR(AVERAGE(F282:F283),"")</f>
        <v/>
      </c>
      <c r="H282" s="566" t="str">
        <f>IFERROR(ROUND(AVERAGE(G282:G303),2),"")</f>
        <v/>
      </c>
      <c r="I282" s="555" t="str">
        <f>IF(H282="","",IF(H282&gt;0.69,"Functioning",IF(H282&gt;0.29,"Functioning At Risk",IF(H282&gt;-1,"Not Functioning"))))</f>
        <v/>
      </c>
      <c r="J282" s="559"/>
      <c r="K282" s="555"/>
    </row>
    <row r="283" spans="1:12" ht="15.6" x14ac:dyDescent="0.3">
      <c r="A283" s="520"/>
      <c r="B283" s="558"/>
      <c r="C283" s="63" t="s">
        <v>323</v>
      </c>
      <c r="D283" s="245"/>
      <c r="E283" s="53"/>
      <c r="F283" s="341" t="str">
        <f>IF(E283="","",IF(OR(LEFT('Quantification Tool R3'!$B$12,2)="65",LEFT('Quantification Tool R3'!$B$12,2)="66",LEFT('Quantification Tool R3'!$B$12,2)="71"),IF(E283&gt;=30,1,IF(E283&lt;13,ROUND('Reference Standards'!$S$53*(E283)+'Reference Standards'!$S$54,2),ROUND('Reference Standards'!$T$53*E283+'Reference Standards'!$T$54,2))),  IF(E283&gt;=16,1,IF(E283&lt;=9,ROUND('Reference Standards'!$U$53*(E283)+'Reference Standards'!$U$54,2),ROUND('Reference Standards'!$V$53*E283+'Reference Standards'!$V$54,2))))    )</f>
        <v/>
      </c>
      <c r="G283" s="530"/>
      <c r="H283" s="566"/>
      <c r="I283" s="555"/>
      <c r="J283" s="559"/>
      <c r="K283" s="555"/>
    </row>
    <row r="284" spans="1:12" ht="15.6" x14ac:dyDescent="0.3">
      <c r="A284" s="520"/>
      <c r="B284" s="520" t="s">
        <v>395</v>
      </c>
      <c r="C284" s="58" t="s">
        <v>80</v>
      </c>
      <c r="D284" s="58"/>
      <c r="E284" s="165"/>
      <c r="F284" s="340" t="str">
        <f>IF(E284="","",ROUND(IF(E284&gt;0.7,0,IF(E284&lt;=0.1,1,E284^3*'Reference Standards'!S$87+E284^2*'Reference Standards'!S$88+E284*'Reference Standards'!S$89+'Reference Standards'!S$90)),2))</f>
        <v/>
      </c>
      <c r="G284" s="528" t="str">
        <f>IFERROR(ROUND(AVERAGE(F284:F287),2),"")</f>
        <v/>
      </c>
      <c r="H284" s="567"/>
      <c r="I284" s="555"/>
      <c r="J284" s="559"/>
      <c r="K284" s="555"/>
    </row>
    <row r="285" spans="1:12" ht="15.6" x14ac:dyDescent="0.3">
      <c r="A285" s="520"/>
      <c r="B285" s="520"/>
      <c r="C285" s="58" t="s">
        <v>49</v>
      </c>
      <c r="D285" s="58"/>
      <c r="E285" s="165"/>
      <c r="F285" s="84"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529"/>
      <c r="H285" s="567"/>
      <c r="I285" s="555"/>
      <c r="J285" s="559"/>
      <c r="K285" s="555"/>
    </row>
    <row r="286" spans="1:12" ht="15.6" x14ac:dyDescent="0.3">
      <c r="A286" s="520"/>
      <c r="B286" s="520"/>
      <c r="C286" s="58" t="s">
        <v>87</v>
      </c>
      <c r="D286" s="58"/>
      <c r="E286" s="165"/>
      <c r="F286" s="84" t="str">
        <f>IF(E286="","",ROUND(IF(E286&gt;40,0,IF(E286&lt;5,1,E286^3*'Reference Standards'!S$122+E286^2*'Reference Standards'!S$123+E286*'Reference Standards'!S$124+'Reference Standards'!S$125)),2))</f>
        <v/>
      </c>
      <c r="G286" s="529"/>
      <c r="H286" s="567"/>
      <c r="I286" s="555"/>
      <c r="J286" s="559"/>
      <c r="K286" s="555"/>
    </row>
    <row r="287" spans="1:12" ht="15.6" x14ac:dyDescent="0.3">
      <c r="A287" s="520"/>
      <c r="B287" s="521"/>
      <c r="C287" s="59" t="s">
        <v>394</v>
      </c>
      <c r="D287" s="59"/>
      <c r="E287" s="167"/>
      <c r="F287" s="341" t="str">
        <f>IF(E287="","",ROUND(IF(E287&gt;=30,0,IF(E287&lt;=0,1,E287*'Reference Standards'!S$156+'Reference Standards'!S$157)),2))</f>
        <v/>
      </c>
      <c r="G287" s="530"/>
      <c r="H287" s="567"/>
      <c r="I287" s="555"/>
      <c r="J287" s="559"/>
      <c r="K287" s="555"/>
    </row>
    <row r="288" spans="1:12" ht="15.6" x14ac:dyDescent="0.3">
      <c r="A288" s="520"/>
      <c r="B288" s="520" t="s">
        <v>50</v>
      </c>
      <c r="C288" s="60" t="s">
        <v>377</v>
      </c>
      <c r="D288" s="64"/>
      <c r="E288" s="136"/>
      <c r="F288" s="294" t="str">
        <f>IF(E288="","",ROUND(IF(E288&gt;9.2,1,E288*'Reference Standards'!$S$189+'Reference Standards'!$S$190),2))</f>
        <v/>
      </c>
      <c r="G288" s="552" t="str">
        <f>IFERROR(ROUND(AVERAGE(F288:F297),2),"")</f>
        <v/>
      </c>
      <c r="H288" s="567"/>
      <c r="I288" s="555"/>
      <c r="J288" s="559"/>
      <c r="K288" s="555"/>
    </row>
    <row r="289" spans="1:13" ht="15.6" x14ac:dyDescent="0.3">
      <c r="A289" s="520"/>
      <c r="B289" s="520"/>
      <c r="C289" s="62" t="s">
        <v>378</v>
      </c>
      <c r="D289" s="58"/>
      <c r="E289" s="162"/>
      <c r="F289" s="294" t="str">
        <f>IF(E289="","",ROUND(IF(E289&gt;9.2,1,E289*'Reference Standards'!$S$189+'Reference Standards'!$S$190),2))</f>
        <v/>
      </c>
      <c r="G289" s="553"/>
      <c r="H289" s="567"/>
      <c r="I289" s="555"/>
      <c r="J289" s="559"/>
      <c r="K289" s="555"/>
    </row>
    <row r="290" spans="1:13" ht="15.6" x14ac:dyDescent="0.3">
      <c r="A290" s="520"/>
      <c r="B290" s="520"/>
      <c r="C290" s="62" t="s">
        <v>379</v>
      </c>
      <c r="D290" s="58"/>
      <c r="E290" s="162"/>
      <c r="F290" s="294" t="str">
        <f>IF(E290="","",ROUND( IF(E290&gt;=200,1,IF(E290&lt;50, E290^2*'Reference Standards'!S$224+E290*'Reference Standards'!S$225+'Reference Standards'!S$226, E290*'Reference Standards'!T$224+'Reference Standards'!T$225)),2))</f>
        <v/>
      </c>
      <c r="G290" s="553"/>
      <c r="H290" s="567"/>
      <c r="I290" s="555"/>
      <c r="J290" s="559"/>
      <c r="K290" s="555"/>
    </row>
    <row r="291" spans="1:13" ht="15.6" x14ac:dyDescent="0.3">
      <c r="A291" s="520"/>
      <c r="B291" s="520"/>
      <c r="C291" s="62" t="s">
        <v>380</v>
      </c>
      <c r="D291" s="58"/>
      <c r="E291" s="162"/>
      <c r="F291" s="294" t="str">
        <f>IF(E291="","",ROUND( IF(E291&gt;=200,1,IF(E291&lt;50, E291^2*'Reference Standards'!S$224+E291*'Reference Standards'!S$225+'Reference Standards'!S$226, E291*'Reference Standards'!T$224+'Reference Standards'!T$225)),2))</f>
        <v/>
      </c>
      <c r="G291" s="553"/>
      <c r="H291" s="567"/>
      <c r="I291" s="555"/>
      <c r="J291" s="559"/>
      <c r="K291" s="555"/>
    </row>
    <row r="292" spans="1:13" ht="15.6" x14ac:dyDescent="0.3">
      <c r="A292" s="520"/>
      <c r="B292" s="520"/>
      <c r="C292" s="58" t="s">
        <v>381</v>
      </c>
      <c r="D292" s="58"/>
      <c r="E292" s="162"/>
      <c r="F292" s="294" t="str">
        <f>IF(E292="","",ROUND(IF(AND(E292&gt;=135,E292&lt;=262),1,IF(  E292&gt;=366,0.5, IF(E292&lt;135,E292*'Reference Standards'!S$259+'Reference Standards'!S$260, E292*'Reference Standards'!T$259+'Reference Standards'!T$260))),2))</f>
        <v/>
      </c>
      <c r="G292" s="553"/>
      <c r="H292" s="567"/>
      <c r="I292" s="555"/>
      <c r="J292" s="559"/>
      <c r="K292" s="555"/>
    </row>
    <row r="293" spans="1:13" ht="15.6" x14ac:dyDescent="0.3">
      <c r="A293" s="520"/>
      <c r="B293" s="520"/>
      <c r="C293" s="58" t="s">
        <v>382</v>
      </c>
      <c r="D293" s="58"/>
      <c r="E293" s="162"/>
      <c r="F293" s="294" t="str">
        <f>IF(E293="","",ROUND(IF(AND(E293&gt;=135,E293&lt;=262),1,IF(  E293&gt;=366,0.5, IF(E293&lt;135,E293*'Reference Standards'!S$259+'Reference Standards'!S$260, E293*'Reference Standards'!T$259+'Reference Standards'!T$260))),2))</f>
        <v/>
      </c>
      <c r="G293" s="553"/>
      <c r="H293" s="567"/>
      <c r="I293" s="555"/>
      <c r="J293" s="559"/>
      <c r="K293" s="555"/>
    </row>
    <row r="294" spans="1:13" ht="15.6" x14ac:dyDescent="0.3">
      <c r="A294" s="520"/>
      <c r="B294" s="520"/>
      <c r="C294" s="58" t="s">
        <v>383</v>
      </c>
      <c r="D294" s="58"/>
      <c r="E294" s="162"/>
      <c r="F294" s="84" t="str">
        <f>IF(E294="","",ROUND(IF(E294&gt;=75,1,IF(E294&lt;=0,0,E294*'Reference Standards'!S$330)),2))</f>
        <v/>
      </c>
      <c r="G294" s="553"/>
      <c r="H294" s="567"/>
      <c r="I294" s="555"/>
      <c r="J294" s="559"/>
      <c r="K294" s="555"/>
    </row>
    <row r="295" spans="1:13" ht="15.6" x14ac:dyDescent="0.3">
      <c r="A295" s="520"/>
      <c r="B295" s="520"/>
      <c r="C295" s="58" t="s">
        <v>384</v>
      </c>
      <c r="D295" s="58"/>
      <c r="E295" s="162"/>
      <c r="F295" s="84" t="str">
        <f>IF(E295="","",ROUND(IF(E295&gt;=75,1,IF(E295&lt;=0,0,E295*'Reference Standards'!S$330)),2))</f>
        <v/>
      </c>
      <c r="G295" s="553"/>
      <c r="H295" s="567"/>
      <c r="I295" s="555"/>
      <c r="J295" s="559"/>
      <c r="K295" s="555"/>
    </row>
    <row r="296" spans="1:13" ht="15.6" x14ac:dyDescent="0.3">
      <c r="A296" s="520"/>
      <c r="B296" s="520"/>
      <c r="C296" s="58" t="s">
        <v>385</v>
      </c>
      <c r="D296" s="58"/>
      <c r="E296" s="162"/>
      <c r="F296" s="294" t="str">
        <f>IF(E296="","",ROUND(IF(AND(E296&gt;=36.3,E296&lt;=68),1,IF(E296&gt;100,0,IF(E296&lt;36.3,(('Reference Standards'!S$297*(E296^2))+('Reference Standards'!S$298*E296)+'Reference Standards'!S$299),IF(E296&gt;68,(('Reference Standards'!T$297*(E296^2))+('Reference Standards'!T$298*E296)+'Reference Standards'!T$299))))),2))</f>
        <v/>
      </c>
      <c r="G296" s="553"/>
      <c r="H296" s="567"/>
      <c r="I296" s="555"/>
      <c r="J296" s="559"/>
      <c r="K296" s="555"/>
      <c r="M296" s="21"/>
    </row>
    <row r="297" spans="1:13" ht="15.6" x14ac:dyDescent="0.3">
      <c r="A297" s="520"/>
      <c r="B297" s="521"/>
      <c r="C297" s="58" t="s">
        <v>386</v>
      </c>
      <c r="D297" s="65"/>
      <c r="E297" s="162"/>
      <c r="F297" s="294" t="str">
        <f>IF(E297="","",ROUND(IF(AND(E297&gt;=36.3,E297&lt;=68),1,IF(E297&gt;100,0,IF(E297&lt;36.3,(('Reference Standards'!S$297*(E297^2))+('Reference Standards'!S$298*E297)+'Reference Standards'!S$299),IF(E297&gt;68,(('Reference Standards'!T$297*(E297^2))+('Reference Standards'!T$298*E297)+'Reference Standards'!T$299))))),2))</f>
        <v/>
      </c>
      <c r="G297" s="554"/>
      <c r="H297" s="567"/>
      <c r="I297" s="555"/>
      <c r="J297" s="559"/>
      <c r="K297" s="555"/>
    </row>
    <row r="298" spans="1:13" ht="15.6" x14ac:dyDescent="0.3">
      <c r="A298" s="520"/>
      <c r="B298" s="56" t="s">
        <v>108</v>
      </c>
      <c r="C298" s="72" t="s">
        <v>130</v>
      </c>
      <c r="D298" s="58"/>
      <c r="E298" s="43"/>
      <c r="F298" s="82" t="str">
        <f>IF(E298="","",IF(OR('Quantification Tool R3'!B$14="Gravel",'Quantification Tool R3'!B$14="Cobble"),IF(E298&gt;0.1,1,IF(E298&lt;=0.01,0,ROUND(E298*'Reference Standards'!$S$362+'Reference Standards'!$S$363,2)))))</f>
        <v/>
      </c>
      <c r="G298" s="82" t="str">
        <f>IFERROR(AVERAGE(F298),"")</f>
        <v/>
      </c>
      <c r="H298" s="567"/>
      <c r="I298" s="555"/>
      <c r="J298" s="559"/>
      <c r="K298" s="555"/>
    </row>
    <row r="299" spans="1:13" ht="15.6" x14ac:dyDescent="0.3">
      <c r="A299" s="520"/>
      <c r="B299" s="526" t="s">
        <v>51</v>
      </c>
      <c r="C299" s="64" t="s">
        <v>52</v>
      </c>
      <c r="D299" s="64"/>
      <c r="E299" s="166"/>
      <c r="F299" s="337" t="str">
        <f>IF(E299="","",IF(ISNUMBER('Quantification Tool R3'!$B$17),IF('Quantification Tool R3'!$B$17&lt;=2,IF(AND(E299&gt;=3,E299&lt;=5),1,IF(OR(E299&lt;=1,E299&gt;=7),0,ROUND(IF(E299&lt;3,E299*'Reference Standards'!S$398+'Reference Standards'!S$399,E299*'Reference Standards'!T$398+'Reference Standards'!T$399),2))),IF(E299&lt;=2.5,1,IF(E299&gt;=5.8,0,ROUND(E299*'Reference Standards'!S$430+'Reference Standards'!S$431,2))))))</f>
        <v/>
      </c>
      <c r="G299" s="528" t="str">
        <f>IFERROR(AVERAGE(F299:F302),"")</f>
        <v/>
      </c>
      <c r="H299" s="567"/>
      <c r="I299" s="555"/>
      <c r="J299" s="559"/>
      <c r="K299" s="555"/>
    </row>
    <row r="300" spans="1:13" ht="15.6" x14ac:dyDescent="0.3">
      <c r="A300" s="520"/>
      <c r="B300" s="520"/>
      <c r="C300" s="58" t="s">
        <v>53</v>
      </c>
      <c r="D300" s="58"/>
      <c r="E300" s="165"/>
      <c r="F300" s="84" t="str">
        <f>IF(E300="","", IF( E300&gt;=2.4,1, IF(E300&lt;=1,0,  ROUND(IF(E300&lt;2.4, E300*'Reference Standards'!$S$464+'Reference Standards'!$S$465  ),2))))</f>
        <v/>
      </c>
      <c r="G300" s="529"/>
      <c r="H300" s="567"/>
      <c r="I300" s="555"/>
      <c r="J300" s="559"/>
      <c r="K300" s="555"/>
    </row>
    <row r="301" spans="1:13" ht="15.6" x14ac:dyDescent="0.3">
      <c r="A301" s="520"/>
      <c r="B301" s="520"/>
      <c r="C301" s="58" t="s">
        <v>334</v>
      </c>
      <c r="D301" s="58"/>
      <c r="E301" s="165"/>
      <c r="F301" s="390" t="str">
        <f>IF(E301="","", IF(LEFT('Quantification Tool R3'!$B$12,2)="67",  IF( AND(E301&gt;=45,E301&lt;=65),1, IF(OR(E301&lt;=20,E301&gt;=90),0, ROUND(  IF(E301&lt;45, E301*'Reference Standards'!$S$498+'Reference Standards'!$S$499,E301*'Reference Standards'!$T$498+'Reference Standards'!$T$499),2))), IF(OR(  LEFT('Quantification Tool R3'!$B$12,2)="68", LEFT('Quantification Tool R3'!$B$12,2)="69",LEFT('Quantification Tool R3'!$B$12,2)="71"),  IF( AND(E301&gt;=30,E301&lt;=50),1, IF(OR(E301&lt;=10,E301&gt;=70),0, ROUND(  IF(E301&lt;30, E301*'Reference Standards'!$S$533+'Reference Standards'!$S$534,E301*'Reference Standards'!$T$533+'Reference Standards'!$T$534),2))), IF(LEFT('Quantification Tool R3'!$B$12,2)="66",  IF( AND(E301&gt;=20,E301&lt;=45),1, IF(OR(E301&lt;=0,E301&gt;=90),0, ROUND(  IF(E301&lt;20, E301*'Reference Standards'!$S$567+'Reference Standards'!$S$568,E301*'Reference Standards'!$T$567+'Reference Standards'!$T$568),2))), IF(OR(  LEFT('Quantification Tool R3'!$B$12,2)="65", LEFT('Quantification Tool R3'!$B$12,2)="74", LEFT('Quantification Tool R3'!$B$12,2)="73"),  IF( AND(E301&gt;=20,E301&lt;=30),1, IF(OR(E301&lt;=0,E301&gt;=50),0, ROUND(  IF(E301&lt;20, E301*'Reference Standards'!$S$601+'Reference Standards'!$S$602,E301*'Reference Standards'!$T$601+'Reference Standards'!$T$602),2))))))))</f>
        <v/>
      </c>
      <c r="G301" s="529"/>
      <c r="H301" s="567"/>
      <c r="I301" s="555"/>
      <c r="J301" s="559"/>
      <c r="K301" s="555"/>
    </row>
    <row r="302" spans="1:13" ht="15.6" x14ac:dyDescent="0.3">
      <c r="A302" s="520"/>
      <c r="B302" s="521"/>
      <c r="C302" s="62" t="s">
        <v>210</v>
      </c>
      <c r="D302" s="58"/>
      <c r="E302" s="167"/>
      <c r="F302" s="391" t="str">
        <f>IF(E302="","",IF(E302&gt;=1.6,0,IF(E302&lt;=1,1,ROUND('Reference Standards'!$S$633*E302^3+'Reference Standards'!$S$634*E302^2+'Reference Standards'!$S$635*E302+'Reference Standards'!$S$636,2))))</f>
        <v/>
      </c>
      <c r="G302" s="530"/>
      <c r="H302" s="567"/>
      <c r="I302" s="555"/>
      <c r="J302" s="559"/>
      <c r="K302" s="555"/>
    </row>
    <row r="303" spans="1:13" ht="15.6" x14ac:dyDescent="0.3">
      <c r="A303" s="521"/>
      <c r="B303" s="296" t="s">
        <v>55</v>
      </c>
      <c r="C303" s="242" t="s">
        <v>54</v>
      </c>
      <c r="D303" s="243"/>
      <c r="E303" s="163"/>
      <c r="F303" s="342" t="str">
        <f>IF(E303="","",IF(AND('Quantification Tool R3'!B$11="E",'Quantification Tool R3'!$B$14="Sand",'Quantification Tool R3'!$B$21="Unconfined Alluvial"),ROUND(IF(OR(E303&gt;1.8,E303&lt;1.3),0,IF(E303&lt;=1.6,1,E303*'Reference Standards'!S$667+'Reference Standards'!S$668)),2),    IF('Quantification Tool R3'!$B$21="Unconfined Alluvial",ROUND(IF(OR(E303&lt;1.2, E303&gt;1.5),0,IF(E303&lt;=1.4,1,E303*'Reference Standards'!$S$700+'Reference Standards'!$S$701)),2), IF('Quantification Tool R3'!$B$21="Confined Alluvial",ROUND(IF(E303&lt;1.15,0,IF(E303&lt;=1.4,E303*'Reference Standards'!$S$729+'Reference Standards'!$S$730,1)),2),  IF('Quantification Tool R3'!$B$21="Colluvial",ROUND(IF(E303&gt;1.3,0,IF(E303&gt;1.2,E303*'Reference Standards'!$S$760+'Reference Standards'!$S$761,1)),2) )))))</f>
        <v/>
      </c>
      <c r="G303" s="84" t="str">
        <f>IFERROR(AVERAGE(F303),"")</f>
        <v/>
      </c>
      <c r="H303" s="567"/>
      <c r="I303" s="555"/>
      <c r="J303" s="559"/>
      <c r="K303" s="555"/>
      <c r="L303" s="13"/>
    </row>
    <row r="304" spans="1:13" ht="15.6" x14ac:dyDescent="0.3">
      <c r="A304" s="537" t="s">
        <v>58</v>
      </c>
      <c r="B304" s="67" t="s">
        <v>88</v>
      </c>
      <c r="C304" s="70" t="s">
        <v>338</v>
      </c>
      <c r="D304" s="70"/>
      <c r="E304" s="43"/>
      <c r="F304" s="343" t="str">
        <f>IF(E304="","",ROUND(IF(E304&gt;=942,0,IF(E304&lt;=487,E304*'Reference Standards'!AB$15+'Reference Standards'!AB$16,E304*'Reference Standards'!$AC$15+'Reference Standards'!$AC$16)),2))</f>
        <v/>
      </c>
      <c r="G304" s="85" t="str">
        <f>IFERROR(AVERAGE(F304),"")</f>
        <v/>
      </c>
      <c r="H304" s="547" t="str">
        <f>IFERROR(ROUND(AVERAGE(G304:G307),2),"")</f>
        <v/>
      </c>
      <c r="I304" s="534" t="str">
        <f>IF(H304="","",IF(H304&gt;0.69,"Functioning",IF(H304&gt;0.29,"Functioning At Risk",IF(H304&gt;-1,"Not Functioning"))))</f>
        <v/>
      </c>
      <c r="J304" s="559"/>
      <c r="K304" s="555"/>
      <c r="L304" s="13"/>
    </row>
    <row r="305" spans="1:12" ht="15.6" x14ac:dyDescent="0.3">
      <c r="A305" s="538"/>
      <c r="B305" s="297" t="s">
        <v>362</v>
      </c>
      <c r="C305" s="66" t="s">
        <v>354</v>
      </c>
      <c r="D305" s="66"/>
      <c r="E305" s="163"/>
      <c r="F305" s="344" t="str">
        <f>IF(E305="","",IF(OR('Quantification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June")),IF(E305&gt;93,0,IF(E305&lt;13,1,ROUND('Reference Standards'!$AB$53*E305^2+'Reference Standards'!$AB$54*E305+'Reference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R3'!$B$12="73b"),IF(E305&gt;94,0,IF(E305&lt;17,1,ROUND('Reference Standards'!$AC$53*E305^2+'Reference Standards'!$AC$54*E305+'Reference Standards'!$AC$55,2))),    IF(OR(AND(OR('Quantification Tool R3'!$B$12="68b",'Quantification Tool R3'!$B$12="71i"),'Quantification Tool R3'!$B$13&gt;2), 'Quantification Tool R3'!$B$12="71e"),IF(E305&gt;91,0,IF(E305&lt;24,1,ROUND('Reference Standards'!$AD$53*E305^2+'Reference Standards'!$AD$54*E305+'Reference Standards'!$AD$55,2))),  IF(OR(AND(OR('Quantification Tool R3'!$B$12="71f",'Quantification Tool R3'!$B$12="71g",'Quantification Tool R3'!$B$12="71h",'Quantification Tool R3'!$B$12="71i"),'Quantification Tool R3'!$B$13&lt;=2), AND('Quantification Tool R3'!$B$12="74a",'Quantification Tool R3'!$B$13&gt;2)),IF(E305&gt;95,0,IF(E305&lt;=36,1,ROUND('Reference Standards'!$AE$53*E305^2+'Reference Standards'!$AE$54*E305+'Reference Standards'!$AE$55,2))))))))</f>
        <v/>
      </c>
      <c r="G305" s="236" t="str">
        <f>IFERROR(AVERAGE(F305:F305),"")</f>
        <v/>
      </c>
      <c r="H305" s="548"/>
      <c r="I305" s="535"/>
      <c r="J305" s="559"/>
      <c r="K305" s="555"/>
      <c r="L305" s="21"/>
    </row>
    <row r="306" spans="1:12" ht="15.6" x14ac:dyDescent="0.3">
      <c r="A306" s="538"/>
      <c r="B306" s="67" t="s">
        <v>81</v>
      </c>
      <c r="C306" s="68" t="s">
        <v>281</v>
      </c>
      <c r="D306" s="68"/>
      <c r="E306" s="162"/>
      <c r="F306" s="344" t="str">
        <f>IF(E306="","",IF(ISNUMBER('Quantification Tool R3'!$B$13),IF(OR('Quantification Tool R3'!$B$12="66e",'Quantification Tool R3'!$B$12="66f",'Quantification Tool R3'!$B$12="66g"),ROUND(IF(E306&gt;=0.61,0,IF(E306&lt;=0.01,1,IF(E306&lt;=0.06,E306*'Reference Standards'!$AD$197+'Reference Standards'!$AD$198,E306^2*'Reference Standards'!$AB$196+E306*'Reference Standards'!$AB$197+'Reference Standards'!$AB$198))),2),IF('Quantification Tool R3'!$B$12="68b",ROUND(IF(E306&gt;=1.1,0,IF(E306&lt;=0.17,1,IF(E306&lt;=0.22,E306*'Reference Standards'!$AE$197+'Reference Standards'!$AE$198,E306^2*'Reference Standards'!$AC$196+E306*'Reference Standards'!$AC$197+'Reference Standards'!$AC$198))),2),IF('Quantification Tool R3'!$B$13&lt;=2.5,IF('Quantification Tool R3'!$B$12="69de",ROUND(IF(E306&gt;=0.22,0,IF(E306&lt;=0.01,1,E306^2*'Reference Standards'!$AB$90+E306*'Reference Standards'!$AB$91+'Reference Standards'!$AB$92)),2),IF('Quantification Tool R3'!$B$12="68c",ROUND(IF(E306&gt;=0.87,0,IF(E306&lt;=0.01,1,E306^2*'Reference Standards'!$AC$90+E306*'Reference Standards'!$AC$91+'Reference Standards'!$AC$92)),2),IF('Quantification Tool R3'!$B$12="68a",ROUND(IF(E306&gt;=0.81,0,IF(E306&lt;=0.01,1,E306^2*'Reference Standards'!$AD$90+E306*'Reference Standards'!$AD$91+'Reference Standards'!$AD$92)),2),IF('Quantification Tool R3'!$B$12="65abei",ROUND(IF(E306&gt;=0.67,0,IF(E306&lt;=0.01,1,IF(E306&lt;=0.18,E306*'Reference Standards'!$AG$91+'Reference Standards'!$AG$92,E306*'Reference Standards'!$AE$91+'Reference Standards'!$AE$92))),2),IF('Quantification Tool R3'!$B$12="65j",ROUND(IF(E306&gt;=0.32,0,IF(E306&lt;=0.01,1,IF(E306&lt;=0.25,E306*'Reference Standards'!$AH$91+'Reference Standards'!$AH$92,E306*'Reference Standards'!$AF$91+'Reference Standards'!$AF$92))),2),IF('Quantification Tool R3'!$B$12="71f",ROUND(IF(E306&gt;=3,0,IF(E306&lt;=0,1,IF(E306&lt;=0.01,0.7,E306^2*'Reference Standards'!$AB$126+E306*'Reference Standards'!$AB$127+'Reference Standards'!$AB$128))),2),IF('Quantification Tool R3'!$B$12="74a",ROUND(IF(E306&gt;=0.14,0,IF(E306&lt;=0.01,1,IF(E306&lt;=0.02,0.7,E306^2*'Reference Standards'!$AC$126+E306*'Reference Standards'!$AC$127+'Reference Standards'!$AC$128))),2),IF(OR('Quantification Tool R3'!$B$12="67fhi",'Quantification Tool R3'!$B$12="67g"),ROUND(IF(E306&gt;=1.9,0,IF(E306&lt;=0.01,1,IF(E306&lt;=0.05,E306*'Reference Standards'!$AF$127+'Reference Standards'!$AF$128,E306^2*'Reference Standards'!$AD$126+E306*'Reference Standards'!$AD$127+'Reference Standards'!$AD$128))),2),IF('Quantification Tool R3'!$B$12="73a",ROUND(IF(E306&gt;=1.44,0,IF(E306&lt;=0.01,1,IF(E306&lt;=0.12,E306*'Reference Standards'!$AG$127+'Reference Standards'!$AG$128,E306^2*'Reference Standards'!$AE$126+E306*'Reference Standards'!$AE$127+'Reference Standards'!$AE$128))),2),IF('Quantification Tool R3'!$B$12="66d",ROUND(IF(E306&gt;=0.46,0,IF(E306&lt;=0.02,1,IF(E306&lt;=0.08,E306*'Reference Standards'!$AF$163+'Reference Standards'!$AF$164,E306^2*'Reference Standards'!$AB$162+E306*'Reference Standards'!$AB$163+'Reference Standards'!$AB$164))),2),IF(OR('Quantification Tool R3'!$B$12="71g",'Quantification Tool R3'!$B$12="71h",'Quantification Tool R3'!$B$12="71i"),ROUND(IF(E306&gt;=3,0,IF(E306&lt;=0.06,1,IF(E306&lt;=0.24,E306*'Reference Standards'!$AG$163+'Reference Standards'!$AG$164,E306^2*'Reference Standards'!$AC$162+E306*'Reference Standards'!$AC$163+'Reference Standards'!$AC$164))),2),IF('Quantification Tool R3'!$B$12="74b",ROUND(IF(E306&gt;=1.3,0,IF(E306&lt;=0.29,1,IF(E306&lt;=0.48,E306*'Reference Standards'!$AH$163+'Reference Standards'!$AH$164,E306^2*'Reference Standards'!$AD$162+E306*'Reference Standards'!$AD$163+'Reference Standards'!$AD$164))),2),IF('Quantification Tool R3'!$B$12="71e",ROUND(IF(E306&gt;=4.3,0,IF(E306&lt;=0.53,1,IF(E306&lt;=0.67,E306*'Reference Standards'!$AI$163+'Reference Standards'!$AI$164,E306^2*'Reference Standards'!$AE$162+E306*'Reference Standards'!$AE$163+'Reference Standards'!$AE$164))),2)))))))))))))),IF('Quantification Tool R3'!$B$13&gt;2.5,IF('Quantification Tool R3'!$B$12="73a",ROUND(IF(E306&gt;=0.55,0,IF(E306&lt;=0,1,E306^2*'Reference Standards'!$AB$232+E306*'Reference Standards'!$AB$233+'Reference Standards'!$AB$234)),2),IF('Quantification Tool R3'!$B$12="68a",ROUND(IF(E306&gt;=0.54,0,IF(E306&lt;=0,1,IF(E306&lt;=0.01,0.85,E306^2*'Reference Standards'!$AC$232+E306*'Reference Standards'!$AC$233+'Reference Standards'!$AC$234))),2),IF('Quantification Tool R3'!$B$12="74a",ROUND(IF(E306&gt;=0.47,0,IF(E306&lt;=0.01,1,IF(E306&lt;=0.02,0.7,E306^2*'Reference Standards'!$AD$232+E306*'Reference Standards'!$AD$233+'Reference Standards'!$AD$234))),2),IF('Quantification Tool R3'!$B$12="69de",ROUND(IF(E306&gt;=0.26,0,IF(E306&lt;=0.01,1,IF(E306&lt;=0.02,0.85,E306^2*'Reference Standards'!$AE$232+E306*'Reference Standards'!$AE$233+'Reference Standards'!$AE$234))),2),IF('Quantification Tool R3'!$B$12="71f",ROUND(IF(E306&gt;=0.87,0,IF(E306&lt;=0.01,1,IF(E306&lt;=0.04,E306*'Reference Standards'!$AF$269+'Reference Standards'!$AF$270,E306^2*'Reference Standards'!$AB$268+E306*'Reference Standards'!$AB$269+'Reference Standards'!$AB$270))),2),IF('Quantification Tool R3'!$B$12="65abei",ROUND(IF(E306&gt;=0.82,0,IF(E306&lt;=0.01,1,IF(E306&lt;=0.06,E306*'Reference Standards'!$AG$269+'Reference Standards'!$AG$270,E306^2*'Reference Standards'!$AC$268+E306*'Reference Standards'!$AC$269+'Reference Standards'!$AC$270))),2),IF('Quantification Tool R3'!$B$12="65j",ROUND(IF(E306&gt;=0.33,0,IF(E306&lt;=0.03,1,IF(E306&lt;=0.09,E306*'Reference Standards'!$AH$269+'Reference Standards'!$AH$270,E306^2*'Reference Standards'!$AD$268+E306*'Reference Standards'!$AD$269+'Reference Standards'!$AD$270))),2),IF('Quantification Tool R3'!$B$12="68c",ROUND(IF(E306&gt;=0.7,0,IF(E306&lt;=0.07,1,IF(E306&lt;=0.12,E306*'Reference Standards'!$AI$269+'Reference Standards'!$AI$270,E306^2*'Reference Standards'!$AE$268+E306*'Reference Standards'!$AE$269+'Reference Standards'!$AE$270))),2),IF(OR('Quantification Tool R3'!$B$12="67fhi",'Quantification Tool R3'!$B$12="67g"),ROUND(IF(E306&gt;=1.8,0,IF(E306&lt;=0.08,1,IF(E306&lt;=0.2,E306*'Reference Standards'!$AF$306+'Reference Standards'!$AF$307,E306^2*'Reference Standards'!$AB$305+E306*'Reference Standards'!$AB$306+'Reference Standards'!$AB$307))),2),IF('Quantification Tool R3'!$B$12="74b",ROUND(IF(E306&gt;=0.96,0,IF(E306&lt;=0.12,1,IF(E306&lt;=0.16,E306*'Reference Standards'!$AG$306+'Reference Standards'!$AG$307,E306^2*'Reference Standards'!$AC$305+E306*'Reference Standards'!$AC$306+'Reference Standards'!$AC$307))),2),IF('Quantification Tool R3'!$B$12="66d",ROUND(IF(E306&gt;=0.75,0,IF(E306&lt;=0.13,1,IF(E306&lt;=0.2,E306*'Reference Standards'!$AH$306+'Reference Standards'!$AH$307,E306^2*'Reference Standards'!$AD$305+E306*'Reference Standards'!$AD$306+'Reference Standards'!$AD$307))),2),IF(OR('Quantification Tool R3'!$B$12="71g",'Quantification Tool R3'!$B$12="71h",'Quantification Tool R3'!$B$12="71i"),ROUND(IF(E306&gt;=1.68,0,IF(E306&lt;=0.08,1,IF(E306&lt;=0.23,E306*'Reference Standards'!$AI$306+'Reference Standards'!$AI$307,E306^2*'Reference Standards'!$AE$305+E306*'Reference Standards'!$AE$306+'Reference Standards'!$AE$307))),2),IF('Quantification Tool R3'!$B$12="71e",ROUND(IF(E306&gt;=5.3,0,IF(E306&lt;=0.94,1,IF(E306&lt;=1.4,E306*'Reference Standards'!$AF$310+'Reference Standards'!$AF$311,E306^2*'Reference Standards'!$AB$309+E306*'Reference Standards'!$AB$310+'Reference Standards'!$AB$311))),2))))))))))))))))))))</f>
        <v/>
      </c>
      <c r="G306" s="86" t="str">
        <f>IFERROR(AVERAGE(F306),"")</f>
        <v/>
      </c>
      <c r="H306" s="548"/>
      <c r="I306" s="535"/>
      <c r="J306" s="559"/>
      <c r="K306" s="555"/>
      <c r="L306" s="21"/>
    </row>
    <row r="307" spans="1:12" ht="15.6" x14ac:dyDescent="0.3">
      <c r="A307" s="539"/>
      <c r="B307" s="298" t="s">
        <v>82</v>
      </c>
      <c r="C307" s="66" t="s">
        <v>280</v>
      </c>
      <c r="D307" s="66"/>
      <c r="E307" s="136"/>
      <c r="F307" s="343" t="str">
        <f>IF(E307="","",IF(ISNUMBER('Quantification Tool R3'!$B$13),IF('Quantification Tool R3'!$B$13&gt;2.5,IF(OR('Quantification Tool R3'!$B$12="71h",'Quantification Tool R3'!$B$12="71i",'Quantification Tool R3'!$B$12="73a",'Quantification Tool R3'!$B$12="74a"),IF(E307&lt;=0.01,1,IF(OR('Quantification Tool R3'!$B$12="71h",'Quantification Tool R3'!$B$12="71i"),IF(E307&gt;0.37,0,ROUND(IF(E307&gt;0.03,'Reference Standards'!$AB$425*E307^2+'Reference Standards'!$AB$426*E307+'Reference Standards'!$AB$427,'Reference Standards'!$AF$426*E307+'Reference Standards'!$AF$427),2)),IF('Quantification Tool R3'!$B$12="73a",IF(E307&gt;0.405,0,ROUND(IF(E307&gt;0.046,'Reference Standards'!$AC$425*E307^2+'Reference Standards'!$AC$426*E307+'Reference Standards'!$AC$427,'Reference Standards'!$AG$426*E307+'Reference Standards'!$AG$427),2)),IF('Quantification Tool R3'!$B$12="74a",IF(E307&gt;0.3,0,ROUND(IF(E307&gt;0.052,'Reference Standards'!$AD$425*E307^2+'Reference Standards'!$AD$426*E307+'Reference Standards'!$AD$427,'Reference Standards'!$AH$426*E307+'Reference Standards'!$AH$427),2)))))),IF(E307&lt;=0.002,1,IF(OR('Quantification Tool R3'!$B$12="66d",'Quantification Tool R3'!$B$12="66e",'Quantification Tool R3'!$B$12="66g"),IF(E307&gt;0.053,0,ROUND(E307^2*'Reference Standards'!$AB$347+E307*'Reference Standards'!$AB$348+'Reference Standards'!$AB$349,2)),IF('Quantification Tool R3'!$B$12="68b",IF(E307&gt;0.05,0,ROUND(E307^2*'Reference Standards'!$AC$347+E307*'Reference Standards'!$AC$348+'Reference Standards'!$AC$349,2)),IF(OR('Quantification Tool R3'!$B$12="68a",'Quantification Tool R3'!$B$12="68c"),IF(E307&gt;0.07,0,ROUND(E307^2*'Reference Standards'!$AD$347+E307*'Reference Standards'!$AD$348+'Reference Standards'!$AD$349,2)),IF(OR('Quantification Tool R3'!$B$12="71f",'Quantification Tool R3'!$B$12="71g"),IF(E307&gt;0.13,0,ROUND(IF(E307&gt;0.042,E307*'Reference Standards'!$AE$348+'Reference Standards'!$AE$349,E307*'Reference Standards'!$AF$348+'Reference Standards'!$AF$349),2)),IF('Quantification Tool R3'!$B$12="67fhi",IF(E307&gt;0.16,0,ROUND(E307^2*'Reference Standards'!$AG$347+E307*'Reference Standards'!$AG$348+'Reference Standards'!$AG$349,2)),IF('Quantification Tool R3'!$B$12="65j",IF(E307&gt;0.035,0,ROUND(IF(E307&lt;=0.003,0.7,E307^2*'Reference Standards'!$AB$387+E307*'Reference Standards'!$AB$388+'Reference Standards'!$AB$389),2)),IF('Quantification Tool R3'!$B$12="69de",IF(E307&gt;0.037,0,ROUND(IF(E307&lt;=0.003,0.7,E307^2*'Reference Standards'!$AC$387+E307*'Reference Standards'!$AC$388+'Reference Standards'!$AC$389),2)),IF('Quantification Tool R3'!$B$12="71e",IF(E307&gt;0.23,0,ROUND(IF(E307&lt;=0.003,0.7,E307^2*'Reference Standards'!$AD$387+E307*'Reference Standards'!$AD$388+'Reference Standards'!$AD$389),2)),IF('Quantification Tool R3'!$B$12="66f",IF(E307&gt;0.06,0,ROUND(IF(E307&lt;=0.003,0.85,IF(E307&lt;=0.004,0.7,E307^2*'Reference Standards'!$AE$387+E307*'Reference Standards'!$AE$388+'Reference Standards'!$AE$389)),2)),IF('Quantification Tool R3'!$B$12="67g",IF(E307&gt;0.11,0,ROUND(IF(E307&lt;=0.01,E307*'Reference Standards'!$AH$388+'Reference Standards'!$AH$389,E307^2*'Reference Standards'!$AF$387+E307*'Reference Standards'!$AF$388+'Reference Standards'!$AF$389),2)),IF('Quantification Tool R3'!$B$12="74b",IF(E307&gt;0.49,0,ROUND(IF(E307&lt;=0.01,E307*'Reference Standards'!$AH$388+'Reference Standards'!$AH$389,E307^2*'Reference Standards'!$AG$387+E307*'Reference Standards'!$AG$388+'Reference Standards'!$AG$389),2)),IF('Quantification Tool R3'!$B$12="65abei",IF(E307&gt;0.199,0,ROUND(IF(E307&lt;=0.01,E307*'Reference Standards'!$AI$426+'Reference Standards'!$AI$427,E307^2*'Reference Standards'!$AE$425+E307*'Reference Standards'!$AE$426+'Reference Standards'!$AE$427),2)))))))))))))))),IF('Quantification Tool R3'!$B$13&lt;=2.5,IF(OR('Quantification Tool R3'!$B$12="66d",'Quantification Tool R3'!$B$12="66e",'Quantification Tool R3'!$B$12="66g"),IF(E307&gt;0.05,0,ROUND(IF(E307&lt;=0.002,1,IF(E307&lt;=0.005,E307*'Reference Standards'!$AF$464+'Reference Standards'!$AF$465,E307^2*'Reference Standards'!$AB$463+E307*'Reference Standards'!$AB$464+'Reference Standards'!$AB$465)),2)),IF('Quantification Tool R3'!$B$12="67fhi",IF(E307&gt;0.1,0,ROUND(IF(E307&lt;=0.002,1,IF(E307&lt;=0.006,E307*'Reference Standards'!$AG$464+'Reference Standards'!$AG$465,E307^2*'Reference Standards'!$AC$463+E307*'Reference Standards'!$AC$464+'Reference Standards'!$AC$465)),2)),IF('Quantification Tool R3'!$B$12="65abei",IF(E307&gt;0.13,0,ROUND(IF(E307&lt;=0.003,1,IF(E307&lt;=0.008,E307*'Reference Standards'!$AH$464+'Reference Standards'!$AH$465,E307^2*'Reference Standards'!$AD$463+E307*'Reference Standards'!$AD$464+'Reference Standards'!$AD$465)),2)),IF('Quantification Tool R3'!$B$12="68b",IF(E307&gt;0.043,0,ROUND(IF(E307&lt;=0.004,1,IF(E307&lt;=0.005,0.7,E307^2*'Reference Standards'!$AE$463+E307*'Reference Standards'!$AE$464+'Reference Standards'!$AE$465)),2)),IF('Quantification Tool R3'!$B$12="69de",IF(E307&gt;=0.034,0,ROUND(IF(E307&lt;=0.003,1,IF(E307&lt;=0.006,E307*'Reference Standards'!$AG$500+'Reference Standards'!$AG$501,E307*'Reference Standards'!$AB$500+'Reference Standards'!$AB$501)),2)),IF(OR('Quantification Tool R3'!$B$12="68a",'Quantification Tool R3'!$B$12="68c"),IF(E307&gt;0.202,0,ROUND(IF(E307&lt;=0.003,1,IF(E307&lt;=0.006,E307*'Reference Standards'!$AG$500+'Reference Standards'!$AG$501,IF(E307&gt;=0.04,E307*'Reference Standards'!$AC$500+'Reference Standards'!$AC$501,E307*'Reference Standards'!$AE$500+'Reference Standards'!$AE$501))),2)),IF(OR('Quantification Tool R3'!$B$12="71f",'Quantification Tool R3'!$B$12="71g"),IF(E307&gt;0.631,0,ROUND(IF(E307&lt;=0.003,1,IF(E307&lt;=0.006,E307*'Reference Standards'!$AG$500+'Reference Standards'!$AG$501,IF(E307&gt;=0.17,E307*'Reference Standards'!$AD$500+'Reference Standards'!$AD$501,E307*'Reference Standards'!$AF$500+'Reference Standards'!$AF$501))),2)),IF('Quantification Tool R3'!$B$12="71e",IF(E307&gt;1.23,0,ROUND(IF(E307&lt;=0.004,1,IF(E307&lt;=0.006,E307*'Reference Standards'!$AF$538+'Reference Standards'!$AF$539,E307^2*'Reference Standards'!$AB$537+E307*'Reference Standards'!$AB$538+'Reference Standards'!$AB$539)),2)),IF('Quantification Tool R3'!$B$12="67g",IF(E307&gt;0.11,0,ROUND(IF(E307&lt;=0.006,1,IF(E307&lt;=0.011,E307*'Reference Standards'!$AG$538+'Reference Standards'!$AG$539,E307^2*'Reference Standards'!$AC$537+E307*'Reference Standards'!$AC$538+'Reference Standards'!$AC$539)),2)),IF('Quantification Tool R3'!$B$12="65j",IF(E307&gt;0.046,0,ROUND(IF(E307&lt;=0.007,1,IF(E307&lt;=0.012,E307*'Reference Standards'!$AH$538+'Reference Standards'!$AH$539,E307^2*'Reference Standards'!$AD$537+E307*'Reference Standards'!$AD$538+'Reference Standards'!$AD$539)),2)),IF('Quantification Tool R3'!$B$12="66f",IF(E307&gt;0.081,0,ROUND(IF(E307&lt;=0.008,1,IF(E307&lt;=0.011,E307*'Reference Standards'!$AI$538+'Reference Standards'!$AI$539,E307^2*'Reference Standards'!$AE$537+E307*'Reference Standards'!$AE$538+'Reference Standards'!$AE$539)),2)),IF(OR('Quantification Tool R3'!$B$12="71h",'Quantification Tool R3'!$B$12="71i"),IF(E307&gt;0.37,0,ROUND(IF(E307&lt;=0.013,1,IF(E307&lt;=0.032,E307*'Reference Standards'!$AH$576+'Reference Standards'!$AH$577,IF(E307&lt;=0.3,E307*'Reference Standards'!$AF$576+'Reference Standards'!$AF$577,E307*'Reference Standards'!$AB$576+'Reference Standards'!$AB$577))),2)),IF('Quantification Tool R3'!$B$12="73a",IF(E307&gt;0.448,0,ROUND(IF(E307&lt;=0.071,1,IF(E307&lt;=0.086,E307*'Reference Standards'!$AJ$576+'Reference Standards'!$AJ$577,IF(E307&lt;=0.165,E307*'Reference Standards'!$AG$576+'Reference Standards'!$AG$577,E307*'Reference Standards'!$AE$576+'Reference Standards'!$AE$577))),2)),IF('Quantification Tool R3'!$B$12="74b",IF(E307&gt;0.43,0,ROUND(IF(E307&lt;=0.018,1,IF(E307&lt;=0.019,0.85,IF(E307&lt;=0.02,0.7,E307^2*'Reference Standards'!$AC$575+E307*'Reference Standards'!$AC$576+'Reference Standards'!$AC$577))),2)),IF('Quantification Tool R3'!$B$12="74a",IF(E307&gt;0.217,0,ROUND(IF(E307&lt;=0.02,1,IF(E307&lt;=0.033,E307*'Reference Standards'!$AI$576+'Reference Standards'!$AI$577,E307^2*'Reference Standards'!$AD$575+E307*'Reference Standards'!$AD$576+'Reference Standards'!$AD$577)),2)))))))))))))))))))))</f>
        <v/>
      </c>
      <c r="G307" s="87" t="str">
        <f>IFERROR(AVERAGE(F307),"")</f>
        <v/>
      </c>
      <c r="H307" s="549"/>
      <c r="I307" s="536"/>
      <c r="J307" s="559"/>
      <c r="K307" s="555"/>
      <c r="L307" s="21"/>
    </row>
    <row r="308" spans="1:12" ht="15.6" x14ac:dyDescent="0.3">
      <c r="A308" s="550" t="s">
        <v>59</v>
      </c>
      <c r="B308" s="560" t="s">
        <v>340</v>
      </c>
      <c r="C308" s="125" t="s">
        <v>331</v>
      </c>
      <c r="D308" s="126"/>
      <c r="E308" s="166"/>
      <c r="F308" s="345" t="str">
        <f>IF(E308="","",IF(OR('Quantification Tool R3'!B$12="73a",'Quantification Tool R3'!B$12="73b"),IF(E308&lt;1,0,IF(E308&gt;=30,1,ROUND(IF(E308&lt;22,'Reference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531" t="str">
        <f>IFERROR(AVERAGE(F308:F311),"")</f>
        <v/>
      </c>
      <c r="H308" s="568" t="str">
        <f>IFERROR(ROUND(AVERAGE(G308:G313),2),"")</f>
        <v/>
      </c>
      <c r="I308" s="519" t="str">
        <f>IF(H308="","",IF(H308&gt;0.69,"Functioning",IF(H308&gt;0.29,"Functioning At Risk",IF(H308&gt;-1,"Not Functioning"))))</f>
        <v/>
      </c>
      <c r="J308" s="559"/>
      <c r="K308" s="555"/>
      <c r="L308" s="21"/>
    </row>
    <row r="309" spans="1:12" ht="15.6" x14ac:dyDescent="0.3">
      <c r="A309" s="556"/>
      <c r="B309" s="561"/>
      <c r="C309" s="174" t="s">
        <v>335</v>
      </c>
      <c r="D309" s="175"/>
      <c r="E309" s="165"/>
      <c r="F309" s="346" t="str">
        <f>IF(E309="","",IF(AND('Quantification Tool R3'!$B$12="74b",'Quantification Tool R3'!$B$13&lt;=2),IF(E309&lt;0,0,IF(E309&gt;15.6,0.69,ROUND('Reference Standards'!$AL$54*E309^2+'Reference Standards'!$AL$55*E309+'Reference Standards'!$AL$56,2))),IF(AND('Quantification Tool R3'!$B$12="65abei",'Quantification Tool R3'!$B$13&lt;=2),IF(E309&lt;0,0,IF(E309&gt;=20,0.69,ROUND('Reference Standards'!$AM$54*E309^2+'Reference Standards'!$AM$55*E309+'Reference Standards'!$AM$56,2))),IF(OR(AND('Quantification Tool R3'!$B$12="74a",'Quantification Tool R3'!$B$13&gt;2,'Quantification Tool R3'!$B$19="January - June"),AND('Quantification Tool R3'!$B$12="71i",'Quantification Tool R3'!$B$13&gt;2,'Quantification Tool R3'!$B$20="SQBANK")),IF(E309&lt;0,0,IF(E309&gt;24.7,0.69,ROUND('Reference Standards'!$AN$54*E309^2+'Reference Standards'!$AN$55*E309+'Reference Standards'!$AN$56,2))),IF(OR('Quantification Tool R3'!$B$12="74b",'Quantification Tool R3'!$B$12="65abei"),IF(E309&lt;0,0,IF(E309&gt;32.7,0.69,ROUND('Reference Standards'!$AO$54*E309^2+'Reference Standards'!$AO$55*E309+'Reference Standards'!$AO$56,2))),IF(AND('Quantification Tool R3'!$B$12="68b",'Quantification Tool R3'!$B$13&gt;2),IF(E309&lt;0,0,IF(E309&gt;41.2,0.69,ROUND('Reference Standards'!$AP$54*E309^2+'Reference Standards'!$AP$55*E309+'Reference Standards'!$AP$56,2))),IF(OR(AND('Quantification Tool R3'!$B$12="71i",'Quantification Tool R3'!$B$13&lt;=2),AND(OR('Quantification Tool R3'!$B$12="68c",'Quantification Tool R3'!$B$12="68d"),'Quantification Tool R3'!$B$19="January - June")),IF(E309&lt;0,0,IF(E309&gt;49.2,0.69,ROUND('Reference Standards'!$AL$94*E309^2+'Reference Standards'!$AL$95*E309+'Reference Standards'!$AL$96,2))),IF(OR(AND('Quantification Tool R3'!$B$12="68a",'Quantification Tool R3'!$B$19="January - June"),AND(OR('Quantification Tool R3'!$B$12="68c",'Quantification Tool R3'!$B$12="68d"),'Quantification Tool R3'!$B$19="July - December")),IF(E309&lt;0,0,IF(E309&gt;53.4,0.69,ROUND('Reference Standards'!$AM$94*E309^2+'Reference Standards'!$AM$95*E309+'Reference Standards'!$AM$96,2))),IF(OR(AND('Quantification Tool R3'!$B$12="71i",'Quantification Tool R3'!$B$13&gt;2,'Quantification Tool R3'!$B$20="SQKICK"),AND(OR('Quantification Tool R3'!$B$12="67fhi",'Quantification Tool R3'!$B$12="67g"),'Quantification Tool R3'!$B$13&lt;=2),'Quantification Tool R3'!$B$12="65j"),IF(E309&lt;0,0,IF(E309&gt;57.8,0.69,ROUND('Reference Standards'!$AN$94*E309^2+'Reference Standards'!$AN$95*E309+'Reference Standards'!$AN$96,2))),IF(OR(AND('Quantification Tool R3'!$B$12="74a",'Quantification Tool R3'!$B$13&gt;2,'Quantification Tool R3'!$B$19="July - December"),AND(OR('Quantification Tool R3'!$B$12="67fhi",'Quantification Tool R3'!$B$12="67g"),'Quantification Tool R3'!$B$13&gt;2),'Quantification Tool R3'!$B$12="69de"),IF(E309&lt;0,0,IF(E309&gt;62.5,0.69,ROUND('Reference Standards'!$AO$94*E309^2+'Reference Standards'!$AO$95*E309+'Reference Standards'!$AO$96,2))),  IF(OR('Quantification Tool R3'!$B$12="66d",'Quantification Tool R3'!$B$12="66e",'Quantification Tool R3'!$B$12="66ik",'Quantification Tool R3'!$B$12="71e",'Quantification Tool R3'!$B$12="71f",'Quantification Tool R3'!$B$12="71g",'Quantification Tool R3'!$B$12="71h"),IF(E309&lt;0,0,IF(E309&gt;66.5,0.69,ROUND('Reference Standards'!$AP$94*E309^2+'Reference Standards'!$AP$95*E309+'Reference Standards'!$AP$96,2))),IF(OR('Quantification Tool R3'!$B$12="66f",'Quantification Tool R3'!$B$12="66g",'Quantification Tool R3'!$B$12="66j",AND('Quantification Tool R3'!$B$12="68a",'Quantification Tool R3'!$B$19="July - December")), IF(E309&lt;0,0,IF(E309&gt;69,0.69,ROUND('Reference Standards'!$AQ$94*E309^2+'Reference Standards'!$AQ$95*E309+'Reference Standards'!$AQ$96,2))))   )))))))))))</f>
        <v/>
      </c>
      <c r="G309" s="531"/>
      <c r="H309" s="568"/>
      <c r="I309" s="519"/>
      <c r="J309" s="559"/>
      <c r="K309" s="555"/>
      <c r="L309" s="21"/>
    </row>
    <row r="310" spans="1:12" ht="15.6" x14ac:dyDescent="0.3">
      <c r="A310" s="556"/>
      <c r="B310" s="561"/>
      <c r="C310" s="174" t="s">
        <v>339</v>
      </c>
      <c r="D310" s="175"/>
      <c r="E310" s="165"/>
      <c r="F310" s="346" t="str">
        <f>IF(E310="","",IF(AND('Quantification Tool R3'!$B$12="74b",'Quantification Tool R3'!$B$13&lt;=2),IF(E310&lt;0,0,IF(E310&gt;8.1,0.69,ROUND('Reference Standards'!$AL$131*E310^2+'Reference Standards'!$AL$132*E310+'Reference Standards'!$AL$133,2))),IF(OR('Quantification Tool R3'!$B$12="73a",'Quantification Tool R3'!$B$12="73b"),IF(E310&lt;0,0,IF(E310&gt;=28,0.69,ROUND('Reference Standards'!$AM$131*E310^2+'Reference Standards'!$AM$132*E310+'Reference Standards'!$AM$133,2))),IF(AND('Quantification Tool R3'!$B$12="74a",'Quantification Tool R3'!$B$13&gt;2,'Quantification Tool R3'!$B$19="January - June"),IF(E310&lt;0,0,IF(E310&gt;=32.5,0.69,ROUND('Reference Standards'!$AN$131*E310^2+'Reference Standards'!$AN$132*E310+'Reference Standards'!$AN$133,2))),IF(AND('Quantification Tool R3'!$B$12="71i",'Quantification Tool R3'!$B$13&gt;2,'Quantification Tool R3'!$B$20="SQBANK"),IF(E310&lt;0,0,IF(E310&gt;=37,0.69,ROUND('Reference Standards'!$AO$131*E310^2+'Reference Standards'!$AO$132*E310+'Reference Standards'!$AO$133,2))),IF(OR(AND(OR('Quantification Tool R3'!$B$12="65abei",'Quantification Tool R3'!$B$12="74b"),'Quantification Tool R3'!$B$13&gt;2),AND('Quantification Tool R3'!$B$12="71i",'Quantification Tool R3'!$B$13&gt;2,'Quantification Tool R3'!$B$20="SQKICK")),IF(E310&lt;0,0,IF(E310&gt;42.6,0.69,ROUND('Reference Standards'!$AP$131*E310^2+'Reference Standards'!$AP$132*E310+'Reference Standards'!$AP$133,2))),     IF(OR(AND('Quantification Tool R3'!$B$12="65abei",'Quantification Tool R3'!$B$13&lt;=2),AND(OR('Quantification Tool R3'!$B$12="68c",'Quantification Tool R3'!$B$12="68d"),'Quantification Tool R3'!$B$19="July - December"),'Quantification Tool R3'!$B$12="71e"),IF(E310&lt;0,0,IF(E310&gt;=48,0.69,ROUND('Reference Standards'!$AL$171*E310^2+'Reference Standards'!$AL$172*E310+'Reference Standards'!$AL$173,2))),IF(OR('Quantification Tool R3'!$B$12="65j",'Quantification Tool R3'!$B$12="67fhi",'Quantification Tool R3'!$B$12="67g",AND('Quantification Tool R3'!$B$12="74a",'Quantification Tool R3'!$B$19="July - December",'Quantification Tool R3'!$B$13&gt;2),AND('Quantification Tool R3'!$B$12="71i",'Quantification Tool R3'!$B$13&lt;=2)),IF(E310&lt;0,0,IF(E310&gt;=53,0.69,ROUND('Reference Standards'!$AM$171*E310^2+'Reference Standards'!$AM$172*E310+'Reference Standards'!$AM$173,2))),IF(OR(AND(OR('Quantification Tool R3'!$B$12="68b",'Quantification Tool R3'!$B$12="71f",'Quantification Tool R3'!$B$12="71g",'Quantification Tool R3'!$B$12="71h"),'Quantification Tool R3'!$B$13&gt;2),'Quantification Tool R3'!$B$12="68a"),IF(E310&lt;0,0,IF(E310&gt;=57,0.69,ROUND('Reference Standards'!$AN$171*E310^2+'Reference Standards'!$AN$172*E310+'Reference Standards'!$AN$173,2))),IF(OR('Quantification Tool R3'!$B$12="66f",'Quantification Tool R3'!$B$12="66g",'Quantification Tool R3'!$B$12="66j",AND(OR('Quantification Tool R3'!$B$12="71f",'Quantification Tool R3'!$B$12="71g",'Quantification Tool R3'!$B$12="71h"),'Quantification Tool R3'!$B$13&lt;=2)),IF(E310&lt;0,0,IF(E310&gt;=60,0.69,ROUND('Reference Standards'!$AO$171*E310^2+'Reference Standards'!$AO$172*E310+'Reference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December")),IF(E310&lt;0,0,IF(E310&gt;=67.5,0.69,ROUND('Reference Standards'!$AP$171*E310^2+'Reference Standards'!$AP$172*E310+'Reference Standards'!$AP$173,2))),IF(AND('Quantification Tool R3'!$B$12="69de",'Quantification Tool R3'!$B$19="January - June"), IF(E310&lt;0,0,IF(E310&gt;=72,0.69,ROUND('Reference Standards'!$AQ$171*E310^2+'Reference Standards'!$AQ$172*E310+'Reference Standards'!$AQ$173,2))))   )))))))))))</f>
        <v/>
      </c>
      <c r="G310" s="531"/>
      <c r="H310" s="568"/>
      <c r="I310" s="519"/>
      <c r="J310" s="559"/>
      <c r="K310" s="555"/>
      <c r="L310" s="21"/>
    </row>
    <row r="311" spans="1:12" ht="15.6" x14ac:dyDescent="0.3">
      <c r="A311" s="556"/>
      <c r="B311" s="562"/>
      <c r="C311" s="127" t="s">
        <v>336</v>
      </c>
      <c r="D311" s="71"/>
      <c r="E311" s="167"/>
      <c r="F311" s="346" t="str">
        <f>IF(E311="","",IF(OR('Quantification Tool R3'!$B$12="67fhi",'Quantification Tool R3'!$B$12="67g",'Quantification Tool R3'!$B$12="71e",'Quantification Tool R3'!$B$12="73a",'Quantification Tool R3'!$B$12="73b",AND(OR('Quantification Tool R3'!$B$12="71f",'Quantification Tool R3'!$B$12="71g",'Quantification Tool R3'!$B$12="71h"),'Quantification Tool R3'!$B$13&gt;2)),IF(E311&gt;100,0,IF(E311&lt;15,0.69,ROUND('Reference Standards'!$AL$208*E311^2+'Reference Standards'!$AL$209*E311+'Reference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),IF(E311&gt;100,0,IF(E311&lt;19,0.69,ROUND('Reference Standards'!$AM$208*E311^2+'Reference Standards'!$AM$209*E311+'Reference Standards'!$AM$210,2))),    IF(OR(AND('Quantification Tool R3'!$B$12="69de",'Quantification Tool R3'!$B$19="January - June"),AND('Quantification Tool R3'!$B$12="71i",'Quantification Tool R3'!$B$13&gt;2,'Quantification Tool R3'!$B$20="SQKICK" )),IF(E311&gt;100,0,IF(E311&lt;22,0.69,ROUND('Reference Standards'!$AN$208*E311^2+'Reference Standards'!$AN$209*E311+'Reference Standards'!$AN$210,2))),    IF(OR('Quantification Tool R3'!$B$12="65j",AND('Quantification Tool R3'!$B$12="68b",'Quantification Tool R3'!$B$13&gt;2)),IF(E311&gt;100,0,IF(E311&lt;24,0.69,ROUND('Reference Standards'!$AO$208*E311^2+'Reference Standards'!$AO$209*E311+'Reference Standards'!$AO$210,2))),    IF(AND(OR('Quantification Tool R3'!$B$12="65abei",'Quantification Tool R3'!$B$12="71f",'Quantification Tool R3'!$B$12="71g",'Quantification Tool R3'!$B$12="71h"),'Quantification Tool R3'!$B$13&lt;=2),IF(E311&gt;95,0,IF(E311&lt;33,0.69,ROUND('Reference Standards'!$AL$246*E311^2+'Reference Standards'!$AL$247*E311+'Reference Standards'!$AL$248,2))),   IF(AND(OR('Quantification Tool R3'!$B$12="65abei",'Quantification Tool R3'!$B$12="74b"),'Quantification Tool R3'!$B$13&gt;2),IF(E311&gt;97,0,IF(E311&lt;36,0.69,ROUND('Reference Standards'!$AM$246*E311^2+'Reference Standards'!$AM$247*E311+'Reference Standards'!$AM$248,2))),  IF(AND('Quantification Tool R3'!$B$12="74a",'Quantification Tool R3'!$B$19="January - June",'Quantification Tool R3'!$B$13&gt;2),IF(E311&gt;93,0,IF(E311&lt;52,0.69,ROUND('Reference Standards'!$AN$246*E311^2+'Reference Standards'!$AN$247*E311+'Reference Standards'!$AN$248,2))),   IF(AND('Quantification Tool R3'!$B$12="74b",'Quantification Tool R3'!$B$13&lt;=2),IF(E311&gt;97,0,IF(E311&lt;62,0.69,ROUND('Reference Standards'!$AO$246*E311^2+'Reference Standards'!$AO$247*E311+'Reference Standards'!$AO$248,2)))  )))))))))</f>
        <v/>
      </c>
      <c r="G311" s="531"/>
      <c r="H311" s="568"/>
      <c r="I311" s="519"/>
      <c r="J311" s="559"/>
      <c r="K311" s="555"/>
      <c r="L311" s="21"/>
    </row>
    <row r="312" spans="1:12" ht="15.6" x14ac:dyDescent="0.3">
      <c r="A312" s="556"/>
      <c r="B312" s="563" t="s">
        <v>74</v>
      </c>
      <c r="C312" s="125" t="s">
        <v>211</v>
      </c>
      <c r="D312" s="126"/>
      <c r="E312" s="166"/>
      <c r="F312" s="345" t="str">
        <f>IF(E312="","",IF(E312=1,0.15,IF(E312=3,0.5,IF(E312=5,0.85,0))))</f>
        <v/>
      </c>
      <c r="G312" s="564" t="str">
        <f>IFERROR(AVERAGE(F312:F313),"")</f>
        <v/>
      </c>
      <c r="H312" s="568"/>
      <c r="I312" s="519"/>
      <c r="J312" s="559"/>
      <c r="K312" s="555"/>
      <c r="L312" s="21"/>
    </row>
    <row r="313" spans="1:12" ht="15.6" x14ac:dyDescent="0.3">
      <c r="A313" s="551"/>
      <c r="B313" s="563"/>
      <c r="C313" s="127" t="s">
        <v>332</v>
      </c>
      <c r="D313" s="71"/>
      <c r="E313" s="167"/>
      <c r="F313" s="347" t="str">
        <f>IF(E313="","",IF(E313=1,0.15,IF(E313=3,0.5,IF(E313=5,0.85,0))))</f>
        <v/>
      </c>
      <c r="G313" s="565"/>
      <c r="H313" s="568"/>
      <c r="I313" s="519"/>
      <c r="J313" s="559"/>
      <c r="K313" s="555"/>
      <c r="L313" s="21"/>
    </row>
    <row r="314" spans="1:12" x14ac:dyDescent="0.3">
      <c r="L314" s="21"/>
    </row>
    <row r="315" spans="1:12" x14ac:dyDescent="0.3">
      <c r="L315" s="21"/>
    </row>
    <row r="316" spans="1:12" ht="21" x14ac:dyDescent="0.4">
      <c r="A316" s="148" t="s">
        <v>135</v>
      </c>
      <c r="B316" s="246"/>
      <c r="C316" s="249" t="s">
        <v>324</v>
      </c>
      <c r="D316" s="246"/>
      <c r="E316" s="247"/>
      <c r="F316" s="248"/>
      <c r="G316" s="544" t="s">
        <v>18</v>
      </c>
      <c r="H316" s="545"/>
      <c r="I316" s="545"/>
      <c r="J316" s="545"/>
      <c r="K316" s="546"/>
      <c r="L316" s="21"/>
    </row>
    <row r="317" spans="1:12" ht="15.6" x14ac:dyDescent="0.3">
      <c r="A317" s="158" t="s">
        <v>1</v>
      </c>
      <c r="B317" s="158" t="s">
        <v>2</v>
      </c>
      <c r="C317" s="542" t="s">
        <v>3</v>
      </c>
      <c r="D317" s="644"/>
      <c r="E317" s="158" t="s">
        <v>15</v>
      </c>
      <c r="F317" s="158" t="s">
        <v>16</v>
      </c>
      <c r="G317" s="158" t="s">
        <v>19</v>
      </c>
      <c r="H317" s="158" t="s">
        <v>20</v>
      </c>
      <c r="I317" s="314" t="s">
        <v>20</v>
      </c>
      <c r="J317" s="158" t="s">
        <v>21</v>
      </c>
      <c r="K317" s="315" t="s">
        <v>21</v>
      </c>
    </row>
    <row r="318" spans="1:12" ht="15.6" x14ac:dyDescent="0.3">
      <c r="A318" s="540" t="s">
        <v>60</v>
      </c>
      <c r="B318" s="299" t="s">
        <v>86</v>
      </c>
      <c r="C318" s="52" t="s">
        <v>388</v>
      </c>
      <c r="D318" s="52"/>
      <c r="E318" s="162"/>
      <c r="F318" s="338" t="str">
        <f>IF(E318="","",IF(E318&lt;=0,0,IF(E318&gt;=0.95,1,ROUND('Reference Standards'!C$14*E318+'Reference Standards'!C$15,2))))</f>
        <v/>
      </c>
      <c r="G318" s="250" t="str">
        <f>IFERROR(AVERAGE(F318),"")</f>
        <v/>
      </c>
      <c r="H318" s="681" t="str">
        <f>IFERROR(ROUND(AVERAGE(G318:G319),2),"")</f>
        <v/>
      </c>
      <c r="I318" s="683" t="str">
        <f>IF(H318="","",IF(H318&gt;0.69,"Functioning",IF(H318&gt;0.29,"Functioning At Risk",IF(H318&gt;-1,"Not Functioning"))))</f>
        <v/>
      </c>
      <c r="J318" s="684" t="str">
        <f>IF(AND(H318="",H320="",H322="",H344="",H348=""),"",ROUND((IF(H318="",0,H318)*0.2)+(IF(H320="",0,H320)*0.2)+(IF(H322="",0,H322)*0.2)+(IF(H344="",0,H344)*0.2)+(IF(H348="",0,H348)*0.2),2))</f>
        <v/>
      </c>
      <c r="K318" s="680" t="str">
        <f>IF(J318="","",IF(J318&lt;0.3, "Not Functioning",IF(OR(H318&lt;0.7,H320&lt;0.7,H322&lt;0.7,H344&lt;0.7,H348&lt;0.7),"Functioning At Risk",IF(J318&lt;0.7,"Functioning At Risk","Functioning"))))</f>
        <v/>
      </c>
    </row>
    <row r="319" spans="1:12" ht="15.6" x14ac:dyDescent="0.3">
      <c r="A319" s="541"/>
      <c r="B319" s="371" t="s">
        <v>128</v>
      </c>
      <c r="C319" s="373" t="s">
        <v>161</v>
      </c>
      <c r="D319" s="374"/>
      <c r="E319" s="43"/>
      <c r="F319" s="372" t="str">
        <f>IF(E319="","",IF(E319&gt;=1,1,IF(E319&lt;=0,0,ROUND(E319,2))))</f>
        <v/>
      </c>
      <c r="G319" s="369" t="str">
        <f>IFERROR(AVERAGE(F319:F319),"")</f>
        <v/>
      </c>
      <c r="H319" s="682"/>
      <c r="I319" s="683"/>
      <c r="J319" s="684"/>
      <c r="K319" s="680"/>
    </row>
    <row r="320" spans="1:12" ht="15.6" x14ac:dyDescent="0.3">
      <c r="A320" s="524" t="s">
        <v>6</v>
      </c>
      <c r="B320" s="572" t="s">
        <v>7</v>
      </c>
      <c r="C320" s="54" t="s">
        <v>8</v>
      </c>
      <c r="D320" s="54"/>
      <c r="E320" s="162"/>
      <c r="F320" s="339" t="str">
        <f>IF(E320="","",ROUND(IF(E320&gt;1.6,0,IF(E320&lt;=1,1,E320^2*'Reference Standards'!K$14+E320*'Reference Standards'!K$15+'Reference Standards'!K$16)),2))</f>
        <v/>
      </c>
      <c r="G320" s="689" t="str">
        <f>IFERROR(AVERAGE(F320:F321),"")</f>
        <v/>
      </c>
      <c r="H320" s="689" t="str">
        <f>IFERROR(ROUND(AVERAGE(G320),2),"")</f>
        <v/>
      </c>
      <c r="I320" s="674" t="str">
        <f>IF(H320="","",IF(H320&gt;0.69,"Functioning",IF(H320&gt;0.29,"Functioning At Risk",IF(H320&gt;-1,"Not Functioning"))))</f>
        <v/>
      </c>
      <c r="J320" s="684"/>
      <c r="K320" s="680"/>
    </row>
    <row r="321" spans="1:13" ht="15.6" x14ac:dyDescent="0.3">
      <c r="A321" s="525"/>
      <c r="B321" s="572"/>
      <c r="C321" s="54" t="s">
        <v>9</v>
      </c>
      <c r="D321" s="54"/>
      <c r="E321" s="163"/>
      <c r="F321" s="339" t="str">
        <f>IF(E321="","",(IF(OR('Quantification Tool R3'!B$11="A",'Quantification Tool R3'!B$11="B",'Quantification Tool R3'!$B$11="Bc"),IF(E321&lt;1.2,0,IF(E321&gt;=2.2,1,ROUND(IF(E321&lt;1.4,E321*'Reference Standards'!$K$84+'Reference Standards'!$K$85,E321*'Reference Standards'!$L$84+'Reference Standards'!$L$85),2))),IF(OR('Quantification Tool R3'!B$11="C",'Quantification Tool R3'!B$11="E"),IF(E321&lt;2,0,IF(E321&gt;=5,1,ROUND(IF(E321&lt;2.4,E321*'Reference Standards'!$L$49+'Reference Standards'!$L$50,E321*'Reference Standards'!$K$49+'Reference Standards'!$K$50),2)))))))</f>
        <v/>
      </c>
      <c r="G321" s="690"/>
      <c r="H321" s="691"/>
      <c r="I321" s="675"/>
      <c r="J321" s="684"/>
      <c r="K321" s="680"/>
    </row>
    <row r="322" spans="1:13" ht="15.6" x14ac:dyDescent="0.3">
      <c r="A322" s="526" t="s">
        <v>26</v>
      </c>
      <c r="B322" s="557" t="s">
        <v>27</v>
      </c>
      <c r="C322" s="60" t="s">
        <v>333</v>
      </c>
      <c r="D322" s="244"/>
      <c r="E322" s="61"/>
      <c r="F322" s="340" t="str">
        <f>IF(E322="","",IF(OR(LEFT('Quantification Tool R3'!$B$12,2)="65",LEFT('Quantification Tool R3'!$B$12,2)="66",LEFT('Quantification Tool R3'!$B$12,2)="71"),IF(E322&gt;=850,1,IF(E322&lt;250,ROUND('Reference Standards'!$S$17*(E322)+'Reference Standards'!$S$18,2),ROUND('Reference Standards'!$T$17*E322+'Reference Standards'!$T$18,2))),  IF(E322&gt;=345,1,IF(E322&lt;=180,ROUND('Reference Standards'!$U$17*(E322)+'Reference Standards'!$U$18,2),ROUND('Reference Standards'!$V$17*E322+'Reference Standards'!$V$18,2))))    )</f>
        <v/>
      </c>
      <c r="G322" s="676" t="str">
        <f>IFERROR(AVERAGE(F322:F323),"")</f>
        <v/>
      </c>
      <c r="H322" s="678" t="str">
        <f>IFERROR(ROUND(AVERAGE(G322:G343),2),"")</f>
        <v/>
      </c>
      <c r="I322" s="680" t="str">
        <f>IF(H322="","",IF(H322&gt;0.69,"Functioning",IF(H322&gt;0.29,"Functioning At Risk",IF(H322&gt;-1,"Not Functioning"))))</f>
        <v/>
      </c>
      <c r="J322" s="684"/>
      <c r="K322" s="680"/>
    </row>
    <row r="323" spans="1:13" ht="15.6" x14ac:dyDescent="0.3">
      <c r="A323" s="520"/>
      <c r="B323" s="558"/>
      <c r="C323" s="63" t="s">
        <v>323</v>
      </c>
      <c r="D323" s="245"/>
      <c r="E323" s="53"/>
      <c r="F323" s="341" t="str">
        <f>IF(E323="","",IF(OR(LEFT('Quantification Tool R3'!$B$12,2)="65",LEFT('Quantification Tool R3'!$B$12,2)="66",LEFT('Quantification Tool R3'!$B$12,2)="71"),IF(E323&gt;=30,1,IF(E323&lt;13,ROUND('Reference Standards'!$S$53*(E323)+'Reference Standards'!$S$54,2),ROUND('Reference Standards'!$T$53*E323+'Reference Standards'!$T$54,2))),  IF(E323&gt;=16,1,IF(E323&lt;=9,ROUND('Reference Standards'!$U$53*(E323)+'Reference Standards'!$U$54,2),ROUND('Reference Standards'!$V$53*E323+'Reference Standards'!$V$54,2))))    )</f>
        <v/>
      </c>
      <c r="G323" s="677"/>
      <c r="H323" s="678"/>
      <c r="I323" s="680"/>
      <c r="J323" s="684"/>
      <c r="K323" s="680"/>
    </row>
    <row r="324" spans="1:13" ht="15.6" x14ac:dyDescent="0.3">
      <c r="A324" s="520"/>
      <c r="B324" s="520" t="s">
        <v>395</v>
      </c>
      <c r="C324" s="58" t="s">
        <v>80</v>
      </c>
      <c r="D324" s="58"/>
      <c r="E324" s="165"/>
      <c r="F324" s="340" t="str">
        <f>IF(E324="","",ROUND(IF(E324&gt;0.7,0,IF(E324&lt;=0.1,1,E324^3*'Reference Standards'!S$87+E324^2*'Reference Standards'!S$88+E324*'Reference Standards'!S$89+'Reference Standards'!S$90)),2))</f>
        <v/>
      </c>
      <c r="G324" s="528" t="str">
        <f>IFERROR(ROUND(AVERAGE(F324:F327),2),"")</f>
        <v/>
      </c>
      <c r="H324" s="679"/>
      <c r="I324" s="680"/>
      <c r="J324" s="684"/>
      <c r="K324" s="680"/>
    </row>
    <row r="325" spans="1:13" ht="15.6" x14ac:dyDescent="0.3">
      <c r="A325" s="520"/>
      <c r="B325" s="520"/>
      <c r="C325" s="58" t="s">
        <v>49</v>
      </c>
      <c r="D325" s="58"/>
      <c r="E325" s="165"/>
      <c r="F325" s="84"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529"/>
      <c r="H325" s="679"/>
      <c r="I325" s="680"/>
      <c r="J325" s="684"/>
      <c r="K325" s="680"/>
    </row>
    <row r="326" spans="1:13" ht="15.6" x14ac:dyDescent="0.3">
      <c r="A326" s="520"/>
      <c r="B326" s="520"/>
      <c r="C326" s="58" t="s">
        <v>87</v>
      </c>
      <c r="D326" s="58"/>
      <c r="E326" s="165"/>
      <c r="F326" s="84" t="str">
        <f>IF(E326="","",ROUND(IF(E326&gt;40,0,IF(E326&lt;5,1,E326^3*'Reference Standards'!S$122+E326^2*'Reference Standards'!S$123+E326*'Reference Standards'!S$124+'Reference Standards'!S$125)),2))</f>
        <v/>
      </c>
      <c r="G326" s="529"/>
      <c r="H326" s="679"/>
      <c r="I326" s="680"/>
      <c r="J326" s="684"/>
      <c r="K326" s="680"/>
    </row>
    <row r="327" spans="1:13" ht="15.6" x14ac:dyDescent="0.3">
      <c r="A327" s="520"/>
      <c r="B327" s="521"/>
      <c r="C327" s="59" t="s">
        <v>394</v>
      </c>
      <c r="D327" s="59"/>
      <c r="E327" s="167"/>
      <c r="F327" s="341" t="str">
        <f>IF(E327="","",ROUND(IF(E327&gt;=30,0,IF(E327&lt;=0,1,E327*'Reference Standards'!S$156+'Reference Standards'!S$157)),2))</f>
        <v/>
      </c>
      <c r="G327" s="530"/>
      <c r="H327" s="679"/>
      <c r="I327" s="680"/>
      <c r="J327" s="684"/>
      <c r="K327" s="680"/>
    </row>
    <row r="328" spans="1:13" ht="15.6" x14ac:dyDescent="0.3">
      <c r="A328" s="520"/>
      <c r="B328" s="520" t="s">
        <v>50</v>
      </c>
      <c r="C328" s="60" t="s">
        <v>377</v>
      </c>
      <c r="D328" s="64"/>
      <c r="E328" s="136"/>
      <c r="F328" s="294" t="str">
        <f>IF(E328="","",ROUND(IF(E328&gt;9.2,1,E328*'Reference Standards'!$S$189+'Reference Standards'!$S$190),2))</f>
        <v/>
      </c>
      <c r="G328" s="685" t="str">
        <f>IFERROR(ROUND(AVERAGE(F328:F337),2),"")</f>
        <v/>
      </c>
      <c r="H328" s="679"/>
      <c r="I328" s="680"/>
      <c r="J328" s="684"/>
      <c r="K328" s="680"/>
    </row>
    <row r="329" spans="1:13" ht="15.6" x14ac:dyDescent="0.3">
      <c r="A329" s="520"/>
      <c r="B329" s="520"/>
      <c r="C329" s="62" t="s">
        <v>378</v>
      </c>
      <c r="D329" s="58"/>
      <c r="E329" s="162"/>
      <c r="F329" s="294" t="str">
        <f>IF(E329="","",ROUND(IF(E329&gt;9.2,1,E329*'Reference Standards'!$S$189+'Reference Standards'!$S$190),2))</f>
        <v/>
      </c>
      <c r="G329" s="686"/>
      <c r="H329" s="679"/>
      <c r="I329" s="680"/>
      <c r="J329" s="684"/>
      <c r="K329" s="680"/>
    </row>
    <row r="330" spans="1:13" ht="15.6" x14ac:dyDescent="0.3">
      <c r="A330" s="520"/>
      <c r="B330" s="520"/>
      <c r="C330" s="62" t="s">
        <v>379</v>
      </c>
      <c r="D330" s="58"/>
      <c r="E330" s="162"/>
      <c r="F330" s="294" t="str">
        <f>IF(E330="","",ROUND( IF(E330&gt;=200,1,IF(E330&lt;50, E330^2*'Reference Standards'!S$224+E330*'Reference Standards'!S$225+'Reference Standards'!S$226, E330*'Reference Standards'!T$224+'Reference Standards'!T$225)),2))</f>
        <v/>
      </c>
      <c r="G330" s="686"/>
      <c r="H330" s="679"/>
      <c r="I330" s="680"/>
      <c r="J330" s="684"/>
      <c r="K330" s="680"/>
    </row>
    <row r="331" spans="1:13" ht="15.6" x14ac:dyDescent="0.3">
      <c r="A331" s="520"/>
      <c r="B331" s="520"/>
      <c r="C331" s="62" t="s">
        <v>380</v>
      </c>
      <c r="D331" s="58"/>
      <c r="E331" s="162"/>
      <c r="F331" s="294" t="str">
        <f>IF(E331="","",ROUND( IF(E331&gt;=200,1,IF(E331&lt;50, E331^2*'Reference Standards'!S$224+E331*'Reference Standards'!S$225+'Reference Standards'!S$226, E331*'Reference Standards'!T$224+'Reference Standards'!T$225)),2))</f>
        <v/>
      </c>
      <c r="G331" s="686"/>
      <c r="H331" s="679"/>
      <c r="I331" s="680"/>
      <c r="J331" s="684"/>
      <c r="K331" s="680"/>
    </row>
    <row r="332" spans="1:13" ht="15.6" x14ac:dyDescent="0.3">
      <c r="A332" s="520"/>
      <c r="B332" s="520"/>
      <c r="C332" s="58" t="s">
        <v>381</v>
      </c>
      <c r="D332" s="58"/>
      <c r="E332" s="162"/>
      <c r="F332" s="294" t="str">
        <f>IF(E332="","",ROUND(IF(AND(E332&gt;=135,E332&lt;=262),1,IF(  E332&gt;=366,0.5, IF(E332&lt;135,E332*'Reference Standards'!S$259+'Reference Standards'!S$260, E332*'Reference Standards'!T$259+'Reference Standards'!T$260))),2))</f>
        <v/>
      </c>
      <c r="G332" s="686"/>
      <c r="H332" s="679"/>
      <c r="I332" s="680"/>
      <c r="J332" s="684"/>
      <c r="K332" s="680"/>
    </row>
    <row r="333" spans="1:13" ht="15.6" x14ac:dyDescent="0.3">
      <c r="A333" s="520"/>
      <c r="B333" s="520"/>
      <c r="C333" s="58" t="s">
        <v>382</v>
      </c>
      <c r="D333" s="58"/>
      <c r="E333" s="162"/>
      <c r="F333" s="294" t="str">
        <f>IF(E333="","",ROUND(IF(AND(E333&gt;=135,E333&lt;=262),1,IF(  E333&gt;=366,0.5, IF(E333&lt;135,E333*'Reference Standards'!S$259+'Reference Standards'!S$260, E333*'Reference Standards'!T$259+'Reference Standards'!T$260))),2))</f>
        <v/>
      </c>
      <c r="G333" s="686"/>
      <c r="H333" s="679"/>
      <c r="I333" s="680"/>
      <c r="J333" s="684"/>
      <c r="K333" s="680"/>
    </row>
    <row r="334" spans="1:13" ht="15.6" x14ac:dyDescent="0.3">
      <c r="A334" s="520"/>
      <c r="B334" s="520"/>
      <c r="C334" s="58" t="s">
        <v>383</v>
      </c>
      <c r="D334" s="58"/>
      <c r="E334" s="162"/>
      <c r="F334" s="84" t="str">
        <f>IF(E334="","",ROUND(IF(E334&gt;=75,1,IF(E334&lt;=0,0,E334*'Reference Standards'!S$330)),2))</f>
        <v/>
      </c>
      <c r="G334" s="686"/>
      <c r="H334" s="679"/>
      <c r="I334" s="680"/>
      <c r="J334" s="684"/>
      <c r="K334" s="680"/>
    </row>
    <row r="335" spans="1:13" ht="15.6" x14ac:dyDescent="0.3">
      <c r="A335" s="520"/>
      <c r="B335" s="520"/>
      <c r="C335" s="58" t="s">
        <v>384</v>
      </c>
      <c r="D335" s="58"/>
      <c r="E335" s="162"/>
      <c r="F335" s="84" t="str">
        <f>IF(E335="","",ROUND(IF(E335&gt;=75,1,IF(E335&lt;=0,0,E335*'Reference Standards'!S$330)),2))</f>
        <v/>
      </c>
      <c r="G335" s="686"/>
      <c r="H335" s="679"/>
      <c r="I335" s="680"/>
      <c r="J335" s="684"/>
      <c r="K335" s="680"/>
    </row>
    <row r="336" spans="1:13" ht="15.6" x14ac:dyDescent="0.3">
      <c r="A336" s="520"/>
      <c r="B336" s="520"/>
      <c r="C336" s="58" t="s">
        <v>385</v>
      </c>
      <c r="D336" s="58"/>
      <c r="E336" s="162"/>
      <c r="F336" s="294" t="str">
        <f>IF(E336="","",ROUND(IF(AND(E336&gt;=36.3,E336&lt;=68),1,IF(E336&gt;100,0,IF(E336&lt;36.3,(('Reference Standards'!S$297*(E336^2))+('Reference Standards'!S$298*E336)+'Reference Standards'!S$299),IF(E336&gt;68,(('Reference Standards'!T$297*(E336^2))+('Reference Standards'!T$298*E336)+'Reference Standards'!T$299))))),2))</f>
        <v/>
      </c>
      <c r="G336" s="686"/>
      <c r="H336" s="679"/>
      <c r="I336" s="680"/>
      <c r="J336" s="684"/>
      <c r="K336" s="680"/>
      <c r="M336" s="21"/>
    </row>
    <row r="337" spans="1:12" ht="15.6" x14ac:dyDescent="0.3">
      <c r="A337" s="520"/>
      <c r="B337" s="521"/>
      <c r="C337" s="58" t="s">
        <v>386</v>
      </c>
      <c r="D337" s="65"/>
      <c r="E337" s="162"/>
      <c r="F337" s="294" t="str">
        <f>IF(E337="","",ROUND(IF(AND(E337&gt;=36.3,E337&lt;=68),1,IF(E337&gt;100,0,IF(E337&lt;36.3,(('Reference Standards'!S$297*(E337^2))+('Reference Standards'!S$298*E337)+'Reference Standards'!S$299),IF(E337&gt;68,(('Reference Standards'!T$297*(E337^2))+('Reference Standards'!T$298*E337)+'Reference Standards'!T$299))))),2))</f>
        <v/>
      </c>
      <c r="G337" s="687"/>
      <c r="H337" s="679"/>
      <c r="I337" s="680"/>
      <c r="J337" s="684"/>
      <c r="K337" s="680"/>
    </row>
    <row r="338" spans="1:12" ht="15.6" x14ac:dyDescent="0.3">
      <c r="A338" s="520"/>
      <c r="B338" s="56" t="s">
        <v>108</v>
      </c>
      <c r="C338" s="72" t="s">
        <v>130</v>
      </c>
      <c r="D338" s="58"/>
      <c r="E338" s="43"/>
      <c r="F338" s="82" t="str">
        <f>IF(E338="","",IF(OR('Quantification Tool R3'!B$14="Gravel",'Quantification Tool R3'!B$14="Cobble"),IF(E338&gt;0.1,1,IF(E338&lt;=0.01,0,ROUND(E338*'Reference Standards'!$S$362+'Reference Standards'!$S$363,2)))))</f>
        <v/>
      </c>
      <c r="G338" s="251" t="str">
        <f>IFERROR(AVERAGE(F338),"")</f>
        <v/>
      </c>
      <c r="H338" s="679"/>
      <c r="I338" s="680"/>
      <c r="J338" s="684"/>
      <c r="K338" s="680"/>
    </row>
    <row r="339" spans="1:12" ht="15.6" x14ac:dyDescent="0.3">
      <c r="A339" s="520"/>
      <c r="B339" s="526" t="s">
        <v>51</v>
      </c>
      <c r="C339" s="64" t="s">
        <v>52</v>
      </c>
      <c r="D339" s="64"/>
      <c r="E339" s="166"/>
      <c r="F339" s="337" t="str">
        <f>IF(E339="","",IF(ISNUMBER('Quantification Tool R3'!$B$17),IF('Quantification Tool R3'!$B$17&lt;=2,IF(AND(E339&gt;=3,E339&lt;=5),1,IF(OR(E339&lt;=1,E339&gt;=7),0,ROUND(IF(E339&lt;3,E339*'Reference Standards'!S$398+'Reference Standards'!S$399,E339*'Reference Standards'!T$398+'Reference Standards'!T$399),2))),IF(E339&lt;=2.5,1,IF(E339&gt;=5.8,0,ROUND(E339*'Reference Standards'!S$430+'Reference Standards'!S$431,2))))))</f>
        <v/>
      </c>
      <c r="G339" s="676" t="str">
        <f>IFERROR(AVERAGE(F339:F342),"")</f>
        <v/>
      </c>
      <c r="H339" s="679"/>
      <c r="I339" s="680"/>
      <c r="J339" s="684"/>
      <c r="K339" s="680"/>
    </row>
    <row r="340" spans="1:12" ht="15.6" x14ac:dyDescent="0.3">
      <c r="A340" s="520"/>
      <c r="B340" s="520"/>
      <c r="C340" s="58" t="s">
        <v>53</v>
      </c>
      <c r="D340" s="58"/>
      <c r="E340" s="165"/>
      <c r="F340" s="84" t="str">
        <f>IF(E340="","", IF( E340&gt;=2.4,1, IF(E340&lt;=1,0,  ROUND(IF(E340&lt;2.4, E340*'Reference Standards'!$S$464+'Reference Standards'!$S$465  ),2))))</f>
        <v/>
      </c>
      <c r="G340" s="688"/>
      <c r="H340" s="679"/>
      <c r="I340" s="680"/>
      <c r="J340" s="684"/>
      <c r="K340" s="680"/>
    </row>
    <row r="341" spans="1:12" ht="15.6" x14ac:dyDescent="0.3">
      <c r="A341" s="520"/>
      <c r="B341" s="520"/>
      <c r="C341" s="58" t="s">
        <v>334</v>
      </c>
      <c r="D341" s="58"/>
      <c r="E341" s="165"/>
      <c r="F341" s="390" t="str">
        <f>IF(E341="","", IF(LEFT('Quantification Tool R3'!$B$12,2)="67",  IF( AND(E341&gt;=45,E341&lt;=65),1, IF(OR(E341&lt;=20,E341&gt;=90),0, ROUND(  IF(E341&lt;45, E341*'Reference Standards'!$S$498+'Reference Standards'!$S$499,E341*'Reference Standards'!$T$498+'Reference Standards'!$T$499),2))), IF(OR(  LEFT('Quantification Tool R3'!$B$12,2)="68", LEFT('Quantification Tool R3'!$B$12,2)="69",LEFT('Quantification Tool R3'!$B$12,2)="71"),  IF( AND(E341&gt;=30,E341&lt;=50),1, IF(OR(E341&lt;=10,E341&gt;=70),0, ROUND(  IF(E341&lt;30, E341*'Reference Standards'!$S$533+'Reference Standards'!$S$534,E341*'Reference Standards'!$T$533+'Reference Standards'!$T$534),2))), IF(LEFT('Quantification Tool R3'!$B$12,2)="66",  IF( AND(E341&gt;=20,E341&lt;=45),1, IF(OR(E341&lt;=0,E341&gt;=90),0, ROUND(  IF(E341&lt;20, E341*'Reference Standards'!$S$567+'Reference Standards'!$S$568,E341*'Reference Standards'!$T$567+'Reference Standards'!$T$568),2))), IF(OR(  LEFT('Quantification Tool R3'!$B$12,2)="65", LEFT('Quantification Tool R3'!$B$12,2)="74", LEFT('Quantification Tool R3'!$B$12,2)="73"),  IF( AND(E341&gt;=20,E341&lt;=30),1, IF(OR(E341&lt;=0,E341&gt;=50),0, ROUND(  IF(E341&lt;20, E341*'Reference Standards'!$S$601+'Reference Standards'!$S$602,E341*'Reference Standards'!$T$601+'Reference Standards'!$T$602),2))))))))</f>
        <v/>
      </c>
      <c r="G341" s="688"/>
      <c r="H341" s="679"/>
      <c r="I341" s="680"/>
      <c r="J341" s="684"/>
      <c r="K341" s="680"/>
    </row>
    <row r="342" spans="1:12" ht="15.6" x14ac:dyDescent="0.3">
      <c r="A342" s="520"/>
      <c r="B342" s="521"/>
      <c r="C342" s="62" t="s">
        <v>210</v>
      </c>
      <c r="D342" s="58"/>
      <c r="E342" s="167"/>
      <c r="F342" s="391" t="str">
        <f>IF(E342="","",IF(E342&gt;=1.6,0,IF(E342&lt;=1,1,ROUND('Reference Standards'!$S$633*E342^3+'Reference Standards'!$S$634*E342^2+'Reference Standards'!$S$635*E342+'Reference Standards'!$S$636,2))))</f>
        <v/>
      </c>
      <c r="G342" s="677"/>
      <c r="H342" s="679"/>
      <c r="I342" s="680"/>
      <c r="J342" s="684"/>
      <c r="K342" s="680"/>
    </row>
    <row r="343" spans="1:12" ht="15.6" x14ac:dyDescent="0.3">
      <c r="A343" s="521"/>
      <c r="B343" s="296" t="s">
        <v>55</v>
      </c>
      <c r="C343" s="242" t="s">
        <v>54</v>
      </c>
      <c r="D343" s="243"/>
      <c r="E343" s="163"/>
      <c r="F343" s="342" t="str">
        <f>IF(E343="","",IF(AND('Quantification Tool R3'!B$11="E",'Quantification Tool R3'!$B$14="Sand",'Quantification Tool R3'!$B$21="Unconfined Alluvial"),ROUND(IF(OR(E343&gt;1.8,E343&lt;1.3),0,IF(E343&lt;=1.6,1,E343*'Reference Standards'!S$667+'Reference Standards'!S$668)),2),    IF('Quantification Tool R3'!$B$21="Unconfined Alluvial",ROUND(IF(OR(E343&lt;1.2, E343&gt;1.5),0,IF(E343&lt;=1.4,1,E343*'Reference Standards'!$S$700+'Reference Standards'!$S$701)),2), IF('Quantification Tool R3'!$B$21="Confined Alluvial",ROUND(IF(E343&lt;1.15,0,IF(E343&lt;=1.4,E343*'Reference Standards'!$S$729+'Reference Standards'!$S$730,1)),2),  IF('Quantification Tool R3'!$B$21="Colluvial",ROUND(IF(E343&gt;1.3,0,IF(E343&gt;1.2,E343*'Reference Standards'!$S$760+'Reference Standards'!$S$761,1)),2) )))))</f>
        <v/>
      </c>
      <c r="G343" s="252" t="str">
        <f>IFERROR(AVERAGE(F343),"")</f>
        <v/>
      </c>
      <c r="H343" s="679"/>
      <c r="I343" s="680"/>
      <c r="J343" s="684"/>
      <c r="K343" s="680"/>
      <c r="L343" s="13"/>
    </row>
    <row r="344" spans="1:12" ht="15.6" x14ac:dyDescent="0.3">
      <c r="A344" s="537" t="s">
        <v>58</v>
      </c>
      <c r="B344" s="67" t="s">
        <v>88</v>
      </c>
      <c r="C344" s="70" t="s">
        <v>338</v>
      </c>
      <c r="D344" s="70"/>
      <c r="E344" s="43"/>
      <c r="F344" s="343" t="str">
        <f>IF(E344="","",ROUND(IF(E344&gt;=942,0,IF(E344&lt;=487,E344*'Reference Standards'!AB$15+'Reference Standards'!AB$16,E344*'Reference Standards'!$AC$15+'Reference Standards'!$AC$16)),2))</f>
        <v/>
      </c>
      <c r="G344" s="253" t="str">
        <f>IFERROR(AVERAGE(F344),"")</f>
        <v/>
      </c>
      <c r="H344" s="692" t="str">
        <f>IFERROR(ROUND(AVERAGE(G344:G347),2),"")</f>
        <v/>
      </c>
      <c r="I344" s="695" t="str">
        <f>IF(H344="","",IF(H344&gt;0.69,"Functioning",IF(H344&gt;0.29,"Functioning At Risk",IF(H344&gt;-1,"Not Functioning"))))</f>
        <v/>
      </c>
      <c r="J344" s="684"/>
      <c r="K344" s="680"/>
      <c r="L344" s="13"/>
    </row>
    <row r="345" spans="1:12" ht="15.6" x14ac:dyDescent="0.3">
      <c r="A345" s="538"/>
      <c r="B345" s="297" t="s">
        <v>362</v>
      </c>
      <c r="C345" s="66" t="s">
        <v>354</v>
      </c>
      <c r="D345" s="66"/>
      <c r="E345" s="163"/>
      <c r="F345" s="344" t="str">
        <f>IF(E345="","",IF(OR('Quantification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June")),IF(E345&gt;93,0,IF(E345&lt;13,1,ROUND('Reference Standards'!$AB$53*E345^2+'Reference Standards'!$AB$54*E345+'Reference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R3'!$B$12="73b"),IF(E345&gt;94,0,IF(E345&lt;17,1,ROUND('Reference Standards'!$AC$53*E345^2+'Reference Standards'!$AC$54*E345+'Reference Standards'!$AC$55,2))),    IF(OR(AND(OR('Quantification Tool R3'!$B$12="68b",'Quantification Tool R3'!$B$12="71i"),'Quantification Tool R3'!$B$13&gt;2), 'Quantification Tool R3'!$B$12="71e"),IF(E345&gt;91,0,IF(E345&lt;24,1,ROUND('Reference Standards'!$AD$53*E345^2+'Reference Standards'!$AD$54*E345+'Reference Standards'!$AD$55,2))),  IF(OR(AND(OR('Quantification Tool R3'!$B$12="71f",'Quantification Tool R3'!$B$12="71g",'Quantification Tool R3'!$B$12="71h",'Quantification Tool R3'!$B$12="71i"),'Quantification Tool R3'!$B$13&lt;=2), AND('Quantification Tool R3'!$B$12="74a",'Quantification Tool R3'!$B$13&gt;2)),IF(E345&gt;95,0,IF(E345&lt;=36,1,ROUND('Reference Standards'!$AE$53*E345^2+'Reference Standards'!$AE$54*E345+'Reference Standards'!$AE$55,2))))))))</f>
        <v/>
      </c>
      <c r="G345" s="254" t="str">
        <f>IFERROR(AVERAGE(F345:F345),"")</f>
        <v/>
      </c>
      <c r="H345" s="693"/>
      <c r="I345" s="696"/>
      <c r="J345" s="684"/>
      <c r="K345" s="680"/>
      <c r="L345" s="21"/>
    </row>
    <row r="346" spans="1:12" ht="15.6" x14ac:dyDescent="0.3">
      <c r="A346" s="538"/>
      <c r="B346" s="67" t="s">
        <v>81</v>
      </c>
      <c r="C346" s="68" t="s">
        <v>281</v>
      </c>
      <c r="D346" s="68"/>
      <c r="E346" s="162"/>
      <c r="F346" s="344" t="str">
        <f>IF(E346="","",IF(ISNUMBER('Quantification Tool R3'!$B$13),IF(OR('Quantification Tool R3'!$B$12="66e",'Quantification Tool R3'!$B$12="66f",'Quantification Tool R3'!$B$12="66g"),ROUND(IF(E346&gt;=0.61,0,IF(E346&lt;=0.01,1,IF(E346&lt;=0.06,E346*'Reference Standards'!$AD$197+'Reference Standards'!$AD$198,E346^2*'Reference Standards'!$AB$196+E346*'Reference Standards'!$AB$197+'Reference Standards'!$AB$198))),2),IF('Quantification Tool R3'!$B$12="68b",ROUND(IF(E346&gt;=1.1,0,IF(E346&lt;=0.17,1,IF(E346&lt;=0.22,E346*'Reference Standards'!$AE$197+'Reference Standards'!$AE$198,E346^2*'Reference Standards'!$AC$196+E346*'Reference Standards'!$AC$197+'Reference Standards'!$AC$198))),2),IF('Quantification Tool R3'!$B$13&lt;=2.5,IF('Quantification Tool R3'!$B$12="69de",ROUND(IF(E346&gt;=0.22,0,IF(E346&lt;=0.01,1,E346^2*'Reference Standards'!$AB$90+E346*'Reference Standards'!$AB$91+'Reference Standards'!$AB$92)),2),IF('Quantification Tool R3'!$B$12="68c",ROUND(IF(E346&gt;=0.87,0,IF(E346&lt;=0.01,1,E346^2*'Reference Standards'!$AC$90+E346*'Reference Standards'!$AC$91+'Reference Standards'!$AC$92)),2),IF('Quantification Tool R3'!$B$12="68a",ROUND(IF(E346&gt;=0.81,0,IF(E346&lt;=0.01,1,E346^2*'Reference Standards'!$AD$90+E346*'Reference Standards'!$AD$91+'Reference Standards'!$AD$92)),2),IF('Quantification Tool R3'!$B$12="65abei",ROUND(IF(E346&gt;=0.67,0,IF(E346&lt;=0.01,1,IF(E346&lt;=0.18,E346*'Reference Standards'!$AG$91+'Reference Standards'!$AG$92,E346*'Reference Standards'!$AE$91+'Reference Standards'!$AE$92))),2),IF('Quantification Tool R3'!$B$12="65j",ROUND(IF(E346&gt;=0.32,0,IF(E346&lt;=0.01,1,IF(E346&lt;=0.25,E346*'Reference Standards'!$AH$91+'Reference Standards'!$AH$92,E346*'Reference Standards'!$AF$91+'Reference Standards'!$AF$92))),2),IF('Quantification Tool R3'!$B$12="71f",ROUND(IF(E346&gt;=3,0,IF(E346&lt;=0,1,IF(E346&lt;=0.01,0.7,E346^2*'Reference Standards'!$AB$126+E346*'Reference Standards'!$AB$127+'Reference Standards'!$AB$128))),2),IF('Quantification Tool R3'!$B$12="74a",ROUND(IF(E346&gt;=0.14,0,IF(E346&lt;=0.01,1,IF(E346&lt;=0.02,0.7,E346^2*'Reference Standards'!$AC$126+E346*'Reference Standards'!$AC$127+'Reference Standards'!$AC$128))),2),IF(OR('Quantification Tool R3'!$B$12="67fhi",'Quantification Tool R3'!$B$12="67g"),ROUND(IF(E346&gt;=1.9,0,IF(E346&lt;=0.01,1,IF(E346&lt;=0.05,E346*'Reference Standards'!$AF$127+'Reference Standards'!$AF$128,E346^2*'Reference Standards'!$AD$126+E346*'Reference Standards'!$AD$127+'Reference Standards'!$AD$128))),2),IF('Quantification Tool R3'!$B$12="73a",ROUND(IF(E346&gt;=1.44,0,IF(E346&lt;=0.01,1,IF(E346&lt;=0.12,E346*'Reference Standards'!$AG$127+'Reference Standards'!$AG$128,E346^2*'Reference Standards'!$AE$126+E346*'Reference Standards'!$AE$127+'Reference Standards'!$AE$128))),2),IF('Quantification Tool R3'!$B$12="66d",ROUND(IF(E346&gt;=0.46,0,IF(E346&lt;=0.02,1,IF(E346&lt;=0.08,E346*'Reference Standards'!$AF$163+'Reference Standards'!$AF$164,E346^2*'Reference Standards'!$AB$162+E346*'Reference Standards'!$AB$163+'Reference Standards'!$AB$164))),2),IF(OR('Quantification Tool R3'!$B$12="71g",'Quantification Tool R3'!$B$12="71h",'Quantification Tool R3'!$B$12="71i"),ROUND(IF(E346&gt;=3,0,IF(E346&lt;=0.06,1,IF(E346&lt;=0.24,E346*'Reference Standards'!$AG$163+'Reference Standards'!$AG$164,E346^2*'Reference Standards'!$AC$162+E346*'Reference Standards'!$AC$163+'Reference Standards'!$AC$164))),2),IF('Quantification Tool R3'!$B$12="74b",ROUND(IF(E346&gt;=1.3,0,IF(E346&lt;=0.29,1,IF(E346&lt;=0.48,E346*'Reference Standards'!$AH$163+'Reference Standards'!$AH$164,E346^2*'Reference Standards'!$AD$162+E346*'Reference Standards'!$AD$163+'Reference Standards'!$AD$164))),2),IF('Quantification Tool R3'!$B$12="71e",ROUND(IF(E346&gt;=4.3,0,IF(E346&lt;=0.53,1,IF(E346&lt;=0.67,E346*'Reference Standards'!$AI$163+'Reference Standards'!$AI$164,E346^2*'Reference Standards'!$AE$162+E346*'Reference Standards'!$AE$163+'Reference Standards'!$AE$164))),2)))))))))))))),IF('Quantification Tool R3'!$B$13&gt;2.5,IF('Quantification Tool R3'!$B$12="73a",ROUND(IF(E346&gt;=0.55,0,IF(E346&lt;=0,1,E346^2*'Reference Standards'!$AB$232+E346*'Reference Standards'!$AB$233+'Reference Standards'!$AB$234)),2),IF('Quantification Tool R3'!$B$12="68a",ROUND(IF(E346&gt;=0.54,0,IF(E346&lt;=0,1,IF(E346&lt;=0.01,0.85,E346^2*'Reference Standards'!$AC$232+E346*'Reference Standards'!$AC$233+'Reference Standards'!$AC$234))),2),IF('Quantification Tool R3'!$B$12="74a",ROUND(IF(E346&gt;=0.47,0,IF(E346&lt;=0.01,1,IF(E346&lt;=0.02,0.7,E346^2*'Reference Standards'!$AD$232+E346*'Reference Standards'!$AD$233+'Reference Standards'!$AD$234))),2),IF('Quantification Tool R3'!$B$12="69de",ROUND(IF(E346&gt;=0.26,0,IF(E346&lt;=0.01,1,IF(E346&lt;=0.02,0.85,E346^2*'Reference Standards'!$AE$232+E346*'Reference Standards'!$AE$233+'Reference Standards'!$AE$234))),2),IF('Quantification Tool R3'!$B$12="71f",ROUND(IF(E346&gt;=0.87,0,IF(E346&lt;=0.01,1,IF(E346&lt;=0.04,E346*'Reference Standards'!$AF$269+'Reference Standards'!$AF$270,E346^2*'Reference Standards'!$AB$268+E346*'Reference Standards'!$AB$269+'Reference Standards'!$AB$270))),2),IF('Quantification Tool R3'!$B$12="65abei",ROUND(IF(E346&gt;=0.82,0,IF(E346&lt;=0.01,1,IF(E346&lt;=0.06,E346*'Reference Standards'!$AG$269+'Reference Standards'!$AG$270,E346^2*'Reference Standards'!$AC$268+E346*'Reference Standards'!$AC$269+'Reference Standards'!$AC$270))),2),IF('Quantification Tool R3'!$B$12="65j",ROUND(IF(E346&gt;=0.33,0,IF(E346&lt;=0.03,1,IF(E346&lt;=0.09,E346*'Reference Standards'!$AH$269+'Reference Standards'!$AH$270,E346^2*'Reference Standards'!$AD$268+E346*'Reference Standards'!$AD$269+'Reference Standards'!$AD$270))),2),IF('Quantification Tool R3'!$B$12="68c",ROUND(IF(E346&gt;=0.7,0,IF(E346&lt;=0.07,1,IF(E346&lt;=0.12,E346*'Reference Standards'!$AI$269+'Reference Standards'!$AI$270,E346^2*'Reference Standards'!$AE$268+E346*'Reference Standards'!$AE$269+'Reference Standards'!$AE$270))),2),IF(OR('Quantification Tool R3'!$B$12="67fhi",'Quantification Tool R3'!$B$12="67g"),ROUND(IF(E346&gt;=1.8,0,IF(E346&lt;=0.08,1,IF(E346&lt;=0.2,E346*'Reference Standards'!$AF$306+'Reference Standards'!$AF$307,E346^2*'Reference Standards'!$AB$305+E346*'Reference Standards'!$AB$306+'Reference Standards'!$AB$307))),2),IF('Quantification Tool R3'!$B$12="74b",ROUND(IF(E346&gt;=0.96,0,IF(E346&lt;=0.12,1,IF(E346&lt;=0.16,E346*'Reference Standards'!$AG$306+'Reference Standards'!$AG$307,E346^2*'Reference Standards'!$AC$305+E346*'Reference Standards'!$AC$306+'Reference Standards'!$AC$307))),2),IF('Quantification Tool R3'!$B$12="66d",ROUND(IF(E346&gt;=0.75,0,IF(E346&lt;=0.13,1,IF(E346&lt;=0.2,E346*'Reference Standards'!$AH$306+'Reference Standards'!$AH$307,E346^2*'Reference Standards'!$AD$305+E346*'Reference Standards'!$AD$306+'Reference Standards'!$AD$307))),2),IF(OR('Quantification Tool R3'!$B$12="71g",'Quantification Tool R3'!$B$12="71h",'Quantification Tool R3'!$B$12="71i"),ROUND(IF(E346&gt;=1.68,0,IF(E346&lt;=0.08,1,IF(E346&lt;=0.23,E346*'Reference Standards'!$AI$306+'Reference Standards'!$AI$307,E346^2*'Reference Standards'!$AE$305+E346*'Reference Standards'!$AE$306+'Reference Standards'!$AE$307))),2),IF('Quantification Tool R3'!$B$12="71e",ROUND(IF(E346&gt;=5.3,0,IF(E346&lt;=0.94,1,IF(E346&lt;=1.4,E346*'Reference Standards'!$AF$310+'Reference Standards'!$AF$311,E346^2*'Reference Standards'!$AB$309+E346*'Reference Standards'!$AB$310+'Reference Standards'!$AB$311))),2))))))))))))))))))))</f>
        <v/>
      </c>
      <c r="G346" s="255" t="str">
        <f>IFERROR(AVERAGE(F346),"")</f>
        <v/>
      </c>
      <c r="H346" s="693"/>
      <c r="I346" s="696"/>
      <c r="J346" s="684"/>
      <c r="K346" s="680"/>
      <c r="L346" s="21"/>
    </row>
    <row r="347" spans="1:12" ht="15.6" x14ac:dyDescent="0.3">
      <c r="A347" s="539"/>
      <c r="B347" s="298" t="s">
        <v>82</v>
      </c>
      <c r="C347" s="66" t="s">
        <v>280</v>
      </c>
      <c r="D347" s="66"/>
      <c r="E347" s="136"/>
      <c r="F347" s="343" t="str">
        <f>IF(E347="","",IF(ISNUMBER('Quantification Tool R3'!$B$13),IF('Quantification Tool R3'!$B$13&gt;2.5,IF(OR('Quantification Tool R3'!$B$12="71h",'Quantification Tool R3'!$B$12="71i",'Quantification Tool R3'!$B$12="73a",'Quantification Tool R3'!$B$12="74a"),IF(E347&lt;=0.01,1,IF(OR('Quantification Tool R3'!$B$12="71h",'Quantification Tool R3'!$B$12="71i"),IF(E347&gt;0.37,0,ROUND(IF(E347&gt;0.03,'Reference Standards'!$AB$425*E347^2+'Reference Standards'!$AB$426*E347+'Reference Standards'!$AB$427,'Reference Standards'!$AF$426*E347+'Reference Standards'!$AF$427),2)),IF('Quantification Tool R3'!$B$12="73a",IF(E347&gt;0.405,0,ROUND(IF(E347&gt;0.046,'Reference Standards'!$AC$425*E347^2+'Reference Standards'!$AC$426*E347+'Reference Standards'!$AC$427,'Reference Standards'!$AG$426*E347+'Reference Standards'!$AG$427),2)),IF('Quantification Tool R3'!$B$12="74a",IF(E347&gt;0.3,0,ROUND(IF(E347&gt;0.052,'Reference Standards'!$AD$425*E347^2+'Reference Standards'!$AD$426*E347+'Reference Standards'!$AD$427,'Reference Standards'!$AH$426*E347+'Reference Standards'!$AH$427),2)))))),IF(E347&lt;=0.002,1,IF(OR('Quantification Tool R3'!$B$12="66d",'Quantification Tool R3'!$B$12="66e",'Quantification Tool R3'!$B$12="66g"),IF(E347&gt;0.053,0,ROUND(E347^2*'Reference Standards'!$AB$347+E347*'Reference Standards'!$AB$348+'Reference Standards'!$AB$349,2)),IF('Quantification Tool R3'!$B$12="68b",IF(E347&gt;0.05,0,ROUND(E347^2*'Reference Standards'!$AC$347+E347*'Reference Standards'!$AC$348+'Reference Standards'!$AC$349,2)),IF(OR('Quantification Tool R3'!$B$12="68a",'Quantification Tool R3'!$B$12="68c"),IF(E347&gt;0.07,0,ROUND(E347^2*'Reference Standards'!$AD$347+E347*'Reference Standards'!$AD$348+'Reference Standards'!$AD$349,2)),IF(OR('Quantification Tool R3'!$B$12="71f",'Quantification Tool R3'!$B$12="71g"),IF(E347&gt;0.13,0,ROUND(IF(E347&gt;0.042,E347*'Reference Standards'!$AE$348+'Reference Standards'!$AE$349,E347*'Reference Standards'!$AF$348+'Reference Standards'!$AF$349),2)),IF('Quantification Tool R3'!$B$12="67fhi",IF(E347&gt;0.16,0,ROUND(E347^2*'Reference Standards'!$AG$347+E347*'Reference Standards'!$AG$348+'Reference Standards'!$AG$349,2)),IF('Quantification Tool R3'!$B$12="65j",IF(E347&gt;0.035,0,ROUND(IF(E347&lt;=0.003,0.7,E347^2*'Reference Standards'!$AB$387+E347*'Reference Standards'!$AB$388+'Reference Standards'!$AB$389),2)),IF('Quantification Tool R3'!$B$12="69de",IF(E347&gt;0.037,0,ROUND(IF(E347&lt;=0.003,0.7,E347^2*'Reference Standards'!$AC$387+E347*'Reference Standards'!$AC$388+'Reference Standards'!$AC$389),2)),IF('Quantification Tool R3'!$B$12="71e",IF(E347&gt;0.23,0,ROUND(IF(E347&lt;=0.003,0.7,E347^2*'Reference Standards'!$AD$387+E347*'Reference Standards'!$AD$388+'Reference Standards'!$AD$389),2)),IF('Quantification Tool R3'!$B$12="66f",IF(E347&gt;0.06,0,ROUND(IF(E347&lt;=0.003,0.85,IF(E347&lt;=0.004,0.7,E347^2*'Reference Standards'!$AE$387+E347*'Reference Standards'!$AE$388+'Reference Standards'!$AE$389)),2)),IF('Quantification Tool R3'!$B$12="67g",IF(E347&gt;0.11,0,ROUND(IF(E347&lt;=0.01,E347*'Reference Standards'!$AH$388+'Reference Standards'!$AH$389,E347^2*'Reference Standards'!$AF$387+E347*'Reference Standards'!$AF$388+'Reference Standards'!$AF$389),2)),IF('Quantification Tool R3'!$B$12="74b",IF(E347&gt;0.49,0,ROUND(IF(E347&lt;=0.01,E347*'Reference Standards'!$AH$388+'Reference Standards'!$AH$389,E347^2*'Reference Standards'!$AG$387+E347*'Reference Standards'!$AG$388+'Reference Standards'!$AG$389),2)),IF('Quantification Tool R3'!$B$12="65abei",IF(E347&gt;0.199,0,ROUND(IF(E347&lt;=0.01,E347*'Reference Standards'!$AI$426+'Reference Standards'!$AI$427,E347^2*'Reference Standards'!$AE$425+E347*'Reference Standards'!$AE$426+'Reference Standards'!$AE$427),2)))))))))))))))),IF('Quantification Tool R3'!$B$13&lt;=2.5,IF(OR('Quantification Tool R3'!$B$12="66d",'Quantification Tool R3'!$B$12="66e",'Quantification Tool R3'!$B$12="66g"),IF(E347&gt;0.05,0,ROUND(IF(E347&lt;=0.002,1,IF(E347&lt;=0.005,E347*'Reference Standards'!$AF$464+'Reference Standards'!$AF$465,E347^2*'Reference Standards'!$AB$463+E347*'Reference Standards'!$AB$464+'Reference Standards'!$AB$465)),2)),IF('Quantification Tool R3'!$B$12="67fhi",IF(E347&gt;0.1,0,ROUND(IF(E347&lt;=0.002,1,IF(E347&lt;=0.006,E347*'Reference Standards'!$AG$464+'Reference Standards'!$AG$465,E347^2*'Reference Standards'!$AC$463+E347*'Reference Standards'!$AC$464+'Reference Standards'!$AC$465)),2)),IF('Quantification Tool R3'!$B$12="65abei",IF(E347&gt;0.13,0,ROUND(IF(E347&lt;=0.003,1,IF(E347&lt;=0.008,E347*'Reference Standards'!$AH$464+'Reference Standards'!$AH$465,E347^2*'Reference Standards'!$AD$463+E347*'Reference Standards'!$AD$464+'Reference Standards'!$AD$465)),2)),IF('Quantification Tool R3'!$B$12="68b",IF(E347&gt;0.043,0,ROUND(IF(E347&lt;=0.004,1,IF(E347&lt;=0.005,0.7,E347^2*'Reference Standards'!$AE$463+E347*'Reference Standards'!$AE$464+'Reference Standards'!$AE$465)),2)),IF('Quantification Tool R3'!$B$12="69de",IF(E347&gt;=0.034,0,ROUND(IF(E347&lt;=0.003,1,IF(E347&lt;=0.006,E347*'Reference Standards'!$AG$500+'Reference Standards'!$AG$501,E347*'Reference Standards'!$AB$500+'Reference Standards'!$AB$501)),2)),IF(OR('Quantification Tool R3'!$B$12="68a",'Quantification Tool R3'!$B$12="68c"),IF(E347&gt;0.202,0,ROUND(IF(E347&lt;=0.003,1,IF(E347&lt;=0.006,E347*'Reference Standards'!$AG$500+'Reference Standards'!$AG$501,IF(E347&gt;=0.04,E347*'Reference Standards'!$AC$500+'Reference Standards'!$AC$501,E347*'Reference Standards'!$AE$500+'Reference Standards'!$AE$501))),2)),IF(OR('Quantification Tool R3'!$B$12="71f",'Quantification Tool R3'!$B$12="71g"),IF(E347&gt;0.631,0,ROUND(IF(E347&lt;=0.003,1,IF(E347&lt;=0.006,E347*'Reference Standards'!$AG$500+'Reference Standards'!$AG$501,IF(E347&gt;=0.17,E347*'Reference Standards'!$AD$500+'Reference Standards'!$AD$501,E347*'Reference Standards'!$AF$500+'Reference Standards'!$AF$501))),2)),IF('Quantification Tool R3'!$B$12="71e",IF(E347&gt;1.23,0,ROUND(IF(E347&lt;=0.004,1,IF(E347&lt;=0.006,E347*'Reference Standards'!$AF$538+'Reference Standards'!$AF$539,E347^2*'Reference Standards'!$AB$537+E347*'Reference Standards'!$AB$538+'Reference Standards'!$AB$539)),2)),IF('Quantification Tool R3'!$B$12="67g",IF(E347&gt;0.11,0,ROUND(IF(E347&lt;=0.006,1,IF(E347&lt;=0.011,E347*'Reference Standards'!$AG$538+'Reference Standards'!$AG$539,E347^2*'Reference Standards'!$AC$537+E347*'Reference Standards'!$AC$538+'Reference Standards'!$AC$539)),2)),IF('Quantification Tool R3'!$B$12="65j",IF(E347&gt;0.046,0,ROUND(IF(E347&lt;=0.007,1,IF(E347&lt;=0.012,E347*'Reference Standards'!$AH$538+'Reference Standards'!$AH$539,E347^2*'Reference Standards'!$AD$537+E347*'Reference Standards'!$AD$538+'Reference Standards'!$AD$539)),2)),IF('Quantification Tool R3'!$B$12="66f",IF(E347&gt;0.081,0,ROUND(IF(E347&lt;=0.008,1,IF(E347&lt;=0.011,E347*'Reference Standards'!$AI$538+'Reference Standards'!$AI$539,E347^2*'Reference Standards'!$AE$537+E347*'Reference Standards'!$AE$538+'Reference Standards'!$AE$539)),2)),IF(OR('Quantification Tool R3'!$B$12="71h",'Quantification Tool R3'!$B$12="71i"),IF(E347&gt;0.37,0,ROUND(IF(E347&lt;=0.013,1,IF(E347&lt;=0.032,E347*'Reference Standards'!$AH$576+'Reference Standards'!$AH$577,IF(E347&lt;=0.3,E347*'Reference Standards'!$AF$576+'Reference Standards'!$AF$577,E347*'Reference Standards'!$AB$576+'Reference Standards'!$AB$577))),2)),IF('Quantification Tool R3'!$B$12="73a",IF(E347&gt;0.448,0,ROUND(IF(E347&lt;=0.071,1,IF(E347&lt;=0.086,E347*'Reference Standards'!$AJ$576+'Reference Standards'!$AJ$577,IF(E347&lt;=0.165,E347*'Reference Standards'!$AG$576+'Reference Standards'!$AG$577,E347*'Reference Standards'!$AE$576+'Reference Standards'!$AE$577))),2)),IF('Quantification Tool R3'!$B$12="74b",IF(E347&gt;0.43,0,ROUND(IF(E347&lt;=0.018,1,IF(E347&lt;=0.019,0.85,IF(E347&lt;=0.02,0.7,E347^2*'Reference Standards'!$AC$575+E347*'Reference Standards'!$AC$576+'Reference Standards'!$AC$577))),2)),IF('Quantification Tool R3'!$B$12="74a",IF(E347&gt;0.217,0,ROUND(IF(E347&lt;=0.02,1,IF(E347&lt;=0.033,E347*'Reference Standards'!$AI$576+'Reference Standards'!$AI$577,E347^2*'Reference Standards'!$AD$575+E347*'Reference Standards'!$AD$576+'Reference Standards'!$AD$577)),2)))))))))))))))))))))</f>
        <v/>
      </c>
      <c r="G347" s="256" t="str">
        <f>IFERROR(AVERAGE(F347),"")</f>
        <v/>
      </c>
      <c r="H347" s="694"/>
      <c r="I347" s="697"/>
      <c r="J347" s="684"/>
      <c r="K347" s="680"/>
      <c r="L347" s="21"/>
    </row>
    <row r="348" spans="1:12" ht="15.6" x14ac:dyDescent="0.3">
      <c r="A348" s="550" t="s">
        <v>59</v>
      </c>
      <c r="B348" s="560" t="s">
        <v>340</v>
      </c>
      <c r="C348" s="125" t="s">
        <v>331</v>
      </c>
      <c r="D348" s="126"/>
      <c r="E348" s="166"/>
      <c r="F348" s="345" t="str">
        <f>IF(E348="","",IF(OR('Quantification Tool R3'!B$12="73a",'Quantification Tool R3'!B$12="73b"),IF(E348&lt;1,0,IF(E348&gt;=30,1,ROUND(IF(E348&lt;22,'Reference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698" t="str">
        <f>IFERROR(AVERAGE(F348:F351),"")</f>
        <v/>
      </c>
      <c r="H348" s="699" t="str">
        <f>IFERROR(ROUND(AVERAGE(G348:G353),2),"")</f>
        <v/>
      </c>
      <c r="I348" s="683" t="str">
        <f>IF(H348="","",IF(H348&gt;0.69,"Functioning",IF(H348&gt;0.29,"Functioning At Risk",IF(H348&gt;-1,"Not Functioning"))))</f>
        <v/>
      </c>
      <c r="J348" s="684"/>
      <c r="K348" s="680"/>
      <c r="L348" s="21"/>
    </row>
    <row r="349" spans="1:12" ht="15.6" x14ac:dyDescent="0.3">
      <c r="A349" s="556"/>
      <c r="B349" s="561"/>
      <c r="C349" s="174" t="s">
        <v>335</v>
      </c>
      <c r="D349" s="175"/>
      <c r="E349" s="165"/>
      <c r="F349" s="346" t="str">
        <f>IF(E349="","",IF(AND('Quantification Tool R3'!$B$12="74b",'Quantification Tool R3'!$B$13&lt;=2),IF(E349&lt;0,0,IF(E349&gt;15.6,0.69,ROUND('Reference Standards'!$AL$54*E349^2+'Reference Standards'!$AL$55*E349+'Reference Standards'!$AL$56,2))),IF(AND('Quantification Tool R3'!$B$12="65abei",'Quantification Tool R3'!$B$13&lt;=2),IF(E349&lt;0,0,IF(E349&gt;=20,0.69,ROUND('Reference Standards'!$AM$54*E349^2+'Reference Standards'!$AM$55*E349+'Reference Standards'!$AM$56,2))),IF(OR(AND('Quantification Tool R3'!$B$12="74a",'Quantification Tool R3'!$B$13&gt;2,'Quantification Tool R3'!$B$19="January - June"),AND('Quantification Tool R3'!$B$12="71i",'Quantification Tool R3'!$B$13&gt;2,'Quantification Tool R3'!$B$20="SQBANK")),IF(E349&lt;0,0,IF(E349&gt;24.7,0.69,ROUND('Reference Standards'!$AN$54*E349^2+'Reference Standards'!$AN$55*E349+'Reference Standards'!$AN$56,2))),IF(OR('Quantification Tool R3'!$B$12="74b",'Quantification Tool R3'!$B$12="65abei"),IF(E349&lt;0,0,IF(E349&gt;32.7,0.69,ROUND('Reference Standards'!$AO$54*E349^2+'Reference Standards'!$AO$55*E349+'Reference Standards'!$AO$56,2))),IF(AND('Quantification Tool R3'!$B$12="68b",'Quantification Tool R3'!$B$13&gt;2),IF(E349&lt;0,0,IF(E349&gt;41.2,0.69,ROUND('Reference Standards'!$AP$54*E349^2+'Reference Standards'!$AP$55*E349+'Reference Standards'!$AP$56,2))),IF(OR(AND('Quantification Tool R3'!$B$12="71i",'Quantification Tool R3'!$B$13&lt;=2),AND(OR('Quantification Tool R3'!$B$12="68c",'Quantification Tool R3'!$B$12="68d"),'Quantification Tool R3'!$B$19="January - June")),IF(E349&lt;0,0,IF(E349&gt;49.2,0.69,ROUND('Reference Standards'!$AL$94*E349^2+'Reference Standards'!$AL$95*E349+'Reference Standards'!$AL$96,2))),IF(OR(AND('Quantification Tool R3'!$B$12="68a",'Quantification Tool R3'!$B$19="January - June"),AND(OR('Quantification Tool R3'!$B$12="68c",'Quantification Tool R3'!$B$12="68d"),'Quantification Tool R3'!$B$19="July - December")),IF(E349&lt;0,0,IF(E349&gt;53.4,0.69,ROUND('Reference Standards'!$AM$94*E349^2+'Reference Standards'!$AM$95*E349+'Reference Standards'!$AM$96,2))),IF(OR(AND('Quantification Tool R3'!$B$12="71i",'Quantification Tool R3'!$B$13&gt;2,'Quantification Tool R3'!$B$20="SQKICK"),AND(OR('Quantification Tool R3'!$B$12="67fhi",'Quantification Tool R3'!$B$12="67g"),'Quantification Tool R3'!$B$13&lt;=2),'Quantification Tool R3'!$B$12="65j"),IF(E349&lt;0,0,IF(E349&gt;57.8,0.69,ROUND('Reference Standards'!$AN$94*E349^2+'Reference Standards'!$AN$95*E349+'Reference Standards'!$AN$96,2))),IF(OR(AND('Quantification Tool R3'!$B$12="74a",'Quantification Tool R3'!$B$13&gt;2,'Quantification Tool R3'!$B$19="July - December"),AND(OR('Quantification Tool R3'!$B$12="67fhi",'Quantification Tool R3'!$B$12="67g"),'Quantification Tool R3'!$B$13&gt;2),'Quantification Tool R3'!$B$12="69de"),IF(E349&lt;0,0,IF(E349&gt;62.5,0.69,ROUND('Reference Standards'!$AO$94*E349^2+'Reference Standards'!$AO$95*E349+'Reference Standards'!$AO$96,2))),  IF(OR('Quantification Tool R3'!$B$12="66d",'Quantification Tool R3'!$B$12="66e",'Quantification Tool R3'!$B$12="66ik",'Quantification Tool R3'!$B$12="71e",'Quantification Tool R3'!$B$12="71f",'Quantification Tool R3'!$B$12="71g",'Quantification Tool R3'!$B$12="71h"),IF(E349&lt;0,0,IF(E349&gt;66.5,0.69,ROUND('Reference Standards'!$AP$94*E349^2+'Reference Standards'!$AP$95*E349+'Reference Standards'!$AP$96,2))),IF(OR('Quantification Tool R3'!$B$12="66f",'Quantification Tool R3'!$B$12="66g",'Quantification Tool R3'!$B$12="66j",AND('Quantification Tool R3'!$B$12="68a",'Quantification Tool R3'!$B$19="July - December")), IF(E349&lt;0,0,IF(E349&gt;69,0.69,ROUND('Reference Standards'!$AQ$94*E349^2+'Reference Standards'!$AQ$95*E349+'Reference Standards'!$AQ$96,2))))   )))))))))))</f>
        <v/>
      </c>
      <c r="G349" s="698"/>
      <c r="H349" s="699"/>
      <c r="I349" s="683"/>
      <c r="J349" s="684"/>
      <c r="K349" s="680"/>
      <c r="L349" s="21"/>
    </row>
    <row r="350" spans="1:12" ht="15.6" x14ac:dyDescent="0.3">
      <c r="A350" s="556"/>
      <c r="B350" s="561"/>
      <c r="C350" s="174" t="s">
        <v>339</v>
      </c>
      <c r="D350" s="175"/>
      <c r="E350" s="165"/>
      <c r="F350" s="346" t="str">
        <f>IF(E350="","",IF(AND('Quantification Tool R3'!$B$12="74b",'Quantification Tool R3'!$B$13&lt;=2),IF(E350&lt;0,0,IF(E350&gt;8.1,0.69,ROUND('Reference Standards'!$AL$131*E350^2+'Reference Standards'!$AL$132*E350+'Reference Standards'!$AL$133,2))),IF(OR('Quantification Tool R3'!$B$12="73a",'Quantification Tool R3'!$B$12="73b"),IF(E350&lt;0,0,IF(E350&gt;=28,0.69,ROUND('Reference Standards'!$AM$131*E350^2+'Reference Standards'!$AM$132*E350+'Reference Standards'!$AM$133,2))),IF(AND('Quantification Tool R3'!$B$12="74a",'Quantification Tool R3'!$B$13&gt;2,'Quantification Tool R3'!$B$19="January - June"),IF(E350&lt;0,0,IF(E350&gt;=32.5,0.69,ROUND('Reference Standards'!$AN$131*E350^2+'Reference Standards'!$AN$132*E350+'Reference Standards'!$AN$133,2))),IF(AND('Quantification Tool R3'!$B$12="71i",'Quantification Tool R3'!$B$13&gt;2,'Quantification Tool R3'!$B$20="SQBANK"),IF(E350&lt;0,0,IF(E350&gt;=37,0.69,ROUND('Reference Standards'!$AO$131*E350^2+'Reference Standards'!$AO$132*E350+'Reference Standards'!$AO$133,2))),IF(OR(AND(OR('Quantification Tool R3'!$B$12="65abei",'Quantification Tool R3'!$B$12="74b"),'Quantification Tool R3'!$B$13&gt;2),AND('Quantification Tool R3'!$B$12="71i",'Quantification Tool R3'!$B$13&gt;2,'Quantification Tool R3'!$B$20="SQKICK")),IF(E350&lt;0,0,IF(E350&gt;42.6,0.69,ROUND('Reference Standards'!$AP$131*E350^2+'Reference Standards'!$AP$132*E350+'Reference Standards'!$AP$133,2))),     IF(OR(AND('Quantification Tool R3'!$B$12="65abei",'Quantification Tool R3'!$B$13&lt;=2),AND(OR('Quantification Tool R3'!$B$12="68c",'Quantification Tool R3'!$B$12="68d"),'Quantification Tool R3'!$B$19="July - December"),'Quantification Tool R3'!$B$12="71e"),IF(E350&lt;0,0,IF(E350&gt;=48,0.69,ROUND('Reference Standards'!$AL$171*E350^2+'Reference Standards'!$AL$172*E350+'Reference Standards'!$AL$173,2))),IF(OR('Quantification Tool R3'!$B$12="65j",'Quantification Tool R3'!$B$12="67fhi",'Quantification Tool R3'!$B$12="67g",AND('Quantification Tool R3'!$B$12="74a",'Quantification Tool R3'!$B$19="July - December",'Quantification Tool R3'!$B$13&gt;2),AND('Quantification Tool R3'!$B$12="71i",'Quantification Tool R3'!$B$13&lt;=2)),IF(E350&lt;0,0,IF(E350&gt;=53,0.69,ROUND('Reference Standards'!$AM$171*E350^2+'Reference Standards'!$AM$172*E350+'Reference Standards'!$AM$173,2))),IF(OR(AND(OR('Quantification Tool R3'!$B$12="68b",'Quantification Tool R3'!$B$12="71f",'Quantification Tool R3'!$B$12="71g",'Quantification Tool R3'!$B$12="71h"),'Quantification Tool R3'!$B$13&gt;2),'Quantification Tool R3'!$B$12="68a"),IF(E350&lt;0,0,IF(E350&gt;=57,0.69,ROUND('Reference Standards'!$AN$171*E350^2+'Reference Standards'!$AN$172*E350+'Reference Standards'!$AN$173,2))),IF(OR('Quantification Tool R3'!$B$12="66f",'Quantification Tool R3'!$B$12="66g",'Quantification Tool R3'!$B$12="66j",AND(OR('Quantification Tool R3'!$B$12="71f",'Quantification Tool R3'!$B$12="71g",'Quantification Tool R3'!$B$12="71h"),'Quantification Tool R3'!$B$13&lt;=2)),IF(E350&lt;0,0,IF(E350&gt;=60,0.69,ROUND('Reference Standards'!$AO$171*E350^2+'Reference Standards'!$AO$172*E350+'Reference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December")),IF(E350&lt;0,0,IF(E350&gt;=67.5,0.69,ROUND('Reference Standards'!$AP$171*E350^2+'Reference Standards'!$AP$172*E350+'Reference Standards'!$AP$173,2))),IF(AND('Quantification Tool R3'!$B$12="69de",'Quantification Tool R3'!$B$19="January - June"), IF(E350&lt;0,0,IF(E350&gt;=72,0.69,ROUND('Reference Standards'!$AQ$171*E350^2+'Reference Standards'!$AQ$172*E350+'Reference Standards'!$AQ$173,2))))   )))))))))))</f>
        <v/>
      </c>
      <c r="G350" s="698"/>
      <c r="H350" s="699"/>
      <c r="I350" s="683"/>
      <c r="J350" s="684"/>
      <c r="K350" s="680"/>
      <c r="L350" s="21"/>
    </row>
    <row r="351" spans="1:12" ht="15.6" x14ac:dyDescent="0.3">
      <c r="A351" s="556"/>
      <c r="B351" s="562"/>
      <c r="C351" s="127" t="s">
        <v>336</v>
      </c>
      <c r="D351" s="71"/>
      <c r="E351" s="167"/>
      <c r="F351" s="346" t="str">
        <f>IF(E351="","",IF(OR('Quantification Tool R3'!$B$12="67fhi",'Quantification Tool R3'!$B$12="67g",'Quantification Tool R3'!$B$12="71e",'Quantification Tool R3'!$B$12="73a",'Quantification Tool R3'!$B$12="73b",AND(OR('Quantification Tool R3'!$B$12="71f",'Quantification Tool R3'!$B$12="71g",'Quantification Tool R3'!$B$12="71h"),'Quantification Tool R3'!$B$13&gt;2)),IF(E351&gt;100,0,IF(E351&lt;15,0.69,ROUND('Reference Standards'!$AL$208*E351^2+'Reference Standards'!$AL$209*E351+'Reference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),IF(E351&gt;100,0,IF(E351&lt;19,0.69,ROUND('Reference Standards'!$AM$208*E351^2+'Reference Standards'!$AM$209*E351+'Reference Standards'!$AM$210,2))),    IF(OR(AND('Quantification Tool R3'!$B$12="69de",'Quantification Tool R3'!$B$19="January - June"),AND('Quantification Tool R3'!$B$12="71i",'Quantification Tool R3'!$B$13&gt;2,'Quantification Tool R3'!$B$20="SQKICK" )),IF(E351&gt;100,0,IF(E351&lt;22,0.69,ROUND('Reference Standards'!$AN$208*E351^2+'Reference Standards'!$AN$209*E351+'Reference Standards'!$AN$210,2))),    IF(OR('Quantification Tool R3'!$B$12="65j",AND('Quantification Tool R3'!$B$12="68b",'Quantification Tool R3'!$B$13&gt;2)),IF(E351&gt;100,0,IF(E351&lt;24,0.69,ROUND('Reference Standards'!$AO$208*E351^2+'Reference Standards'!$AO$209*E351+'Reference Standards'!$AO$210,2))),    IF(AND(OR('Quantification Tool R3'!$B$12="65abei",'Quantification Tool R3'!$B$12="71f",'Quantification Tool R3'!$B$12="71g",'Quantification Tool R3'!$B$12="71h"),'Quantification Tool R3'!$B$13&lt;=2),IF(E351&gt;95,0,IF(E351&lt;33,0.69,ROUND('Reference Standards'!$AL$246*E351^2+'Reference Standards'!$AL$247*E351+'Reference Standards'!$AL$248,2))),   IF(AND(OR('Quantification Tool R3'!$B$12="65abei",'Quantification Tool R3'!$B$12="74b"),'Quantification Tool R3'!$B$13&gt;2),IF(E351&gt;97,0,IF(E351&lt;36,0.69,ROUND('Reference Standards'!$AM$246*E351^2+'Reference Standards'!$AM$247*E351+'Reference Standards'!$AM$248,2))),  IF(AND('Quantification Tool R3'!$B$12="74a",'Quantification Tool R3'!$B$19="January - June",'Quantification Tool R3'!$B$13&gt;2),IF(E351&gt;93,0,IF(E351&lt;52,0.69,ROUND('Reference Standards'!$AN$246*E351^2+'Reference Standards'!$AN$247*E351+'Reference Standards'!$AN$248,2))),   IF(AND('Quantification Tool R3'!$B$12="74b",'Quantification Tool R3'!$B$13&lt;=2),IF(E351&gt;97,0,IF(E351&lt;62,0.69,ROUND('Reference Standards'!$AO$246*E351^2+'Reference Standards'!$AO$247*E351+'Reference Standards'!$AO$248,2)))  )))))))))</f>
        <v/>
      </c>
      <c r="G351" s="698"/>
      <c r="H351" s="699"/>
      <c r="I351" s="683"/>
      <c r="J351" s="684"/>
      <c r="K351" s="680"/>
      <c r="L351" s="21"/>
    </row>
    <row r="352" spans="1:12" ht="15.6" x14ac:dyDescent="0.3">
      <c r="A352" s="556"/>
      <c r="B352" s="563" t="s">
        <v>74</v>
      </c>
      <c r="C352" s="125" t="s">
        <v>211</v>
      </c>
      <c r="D352" s="126"/>
      <c r="E352" s="166"/>
      <c r="F352" s="345" t="str">
        <f>IF(E352="","",IF(E352=1,0.15,IF(E352=3,0.5,IF(E352=5,0.85,0))))</f>
        <v/>
      </c>
      <c r="G352" s="672" t="str">
        <f>IFERROR(AVERAGE(F352:F353),"")</f>
        <v/>
      </c>
      <c r="H352" s="699"/>
      <c r="I352" s="683"/>
      <c r="J352" s="684"/>
      <c r="K352" s="680"/>
      <c r="L352" s="21"/>
    </row>
    <row r="353" spans="1:12" ht="15.6" x14ac:dyDescent="0.3">
      <c r="A353" s="551"/>
      <c r="B353" s="563"/>
      <c r="C353" s="127" t="s">
        <v>332</v>
      </c>
      <c r="D353" s="71"/>
      <c r="E353" s="167"/>
      <c r="F353" s="347" t="str">
        <f>IF(E353="","",IF(E353=1,0.15,IF(E353=3,0.5,IF(E353=5,0.85,0))))</f>
        <v/>
      </c>
      <c r="G353" s="673"/>
      <c r="H353" s="699"/>
      <c r="I353" s="683"/>
      <c r="J353" s="684"/>
      <c r="K353" s="680"/>
      <c r="L353" s="21"/>
    </row>
    <row r="354" spans="1:12" x14ac:dyDescent="0.3">
      <c r="L354" s="21"/>
    </row>
    <row r="355" spans="1:12" x14ac:dyDescent="0.3">
      <c r="L355" s="21"/>
    </row>
    <row r="356" spans="1:12" ht="21" x14ac:dyDescent="0.4">
      <c r="A356" s="148" t="s">
        <v>135</v>
      </c>
      <c r="B356" s="246"/>
      <c r="C356" s="249" t="s">
        <v>324</v>
      </c>
      <c r="D356" s="246"/>
      <c r="E356" s="247"/>
      <c r="F356" s="248"/>
      <c r="G356" s="544" t="s">
        <v>18</v>
      </c>
      <c r="H356" s="545"/>
      <c r="I356" s="545"/>
      <c r="J356" s="545"/>
      <c r="K356" s="546"/>
    </row>
    <row r="357" spans="1:12" ht="16.5" customHeight="1" x14ac:dyDescent="0.3">
      <c r="A357" s="158" t="s">
        <v>1</v>
      </c>
      <c r="B357" s="158" t="s">
        <v>2</v>
      </c>
      <c r="C357" s="542" t="s">
        <v>3</v>
      </c>
      <c r="D357" s="644"/>
      <c r="E357" s="158" t="s">
        <v>15</v>
      </c>
      <c r="F357" s="257" t="s">
        <v>16</v>
      </c>
      <c r="G357" s="257" t="s">
        <v>19</v>
      </c>
      <c r="H357" s="257" t="s">
        <v>20</v>
      </c>
      <c r="I357" s="325" t="s">
        <v>20</v>
      </c>
      <c r="J357" s="257" t="s">
        <v>21</v>
      </c>
      <c r="K357" s="324" t="s">
        <v>21</v>
      </c>
    </row>
    <row r="358" spans="1:12" ht="15.75" customHeight="1" x14ac:dyDescent="0.3">
      <c r="A358" s="540" t="s">
        <v>60</v>
      </c>
      <c r="B358" s="299" t="s">
        <v>86</v>
      </c>
      <c r="C358" s="52" t="s">
        <v>388</v>
      </c>
      <c r="D358" s="52"/>
      <c r="E358" s="162"/>
      <c r="F358" s="338" t="str">
        <f>IF(E358="","",IF(E358&lt;=0,0,IF(E358&gt;=0.95,1,ROUND('Reference Standards'!C$14*E358+'Reference Standards'!C$15,2))))</f>
        <v/>
      </c>
      <c r="G358" s="250" t="str">
        <f>IFERROR(AVERAGE(F358),"")</f>
        <v/>
      </c>
      <c r="H358" s="681" t="str">
        <f>IFERROR(ROUND(AVERAGE(G358:G359),2),"")</f>
        <v/>
      </c>
      <c r="I358" s="683" t="str">
        <f>IF(H358="","",IF(H358&gt;0.69,"Functioning",IF(H358&gt;0.29,"Functioning At Risk",IF(H358&gt;-1,"Not Functioning"))))</f>
        <v/>
      </c>
      <c r="J358" s="684" t="str">
        <f>IF(AND(H358="",H360="",H362="",H384="",H388=""),"",ROUND((IF(H358="",0,H358)*0.2)+(IF(H360="",0,H360)*0.2)+(IF(H362="",0,H362)*0.2)+(IF(H384="",0,H384)*0.2)+(IF(H388="",0,H388)*0.2),2))</f>
        <v/>
      </c>
      <c r="K358" s="680" t="str">
        <f>IF(J358="","",IF(J358&lt;0.3, "Not Functioning",IF(OR(H358&lt;0.7,H360&lt;0.7,H362&lt;0.7,H384&lt;0.7,H388&lt;0.7),"Functioning At Risk",IF(J358&lt;0.7,"Functioning At Risk","Functioning"))))</f>
        <v/>
      </c>
    </row>
    <row r="359" spans="1:12" ht="15.75" customHeight="1" x14ac:dyDescent="0.3">
      <c r="A359" s="541"/>
      <c r="B359" s="371" t="s">
        <v>128</v>
      </c>
      <c r="C359" s="373" t="s">
        <v>161</v>
      </c>
      <c r="D359" s="374"/>
      <c r="E359" s="43"/>
      <c r="F359" s="372" t="str">
        <f>IF(E359="","",IF(E359&gt;=1,1,IF(E359&lt;=0,0,ROUND(E359,2))))</f>
        <v/>
      </c>
      <c r="G359" s="369" t="str">
        <f>IFERROR(AVERAGE(F359:F359),"")</f>
        <v/>
      </c>
      <c r="H359" s="682"/>
      <c r="I359" s="683"/>
      <c r="J359" s="684"/>
      <c r="K359" s="680"/>
    </row>
    <row r="360" spans="1:12" ht="15" customHeight="1" x14ac:dyDescent="0.3">
      <c r="A360" s="524" t="s">
        <v>6</v>
      </c>
      <c r="B360" s="572" t="s">
        <v>7</v>
      </c>
      <c r="C360" s="54" t="s">
        <v>8</v>
      </c>
      <c r="D360" s="54"/>
      <c r="E360" s="162"/>
      <c r="F360" s="339" t="str">
        <f>IF(E360="","",ROUND(IF(E360&gt;1.6,0,IF(E360&lt;=1,1,E360^2*'Reference Standards'!K$14+E360*'Reference Standards'!K$15+'Reference Standards'!K$16)),2))</f>
        <v/>
      </c>
      <c r="G360" s="689" t="str">
        <f>IFERROR(AVERAGE(F360:F361),"")</f>
        <v/>
      </c>
      <c r="H360" s="689" t="str">
        <f>IFERROR(ROUND(AVERAGE(G360),2),"")</f>
        <v/>
      </c>
      <c r="I360" s="674" t="str">
        <f>IF(H360="","",IF(H360&gt;0.69,"Functioning",IF(H360&gt;0.29,"Functioning At Risk",IF(H360&gt;-1,"Not Functioning"))))</f>
        <v/>
      </c>
      <c r="J360" s="684"/>
      <c r="K360" s="680"/>
    </row>
    <row r="361" spans="1:12" ht="15" customHeight="1" x14ac:dyDescent="0.3">
      <c r="A361" s="525"/>
      <c r="B361" s="572"/>
      <c r="C361" s="54" t="s">
        <v>9</v>
      </c>
      <c r="D361" s="54"/>
      <c r="E361" s="163"/>
      <c r="F361" s="339" t="str">
        <f>IF(E361="","",(IF(OR('Quantification Tool R3'!B$11="A",'Quantification Tool R3'!B$11="B",'Quantification Tool R3'!$B$11="Bc"),IF(E361&lt;1.2,0,IF(E361&gt;=2.2,1,ROUND(IF(E361&lt;1.4,E361*'Reference Standards'!$K$84+'Reference Standards'!$K$85,E361*'Reference Standards'!$L$84+'Reference Standards'!$L$85),2))),IF(OR('Quantification Tool R3'!B$11="C",'Quantification Tool R3'!B$11="E"),IF(E361&lt;2,0,IF(E361&gt;=5,1,ROUND(IF(E361&lt;2.4,E361*'Reference Standards'!$L$49+'Reference Standards'!$L$50,E361*'Reference Standards'!$K$49+'Reference Standards'!$K$50),2)))))))</f>
        <v/>
      </c>
      <c r="G361" s="690"/>
      <c r="H361" s="691"/>
      <c r="I361" s="675"/>
      <c r="J361" s="684"/>
      <c r="K361" s="680"/>
    </row>
    <row r="362" spans="1:12" ht="15" customHeight="1" x14ac:dyDescent="0.3">
      <c r="A362" s="526" t="s">
        <v>26</v>
      </c>
      <c r="B362" s="557" t="s">
        <v>27</v>
      </c>
      <c r="C362" s="60" t="s">
        <v>333</v>
      </c>
      <c r="D362" s="244"/>
      <c r="E362" s="61"/>
      <c r="F362" s="340" t="str">
        <f>IF(E362="","",IF(OR(LEFT('Quantification Tool R3'!$B$12,2)="65",LEFT('Quantification Tool R3'!$B$12,2)="66",LEFT('Quantification Tool R3'!$B$12,2)="71"),IF(E362&gt;=850,1,IF(E362&lt;250,ROUND('Reference Standards'!$S$17*(E362)+'Reference Standards'!$S$18,2),ROUND('Reference Standards'!$T$17*E362+'Reference Standards'!$T$18,2))),  IF(E362&gt;=345,1,IF(E362&lt;=180,ROUND('Reference Standards'!$U$17*(E362)+'Reference Standards'!$U$18,2),ROUND('Reference Standards'!$V$17*E362+'Reference Standards'!$V$18,2))))    )</f>
        <v/>
      </c>
      <c r="G362" s="676" t="str">
        <f>IFERROR(AVERAGE(F362:F363),"")</f>
        <v/>
      </c>
      <c r="H362" s="678" t="str">
        <f>IFERROR(ROUND(AVERAGE(G362:G383),2),"")</f>
        <v/>
      </c>
      <c r="I362" s="680" t="str">
        <f>IF(H362="","",IF(H362&gt;0.69,"Functioning",IF(H362&gt;0.29,"Functioning At Risk",IF(H362&gt;-1,"Not Functioning"))))</f>
        <v/>
      </c>
      <c r="J362" s="684"/>
      <c r="K362" s="680"/>
    </row>
    <row r="363" spans="1:12" ht="15" customHeight="1" x14ac:dyDescent="0.3">
      <c r="A363" s="520"/>
      <c r="B363" s="558"/>
      <c r="C363" s="63" t="s">
        <v>323</v>
      </c>
      <c r="D363" s="245"/>
      <c r="E363" s="53"/>
      <c r="F363" s="341" t="str">
        <f>IF(E363="","",IF(OR(LEFT('Quantification Tool R3'!$B$12,2)="65",LEFT('Quantification Tool R3'!$B$12,2)="66",LEFT('Quantification Tool R3'!$B$12,2)="71"),IF(E363&gt;=30,1,IF(E363&lt;13,ROUND('Reference Standards'!$S$53*(E363)+'Reference Standards'!$S$54,2),ROUND('Reference Standards'!$T$53*E363+'Reference Standards'!$T$54,2))),  IF(E363&gt;=16,1,IF(E363&lt;=9,ROUND('Reference Standards'!$U$53*(E363)+'Reference Standards'!$U$54,2),ROUND('Reference Standards'!$V$53*E363+'Reference Standards'!$V$54,2))))    )</f>
        <v/>
      </c>
      <c r="G363" s="677"/>
      <c r="H363" s="678"/>
      <c r="I363" s="680"/>
      <c r="J363" s="684"/>
      <c r="K363" s="680"/>
    </row>
    <row r="364" spans="1:12" ht="15.6" x14ac:dyDescent="0.3">
      <c r="A364" s="520"/>
      <c r="B364" s="520" t="s">
        <v>395</v>
      </c>
      <c r="C364" s="58" t="s">
        <v>80</v>
      </c>
      <c r="D364" s="58"/>
      <c r="E364" s="165"/>
      <c r="F364" s="340" t="str">
        <f>IF(E364="","",ROUND(IF(E364&gt;0.7,0,IF(E364&lt;=0.1,1,E364^3*'Reference Standards'!S$87+E364^2*'Reference Standards'!S$88+E364*'Reference Standards'!S$89+'Reference Standards'!S$90)),2))</f>
        <v/>
      </c>
      <c r="G364" s="528" t="str">
        <f>IFERROR(ROUND(AVERAGE(F364:F367),2),"")</f>
        <v/>
      </c>
      <c r="H364" s="679"/>
      <c r="I364" s="680"/>
      <c r="J364" s="684"/>
      <c r="K364" s="680"/>
    </row>
    <row r="365" spans="1:12" ht="15.6" x14ac:dyDescent="0.3">
      <c r="A365" s="520"/>
      <c r="B365" s="520"/>
      <c r="C365" s="58" t="s">
        <v>49</v>
      </c>
      <c r="D365" s="58"/>
      <c r="E365" s="165"/>
      <c r="F365" s="84"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529"/>
      <c r="H365" s="679"/>
      <c r="I365" s="680"/>
      <c r="J365" s="684"/>
      <c r="K365" s="680"/>
    </row>
    <row r="366" spans="1:12" ht="15.6" x14ac:dyDescent="0.3">
      <c r="A366" s="520"/>
      <c r="B366" s="520"/>
      <c r="C366" s="58" t="s">
        <v>87</v>
      </c>
      <c r="D366" s="58"/>
      <c r="E366" s="165"/>
      <c r="F366" s="84" t="str">
        <f>IF(E366="","",ROUND(IF(E366&gt;40,0,IF(E366&lt;5,1,E366^3*'Reference Standards'!S$122+E366^2*'Reference Standards'!S$123+E366*'Reference Standards'!S$124+'Reference Standards'!S$125)),2))</f>
        <v/>
      </c>
      <c r="G366" s="529"/>
      <c r="H366" s="679"/>
      <c r="I366" s="680"/>
      <c r="J366" s="684"/>
      <c r="K366" s="680"/>
    </row>
    <row r="367" spans="1:12" ht="15.6" x14ac:dyDescent="0.3">
      <c r="A367" s="520"/>
      <c r="B367" s="521"/>
      <c r="C367" s="59" t="s">
        <v>394</v>
      </c>
      <c r="D367" s="59"/>
      <c r="E367" s="167"/>
      <c r="F367" s="341" t="str">
        <f>IF(E367="","",ROUND(IF(E367&gt;=30,0,IF(E367&lt;=0,1,E367*'Reference Standards'!S$156+'Reference Standards'!S$157)),2))</f>
        <v/>
      </c>
      <c r="G367" s="530"/>
      <c r="H367" s="679"/>
      <c r="I367" s="680"/>
      <c r="J367" s="684"/>
      <c r="K367" s="680"/>
    </row>
    <row r="368" spans="1:12" ht="15.6" x14ac:dyDescent="0.3">
      <c r="A368" s="520"/>
      <c r="B368" s="520" t="s">
        <v>50</v>
      </c>
      <c r="C368" s="60" t="s">
        <v>377</v>
      </c>
      <c r="D368" s="64"/>
      <c r="E368" s="136"/>
      <c r="F368" s="294" t="str">
        <f>IF(E368="","",ROUND(IF(E368&gt;9.2,1,E368*'Reference Standards'!$S$189+'Reference Standards'!$S$190),2))</f>
        <v/>
      </c>
      <c r="G368" s="685" t="str">
        <f>IFERROR(ROUND(AVERAGE(F368:F377),2),"")</f>
        <v/>
      </c>
      <c r="H368" s="679"/>
      <c r="I368" s="680"/>
      <c r="J368" s="684"/>
      <c r="K368" s="680"/>
    </row>
    <row r="369" spans="1:12" ht="15.6" x14ac:dyDescent="0.3">
      <c r="A369" s="520"/>
      <c r="B369" s="520"/>
      <c r="C369" s="62" t="s">
        <v>378</v>
      </c>
      <c r="D369" s="58"/>
      <c r="E369" s="162"/>
      <c r="F369" s="294" t="str">
        <f>IF(E369="","",ROUND(IF(E369&gt;9.2,1,E369*'Reference Standards'!$S$189+'Reference Standards'!$S$190),2))</f>
        <v/>
      </c>
      <c r="G369" s="686"/>
      <c r="H369" s="679"/>
      <c r="I369" s="680"/>
      <c r="J369" s="684"/>
      <c r="K369" s="680"/>
    </row>
    <row r="370" spans="1:12" ht="15.6" x14ac:dyDescent="0.3">
      <c r="A370" s="520"/>
      <c r="B370" s="520"/>
      <c r="C370" s="62" t="s">
        <v>379</v>
      </c>
      <c r="D370" s="58"/>
      <c r="E370" s="162"/>
      <c r="F370" s="294" t="str">
        <f>IF(E370="","",ROUND( IF(E370&gt;=200,1,IF(E370&lt;50, E370^2*'Reference Standards'!S$224+E370*'Reference Standards'!S$225+'Reference Standards'!S$226, E370*'Reference Standards'!T$224+'Reference Standards'!T$225)),2))</f>
        <v/>
      </c>
      <c r="G370" s="686"/>
      <c r="H370" s="679"/>
      <c r="I370" s="680"/>
      <c r="J370" s="684"/>
      <c r="K370" s="680"/>
    </row>
    <row r="371" spans="1:12" ht="15.6" x14ac:dyDescent="0.3">
      <c r="A371" s="520"/>
      <c r="B371" s="520"/>
      <c r="C371" s="62" t="s">
        <v>380</v>
      </c>
      <c r="D371" s="58"/>
      <c r="E371" s="162"/>
      <c r="F371" s="294" t="str">
        <f>IF(E371="","",ROUND( IF(E371&gt;=200,1,IF(E371&lt;50, E371^2*'Reference Standards'!S$224+E371*'Reference Standards'!S$225+'Reference Standards'!S$226, E371*'Reference Standards'!T$224+'Reference Standards'!T$225)),2))</f>
        <v/>
      </c>
      <c r="G371" s="686"/>
      <c r="H371" s="679"/>
      <c r="I371" s="680"/>
      <c r="J371" s="684"/>
      <c r="K371" s="680"/>
    </row>
    <row r="372" spans="1:12" ht="15.6" x14ac:dyDescent="0.3">
      <c r="A372" s="520"/>
      <c r="B372" s="520"/>
      <c r="C372" s="58" t="s">
        <v>381</v>
      </c>
      <c r="D372" s="58"/>
      <c r="E372" s="162"/>
      <c r="F372" s="294" t="str">
        <f>IF(E372="","",ROUND(IF(AND(E372&gt;=135,E372&lt;=262),1,IF(  E372&gt;=366,0.5, IF(E372&lt;135,E372*'Reference Standards'!S$259+'Reference Standards'!S$260, E372*'Reference Standards'!T$259+'Reference Standards'!T$260))),2))</f>
        <v/>
      </c>
      <c r="G372" s="686"/>
      <c r="H372" s="679"/>
      <c r="I372" s="680"/>
      <c r="J372" s="684"/>
      <c r="K372" s="680"/>
      <c r="L372" s="21"/>
    </row>
    <row r="373" spans="1:12" ht="15.6" x14ac:dyDescent="0.3">
      <c r="A373" s="520"/>
      <c r="B373" s="520"/>
      <c r="C373" s="58" t="s">
        <v>382</v>
      </c>
      <c r="D373" s="58"/>
      <c r="E373" s="162"/>
      <c r="F373" s="294" t="str">
        <f>IF(E373="","",ROUND(IF(AND(E373&gt;=135,E373&lt;=262),1,IF(  E373&gt;=366,0.5, IF(E373&lt;135,E373*'Reference Standards'!S$259+'Reference Standards'!S$260, E373*'Reference Standards'!T$259+'Reference Standards'!T$260))),2))</f>
        <v/>
      </c>
      <c r="G373" s="686"/>
      <c r="H373" s="679"/>
      <c r="I373" s="680"/>
      <c r="J373" s="684"/>
      <c r="K373" s="680"/>
      <c r="L373" s="21"/>
    </row>
    <row r="374" spans="1:12" ht="15.6" x14ac:dyDescent="0.3">
      <c r="A374" s="520"/>
      <c r="B374" s="520"/>
      <c r="C374" s="58" t="s">
        <v>383</v>
      </c>
      <c r="D374" s="58"/>
      <c r="E374" s="162"/>
      <c r="F374" s="84" t="str">
        <f>IF(E374="","",ROUND(IF(E374&gt;=75,1,IF(E374&lt;=0,0,E374*'Reference Standards'!S$330)),2))</f>
        <v/>
      </c>
      <c r="G374" s="686"/>
      <c r="H374" s="679"/>
      <c r="I374" s="680"/>
      <c r="J374" s="684"/>
      <c r="K374" s="680"/>
      <c r="L374" s="21"/>
    </row>
    <row r="375" spans="1:12" ht="15.6" x14ac:dyDescent="0.3">
      <c r="A375" s="520"/>
      <c r="B375" s="520"/>
      <c r="C375" s="58" t="s">
        <v>384</v>
      </c>
      <c r="D375" s="58"/>
      <c r="E375" s="162"/>
      <c r="F375" s="84" t="str">
        <f>IF(E375="","",ROUND(IF(E375&gt;=75,1,IF(E375&lt;=0,0,E375*'Reference Standards'!S$330)),2))</f>
        <v/>
      </c>
      <c r="G375" s="686"/>
      <c r="H375" s="679"/>
      <c r="I375" s="680"/>
      <c r="J375" s="684"/>
      <c r="K375" s="680"/>
      <c r="L375" s="21"/>
    </row>
    <row r="376" spans="1:12" ht="15.6" x14ac:dyDescent="0.3">
      <c r="A376" s="520"/>
      <c r="B376" s="520"/>
      <c r="C376" s="58" t="s">
        <v>385</v>
      </c>
      <c r="D376" s="58"/>
      <c r="E376" s="162"/>
      <c r="F376" s="294" t="str">
        <f>IF(E376="","",ROUND(IF(AND(E376&gt;=36.3,E376&lt;=68),1,IF(E376&gt;100,0,IF(E376&lt;36.3,(('Reference Standards'!S$297*(E376^2))+('Reference Standards'!S$298*E376)+'Reference Standards'!S$299),IF(E376&gt;68,(('Reference Standards'!T$297*(E376^2))+('Reference Standards'!T$298*E376)+'Reference Standards'!T$299))))),2))</f>
        <v/>
      </c>
      <c r="G376" s="686"/>
      <c r="H376" s="679"/>
      <c r="I376" s="680"/>
      <c r="J376" s="684"/>
      <c r="K376" s="680"/>
      <c r="L376" s="21"/>
    </row>
    <row r="377" spans="1:12" ht="15.6" x14ac:dyDescent="0.3">
      <c r="A377" s="520"/>
      <c r="B377" s="521"/>
      <c r="C377" s="58" t="s">
        <v>386</v>
      </c>
      <c r="D377" s="65"/>
      <c r="E377" s="162"/>
      <c r="F377" s="294" t="str">
        <f>IF(E377="","",ROUND(IF(AND(E377&gt;=36.3,E377&lt;=68),1,IF(E377&gt;100,0,IF(E377&lt;36.3,(('Reference Standards'!S$297*(E377^2))+('Reference Standards'!S$298*E377)+'Reference Standards'!S$299),IF(E377&gt;68,(('Reference Standards'!T$297*(E377^2))+('Reference Standards'!T$298*E377)+'Reference Standards'!T$299))))),2))</f>
        <v/>
      </c>
      <c r="G377" s="687"/>
      <c r="H377" s="679"/>
      <c r="I377" s="680"/>
      <c r="J377" s="684"/>
      <c r="K377" s="680"/>
      <c r="L377" s="21"/>
    </row>
    <row r="378" spans="1:12" ht="15.6" x14ac:dyDescent="0.3">
      <c r="A378" s="520"/>
      <c r="B378" s="56" t="s">
        <v>108</v>
      </c>
      <c r="C378" s="72" t="s">
        <v>130</v>
      </c>
      <c r="D378" s="58"/>
      <c r="E378" s="43"/>
      <c r="F378" s="82" t="str">
        <f>IF(E378="","",IF(OR('Quantification Tool R3'!B$14="Gravel",'Quantification Tool R3'!B$14="Cobble"),IF(E378&gt;0.1,1,IF(E378&lt;=0.01,0,ROUND(E378*'Reference Standards'!$S$362+'Reference Standards'!$S$363,2)))))</f>
        <v/>
      </c>
      <c r="G378" s="251" t="str">
        <f>IFERROR(AVERAGE(F378),"")</f>
        <v/>
      </c>
      <c r="H378" s="679"/>
      <c r="I378" s="680"/>
      <c r="J378" s="684"/>
      <c r="K378" s="680"/>
      <c r="L378" s="21"/>
    </row>
    <row r="379" spans="1:12" ht="15.6" x14ac:dyDescent="0.3">
      <c r="A379" s="520"/>
      <c r="B379" s="526" t="s">
        <v>51</v>
      </c>
      <c r="C379" s="64" t="s">
        <v>52</v>
      </c>
      <c r="D379" s="64"/>
      <c r="E379" s="166"/>
      <c r="F379" s="337" t="str">
        <f>IF(E379="","",IF(ISNUMBER('Quantification Tool R3'!$B$17),IF('Quantification Tool R3'!$B$17&lt;=2,IF(AND(E379&gt;=3,E379&lt;=5),1,IF(OR(E379&lt;=1,E379&gt;=7),0,ROUND(IF(E379&lt;3,E379*'Reference Standards'!S$398+'Reference Standards'!S$399,E379*'Reference Standards'!T$398+'Reference Standards'!T$399),2))),IF(E379&lt;=2.5,1,IF(E379&gt;=5.8,0,ROUND(E379*'Reference Standards'!S$430+'Reference Standards'!S$431,2))))))</f>
        <v/>
      </c>
      <c r="G379" s="676" t="str">
        <f>IFERROR(AVERAGE(F379:F382),"")</f>
        <v/>
      </c>
      <c r="H379" s="679"/>
      <c r="I379" s="680"/>
      <c r="J379" s="684"/>
      <c r="K379" s="680"/>
      <c r="L379" s="21"/>
    </row>
    <row r="380" spans="1:12" ht="15.6" x14ac:dyDescent="0.3">
      <c r="A380" s="520"/>
      <c r="B380" s="520"/>
      <c r="C380" s="58" t="s">
        <v>53</v>
      </c>
      <c r="D380" s="58"/>
      <c r="E380" s="165"/>
      <c r="F380" s="84" t="str">
        <f>IF(E380="","", IF( E380&gt;=2.4,1, IF(E380&lt;=1,0,  ROUND(IF(E380&lt;2.4, E380*'Reference Standards'!$S$464+'Reference Standards'!$S$465  ),2))))</f>
        <v/>
      </c>
      <c r="G380" s="688"/>
      <c r="H380" s="679"/>
      <c r="I380" s="680"/>
      <c r="J380" s="684"/>
      <c r="K380" s="680"/>
      <c r="L380" s="21"/>
    </row>
    <row r="381" spans="1:12" ht="15.6" x14ac:dyDescent="0.3">
      <c r="A381" s="520"/>
      <c r="B381" s="520"/>
      <c r="C381" s="58" t="s">
        <v>334</v>
      </c>
      <c r="D381" s="58"/>
      <c r="E381" s="165"/>
      <c r="F381" s="390" t="str">
        <f>IF(E381="","", IF(LEFT('Quantification Tool R3'!$B$12,2)="67",  IF( AND(E381&gt;=45,E381&lt;=65),1, IF(OR(E381&lt;=20,E381&gt;=90),0, ROUND(  IF(E381&lt;45, E381*'Reference Standards'!$S$498+'Reference Standards'!$S$499,E381*'Reference Standards'!$T$498+'Reference Standards'!$T$499),2))), IF(OR(  LEFT('Quantification Tool R3'!$B$12,2)="68", LEFT('Quantification Tool R3'!$B$12,2)="69",LEFT('Quantification Tool R3'!$B$12,2)="71"),  IF( AND(E381&gt;=30,E381&lt;=50),1, IF(OR(E381&lt;=10,E381&gt;=70),0, ROUND(  IF(E381&lt;30, E381*'Reference Standards'!$S$533+'Reference Standards'!$S$534,E381*'Reference Standards'!$T$533+'Reference Standards'!$T$534),2))), IF(LEFT('Quantification Tool R3'!$B$12,2)="66",  IF( AND(E381&gt;=20,E381&lt;=45),1, IF(OR(E381&lt;=0,E381&gt;=90),0, ROUND(  IF(E381&lt;20, E381*'Reference Standards'!$S$567+'Reference Standards'!$S$568,E381*'Reference Standards'!$T$567+'Reference Standards'!$T$568),2))), IF(OR(  LEFT('Quantification Tool R3'!$B$12,2)="65", LEFT('Quantification Tool R3'!$B$12,2)="74", LEFT('Quantification Tool R3'!$B$12,2)="73"),  IF( AND(E381&gt;=20,E381&lt;=30),1, IF(OR(E381&lt;=0,E381&gt;=50),0, ROUND(  IF(E381&lt;20, E381*'Reference Standards'!$S$601+'Reference Standards'!$S$602,E381*'Reference Standards'!$T$601+'Reference Standards'!$T$602),2))))))))</f>
        <v/>
      </c>
      <c r="G381" s="688"/>
      <c r="H381" s="679"/>
      <c r="I381" s="680"/>
      <c r="J381" s="684"/>
      <c r="K381" s="680"/>
      <c r="L381" s="21"/>
    </row>
    <row r="382" spans="1:12" ht="15.6" x14ac:dyDescent="0.3">
      <c r="A382" s="520"/>
      <c r="B382" s="521"/>
      <c r="C382" s="62" t="s">
        <v>210</v>
      </c>
      <c r="D382" s="58"/>
      <c r="E382" s="167"/>
      <c r="F382" s="391" t="str">
        <f>IF(E382="","",IF(E382&gt;=1.6,0,IF(E382&lt;=1,1,ROUND('Reference Standards'!$S$633*E382^3+'Reference Standards'!$S$634*E382^2+'Reference Standards'!$S$635*E382+'Reference Standards'!$S$636,2))))</f>
        <v/>
      </c>
      <c r="G382" s="677"/>
      <c r="H382" s="679"/>
      <c r="I382" s="680"/>
      <c r="J382" s="684"/>
      <c r="K382" s="680"/>
      <c r="L382" s="21"/>
    </row>
    <row r="383" spans="1:12" ht="15.6" x14ac:dyDescent="0.3">
      <c r="A383" s="521"/>
      <c r="B383" s="296" t="s">
        <v>55</v>
      </c>
      <c r="C383" s="242" t="s">
        <v>54</v>
      </c>
      <c r="D383" s="243"/>
      <c r="E383" s="163"/>
      <c r="F383" s="342" t="str">
        <f>IF(E383="","",IF(AND('Quantification Tool R3'!B$11="E",'Quantification Tool R3'!$B$14="Sand",'Quantification Tool R3'!$B$21="Unconfined Alluvial"),ROUND(IF(OR(E383&gt;1.8,E383&lt;1.3),0,IF(E383&lt;=1.6,1,E383*'Reference Standards'!S$667+'Reference Standards'!S$668)),2),    IF('Quantification Tool R3'!$B$21="Unconfined Alluvial",ROUND(IF(OR(E383&lt;1.2, E383&gt;1.5),0,IF(E383&lt;=1.4,1,E383*'Reference Standards'!$S$700+'Reference Standards'!$S$701)),2), IF('Quantification Tool R3'!$B$21="Confined Alluvial",ROUND(IF(E383&lt;1.15,0,IF(E383&lt;=1.4,E383*'Reference Standards'!$S$729+'Reference Standards'!$S$730,1)),2),  IF('Quantification Tool R3'!$B$21="Colluvial",ROUND(IF(E383&gt;1.3,0,IF(E383&gt;1.2,E383*'Reference Standards'!$S$760+'Reference Standards'!$S$761,1)),2) )))))</f>
        <v/>
      </c>
      <c r="G383" s="252" t="str">
        <f>IFERROR(AVERAGE(F383),"")</f>
        <v/>
      </c>
      <c r="H383" s="679"/>
      <c r="I383" s="680"/>
      <c r="J383" s="684"/>
      <c r="K383" s="680"/>
      <c r="L383" s="21"/>
    </row>
    <row r="384" spans="1:12" ht="15.6" x14ac:dyDescent="0.3">
      <c r="A384" s="537" t="s">
        <v>58</v>
      </c>
      <c r="B384" s="67" t="s">
        <v>88</v>
      </c>
      <c r="C384" s="70" t="s">
        <v>338</v>
      </c>
      <c r="D384" s="70"/>
      <c r="E384" s="43"/>
      <c r="F384" s="343" t="str">
        <f>IF(E384="","",ROUND(IF(E384&gt;=942,0,IF(E384&lt;=487,E384*'Reference Standards'!AB$15+'Reference Standards'!AB$16,E384*'Reference Standards'!$AC$15+'Reference Standards'!$AC$16)),2))</f>
        <v/>
      </c>
      <c r="G384" s="253" t="str">
        <f>IFERROR(AVERAGE(F384),"")</f>
        <v/>
      </c>
      <c r="H384" s="692" t="str">
        <f>IFERROR(ROUND(AVERAGE(G384:G387),2),"")</f>
        <v/>
      </c>
      <c r="I384" s="695" t="str">
        <f>IF(H384="","",IF(H384&gt;0.69,"Functioning",IF(H384&gt;0.29,"Functioning At Risk",IF(H384&gt;-1,"Not Functioning"))))</f>
        <v/>
      </c>
      <c r="J384" s="684"/>
      <c r="K384" s="680"/>
      <c r="L384" s="21"/>
    </row>
    <row r="385" spans="1:12" ht="15.75" customHeight="1" x14ac:dyDescent="0.3">
      <c r="A385" s="538"/>
      <c r="B385" s="297" t="s">
        <v>362</v>
      </c>
      <c r="C385" s="66" t="s">
        <v>354</v>
      </c>
      <c r="D385" s="66"/>
      <c r="E385" s="163"/>
      <c r="F385" s="344" t="str">
        <f>IF(E385="","",IF(OR('Quantification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June")),IF(E385&gt;93,0,IF(E385&lt;13,1,ROUND('Reference Standards'!$AB$53*E385^2+'Reference Standards'!$AB$54*E385+'Reference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R3'!$B$12="73b"),IF(E385&gt;94,0,IF(E385&lt;17,1,ROUND('Reference Standards'!$AC$53*E385^2+'Reference Standards'!$AC$54*E385+'Reference Standards'!$AC$55,2))),    IF(OR(AND(OR('Quantification Tool R3'!$B$12="68b",'Quantification Tool R3'!$B$12="71i"),'Quantification Tool R3'!$B$13&gt;2), 'Quantification Tool R3'!$B$12="71e"),IF(E385&gt;91,0,IF(E385&lt;24,1,ROUND('Reference Standards'!$AD$53*E385^2+'Reference Standards'!$AD$54*E385+'Reference Standards'!$AD$55,2))),  IF(OR(AND(OR('Quantification Tool R3'!$B$12="71f",'Quantification Tool R3'!$B$12="71g",'Quantification Tool R3'!$B$12="71h",'Quantification Tool R3'!$B$12="71i"),'Quantification Tool R3'!$B$13&lt;=2), AND('Quantification Tool R3'!$B$12="74a",'Quantification Tool R3'!$B$13&gt;2)),IF(E385&gt;95,0,IF(E385&lt;=36,1,ROUND('Reference Standards'!$AE$53*E385^2+'Reference Standards'!$AE$54*E385+'Reference Standards'!$AE$55,2))))))))</f>
        <v/>
      </c>
      <c r="G385" s="254" t="str">
        <f>IFERROR(AVERAGE(F385:F385),"")</f>
        <v/>
      </c>
      <c r="H385" s="693"/>
      <c r="I385" s="696"/>
      <c r="J385" s="684"/>
      <c r="K385" s="680"/>
    </row>
    <row r="386" spans="1:12" ht="15.75" customHeight="1" x14ac:dyDescent="0.3">
      <c r="A386" s="538"/>
      <c r="B386" s="67" t="s">
        <v>81</v>
      </c>
      <c r="C386" s="68" t="s">
        <v>281</v>
      </c>
      <c r="D386" s="68"/>
      <c r="E386" s="162"/>
      <c r="F386" s="344" t="str">
        <f>IF(E386="","",IF(ISNUMBER('Quantification Tool R3'!$B$13),IF(OR('Quantification Tool R3'!$B$12="66e",'Quantification Tool R3'!$B$12="66f",'Quantification Tool R3'!$B$12="66g"),ROUND(IF(E386&gt;=0.61,0,IF(E386&lt;=0.01,1,IF(E386&lt;=0.06,E386*'Reference Standards'!$AD$197+'Reference Standards'!$AD$198,E386^2*'Reference Standards'!$AB$196+E386*'Reference Standards'!$AB$197+'Reference Standards'!$AB$198))),2),IF('Quantification Tool R3'!$B$12="68b",ROUND(IF(E386&gt;=1.1,0,IF(E386&lt;=0.17,1,IF(E386&lt;=0.22,E386*'Reference Standards'!$AE$197+'Reference Standards'!$AE$198,E386^2*'Reference Standards'!$AC$196+E386*'Reference Standards'!$AC$197+'Reference Standards'!$AC$198))),2),IF('Quantification Tool R3'!$B$13&lt;=2.5,IF('Quantification Tool R3'!$B$12="69de",ROUND(IF(E386&gt;=0.22,0,IF(E386&lt;=0.01,1,E386^2*'Reference Standards'!$AB$90+E386*'Reference Standards'!$AB$91+'Reference Standards'!$AB$92)),2),IF('Quantification Tool R3'!$B$12="68c",ROUND(IF(E386&gt;=0.87,0,IF(E386&lt;=0.01,1,E386^2*'Reference Standards'!$AC$90+E386*'Reference Standards'!$AC$91+'Reference Standards'!$AC$92)),2),IF('Quantification Tool R3'!$B$12="68a",ROUND(IF(E386&gt;=0.81,0,IF(E386&lt;=0.01,1,E386^2*'Reference Standards'!$AD$90+E386*'Reference Standards'!$AD$91+'Reference Standards'!$AD$92)),2),IF('Quantification Tool R3'!$B$12="65abei",ROUND(IF(E386&gt;=0.67,0,IF(E386&lt;=0.01,1,IF(E386&lt;=0.18,E386*'Reference Standards'!$AG$91+'Reference Standards'!$AG$92,E386*'Reference Standards'!$AE$91+'Reference Standards'!$AE$92))),2),IF('Quantification Tool R3'!$B$12="65j",ROUND(IF(E386&gt;=0.32,0,IF(E386&lt;=0.01,1,IF(E386&lt;=0.25,E386*'Reference Standards'!$AH$91+'Reference Standards'!$AH$92,E386*'Reference Standards'!$AF$91+'Reference Standards'!$AF$92))),2),IF('Quantification Tool R3'!$B$12="71f",ROUND(IF(E386&gt;=3,0,IF(E386&lt;=0,1,IF(E386&lt;=0.01,0.7,E386^2*'Reference Standards'!$AB$126+E386*'Reference Standards'!$AB$127+'Reference Standards'!$AB$128))),2),IF('Quantification Tool R3'!$B$12="74a",ROUND(IF(E386&gt;=0.14,0,IF(E386&lt;=0.01,1,IF(E386&lt;=0.02,0.7,E386^2*'Reference Standards'!$AC$126+E386*'Reference Standards'!$AC$127+'Reference Standards'!$AC$128))),2),IF(OR('Quantification Tool R3'!$B$12="67fhi",'Quantification Tool R3'!$B$12="67g"),ROUND(IF(E386&gt;=1.9,0,IF(E386&lt;=0.01,1,IF(E386&lt;=0.05,E386*'Reference Standards'!$AF$127+'Reference Standards'!$AF$128,E386^2*'Reference Standards'!$AD$126+E386*'Reference Standards'!$AD$127+'Reference Standards'!$AD$128))),2),IF('Quantification Tool R3'!$B$12="73a",ROUND(IF(E386&gt;=1.44,0,IF(E386&lt;=0.01,1,IF(E386&lt;=0.12,E386*'Reference Standards'!$AG$127+'Reference Standards'!$AG$128,E386^2*'Reference Standards'!$AE$126+E386*'Reference Standards'!$AE$127+'Reference Standards'!$AE$128))),2),IF('Quantification Tool R3'!$B$12="66d",ROUND(IF(E386&gt;=0.46,0,IF(E386&lt;=0.02,1,IF(E386&lt;=0.08,E386*'Reference Standards'!$AF$163+'Reference Standards'!$AF$164,E386^2*'Reference Standards'!$AB$162+E386*'Reference Standards'!$AB$163+'Reference Standards'!$AB$164))),2),IF(OR('Quantification Tool R3'!$B$12="71g",'Quantification Tool R3'!$B$12="71h",'Quantification Tool R3'!$B$12="71i"),ROUND(IF(E386&gt;=3,0,IF(E386&lt;=0.06,1,IF(E386&lt;=0.24,E386*'Reference Standards'!$AG$163+'Reference Standards'!$AG$164,E386^2*'Reference Standards'!$AC$162+E386*'Reference Standards'!$AC$163+'Reference Standards'!$AC$164))),2),IF('Quantification Tool R3'!$B$12="74b",ROUND(IF(E386&gt;=1.3,0,IF(E386&lt;=0.29,1,IF(E386&lt;=0.48,E386*'Reference Standards'!$AH$163+'Reference Standards'!$AH$164,E386^2*'Reference Standards'!$AD$162+E386*'Reference Standards'!$AD$163+'Reference Standards'!$AD$164))),2),IF('Quantification Tool R3'!$B$12="71e",ROUND(IF(E386&gt;=4.3,0,IF(E386&lt;=0.53,1,IF(E386&lt;=0.67,E386*'Reference Standards'!$AI$163+'Reference Standards'!$AI$164,E386^2*'Reference Standards'!$AE$162+E386*'Reference Standards'!$AE$163+'Reference Standards'!$AE$164))),2)))))))))))))),IF('Quantification Tool R3'!$B$13&gt;2.5,IF('Quantification Tool R3'!$B$12="73a",ROUND(IF(E386&gt;=0.55,0,IF(E386&lt;=0,1,E386^2*'Reference Standards'!$AB$232+E386*'Reference Standards'!$AB$233+'Reference Standards'!$AB$234)),2),IF('Quantification Tool R3'!$B$12="68a",ROUND(IF(E386&gt;=0.54,0,IF(E386&lt;=0,1,IF(E386&lt;=0.01,0.85,E386^2*'Reference Standards'!$AC$232+E386*'Reference Standards'!$AC$233+'Reference Standards'!$AC$234))),2),IF('Quantification Tool R3'!$B$12="74a",ROUND(IF(E386&gt;=0.47,0,IF(E386&lt;=0.01,1,IF(E386&lt;=0.02,0.7,E386^2*'Reference Standards'!$AD$232+E386*'Reference Standards'!$AD$233+'Reference Standards'!$AD$234))),2),IF('Quantification Tool R3'!$B$12="69de",ROUND(IF(E386&gt;=0.26,0,IF(E386&lt;=0.01,1,IF(E386&lt;=0.02,0.85,E386^2*'Reference Standards'!$AE$232+E386*'Reference Standards'!$AE$233+'Reference Standards'!$AE$234))),2),IF('Quantification Tool R3'!$B$12="71f",ROUND(IF(E386&gt;=0.87,0,IF(E386&lt;=0.01,1,IF(E386&lt;=0.04,E386*'Reference Standards'!$AF$269+'Reference Standards'!$AF$270,E386^2*'Reference Standards'!$AB$268+E386*'Reference Standards'!$AB$269+'Reference Standards'!$AB$270))),2),IF('Quantification Tool R3'!$B$12="65abei",ROUND(IF(E386&gt;=0.82,0,IF(E386&lt;=0.01,1,IF(E386&lt;=0.06,E386*'Reference Standards'!$AG$269+'Reference Standards'!$AG$270,E386^2*'Reference Standards'!$AC$268+E386*'Reference Standards'!$AC$269+'Reference Standards'!$AC$270))),2),IF('Quantification Tool R3'!$B$12="65j",ROUND(IF(E386&gt;=0.33,0,IF(E386&lt;=0.03,1,IF(E386&lt;=0.09,E386*'Reference Standards'!$AH$269+'Reference Standards'!$AH$270,E386^2*'Reference Standards'!$AD$268+E386*'Reference Standards'!$AD$269+'Reference Standards'!$AD$270))),2),IF('Quantification Tool R3'!$B$12="68c",ROUND(IF(E386&gt;=0.7,0,IF(E386&lt;=0.07,1,IF(E386&lt;=0.12,E386*'Reference Standards'!$AI$269+'Reference Standards'!$AI$270,E386^2*'Reference Standards'!$AE$268+E386*'Reference Standards'!$AE$269+'Reference Standards'!$AE$270))),2),IF(OR('Quantification Tool R3'!$B$12="67fhi",'Quantification Tool R3'!$B$12="67g"),ROUND(IF(E386&gt;=1.8,0,IF(E386&lt;=0.08,1,IF(E386&lt;=0.2,E386*'Reference Standards'!$AF$306+'Reference Standards'!$AF$307,E386^2*'Reference Standards'!$AB$305+E386*'Reference Standards'!$AB$306+'Reference Standards'!$AB$307))),2),IF('Quantification Tool R3'!$B$12="74b",ROUND(IF(E386&gt;=0.96,0,IF(E386&lt;=0.12,1,IF(E386&lt;=0.16,E386*'Reference Standards'!$AG$306+'Reference Standards'!$AG$307,E386^2*'Reference Standards'!$AC$305+E386*'Reference Standards'!$AC$306+'Reference Standards'!$AC$307))),2),IF('Quantification Tool R3'!$B$12="66d",ROUND(IF(E386&gt;=0.75,0,IF(E386&lt;=0.13,1,IF(E386&lt;=0.2,E386*'Reference Standards'!$AH$306+'Reference Standards'!$AH$307,E386^2*'Reference Standards'!$AD$305+E386*'Reference Standards'!$AD$306+'Reference Standards'!$AD$307))),2),IF(OR('Quantification Tool R3'!$B$12="71g",'Quantification Tool R3'!$B$12="71h",'Quantification Tool R3'!$B$12="71i"),ROUND(IF(E386&gt;=1.68,0,IF(E386&lt;=0.08,1,IF(E386&lt;=0.23,E386*'Reference Standards'!$AI$306+'Reference Standards'!$AI$307,E386^2*'Reference Standards'!$AE$305+E386*'Reference Standards'!$AE$306+'Reference Standards'!$AE$307))),2),IF('Quantification Tool R3'!$B$12="71e",ROUND(IF(E386&gt;=5.3,0,IF(E386&lt;=0.94,1,IF(E386&lt;=1.4,E386*'Reference Standards'!$AF$310+'Reference Standards'!$AF$311,E386^2*'Reference Standards'!$AB$309+E386*'Reference Standards'!$AB$310+'Reference Standards'!$AB$311))),2))))))))))))))))))))</f>
        <v/>
      </c>
      <c r="G386" s="255" t="str">
        <f>IFERROR(AVERAGE(F386),"")</f>
        <v/>
      </c>
      <c r="H386" s="693"/>
      <c r="I386" s="696"/>
      <c r="J386" s="684"/>
      <c r="K386" s="680"/>
    </row>
    <row r="387" spans="1:12" ht="15.75" customHeight="1" x14ac:dyDescent="0.3">
      <c r="A387" s="539"/>
      <c r="B387" s="298" t="s">
        <v>82</v>
      </c>
      <c r="C387" s="66" t="s">
        <v>280</v>
      </c>
      <c r="D387" s="66"/>
      <c r="E387" s="136"/>
      <c r="F387" s="343" t="str">
        <f>IF(E387="","",IF(ISNUMBER('Quantification Tool R3'!$B$13),IF('Quantification Tool R3'!$B$13&gt;2.5,IF(OR('Quantification Tool R3'!$B$12="71h",'Quantification Tool R3'!$B$12="71i",'Quantification Tool R3'!$B$12="73a",'Quantification Tool R3'!$B$12="74a"),IF(E387&lt;=0.01,1,IF(OR('Quantification Tool R3'!$B$12="71h",'Quantification Tool R3'!$B$12="71i"),IF(E387&gt;0.37,0,ROUND(IF(E387&gt;0.03,'Reference Standards'!$AB$425*E387^2+'Reference Standards'!$AB$426*E387+'Reference Standards'!$AB$427,'Reference Standards'!$AF$426*E387+'Reference Standards'!$AF$427),2)),IF('Quantification Tool R3'!$B$12="73a",IF(E387&gt;0.405,0,ROUND(IF(E387&gt;0.046,'Reference Standards'!$AC$425*E387^2+'Reference Standards'!$AC$426*E387+'Reference Standards'!$AC$427,'Reference Standards'!$AG$426*E387+'Reference Standards'!$AG$427),2)),IF('Quantification Tool R3'!$B$12="74a",IF(E387&gt;0.3,0,ROUND(IF(E387&gt;0.052,'Reference Standards'!$AD$425*E387^2+'Reference Standards'!$AD$426*E387+'Reference Standards'!$AD$427,'Reference Standards'!$AH$426*E387+'Reference Standards'!$AH$427),2)))))),IF(E387&lt;=0.002,1,IF(OR('Quantification Tool R3'!$B$12="66d",'Quantification Tool R3'!$B$12="66e",'Quantification Tool R3'!$B$12="66g"),IF(E387&gt;0.053,0,ROUND(E387^2*'Reference Standards'!$AB$347+E387*'Reference Standards'!$AB$348+'Reference Standards'!$AB$349,2)),IF('Quantification Tool R3'!$B$12="68b",IF(E387&gt;0.05,0,ROUND(E387^2*'Reference Standards'!$AC$347+E387*'Reference Standards'!$AC$348+'Reference Standards'!$AC$349,2)),IF(OR('Quantification Tool R3'!$B$12="68a",'Quantification Tool R3'!$B$12="68c"),IF(E387&gt;0.07,0,ROUND(E387^2*'Reference Standards'!$AD$347+E387*'Reference Standards'!$AD$348+'Reference Standards'!$AD$349,2)),IF(OR('Quantification Tool R3'!$B$12="71f",'Quantification Tool R3'!$B$12="71g"),IF(E387&gt;0.13,0,ROUND(IF(E387&gt;0.042,E387*'Reference Standards'!$AE$348+'Reference Standards'!$AE$349,E387*'Reference Standards'!$AF$348+'Reference Standards'!$AF$349),2)),IF('Quantification Tool R3'!$B$12="67fhi",IF(E387&gt;0.16,0,ROUND(E387^2*'Reference Standards'!$AG$347+E387*'Reference Standards'!$AG$348+'Reference Standards'!$AG$349,2)),IF('Quantification Tool R3'!$B$12="65j",IF(E387&gt;0.035,0,ROUND(IF(E387&lt;=0.003,0.7,E387^2*'Reference Standards'!$AB$387+E387*'Reference Standards'!$AB$388+'Reference Standards'!$AB$389),2)),IF('Quantification Tool R3'!$B$12="69de",IF(E387&gt;0.037,0,ROUND(IF(E387&lt;=0.003,0.7,E387^2*'Reference Standards'!$AC$387+E387*'Reference Standards'!$AC$388+'Reference Standards'!$AC$389),2)),IF('Quantification Tool R3'!$B$12="71e",IF(E387&gt;0.23,0,ROUND(IF(E387&lt;=0.003,0.7,E387^2*'Reference Standards'!$AD$387+E387*'Reference Standards'!$AD$388+'Reference Standards'!$AD$389),2)),IF('Quantification Tool R3'!$B$12="66f",IF(E387&gt;0.06,0,ROUND(IF(E387&lt;=0.003,0.85,IF(E387&lt;=0.004,0.7,E387^2*'Reference Standards'!$AE$387+E387*'Reference Standards'!$AE$388+'Reference Standards'!$AE$389)),2)),IF('Quantification Tool R3'!$B$12="67g",IF(E387&gt;0.11,0,ROUND(IF(E387&lt;=0.01,E387*'Reference Standards'!$AH$388+'Reference Standards'!$AH$389,E387^2*'Reference Standards'!$AF$387+E387*'Reference Standards'!$AF$388+'Reference Standards'!$AF$389),2)),IF('Quantification Tool R3'!$B$12="74b",IF(E387&gt;0.49,0,ROUND(IF(E387&lt;=0.01,E387*'Reference Standards'!$AH$388+'Reference Standards'!$AH$389,E387^2*'Reference Standards'!$AG$387+E387*'Reference Standards'!$AG$388+'Reference Standards'!$AG$389),2)),IF('Quantification Tool R3'!$B$12="65abei",IF(E387&gt;0.199,0,ROUND(IF(E387&lt;=0.01,E387*'Reference Standards'!$AI$426+'Reference Standards'!$AI$427,E387^2*'Reference Standards'!$AE$425+E387*'Reference Standards'!$AE$426+'Reference Standards'!$AE$427),2)))))))))))))))),IF('Quantification Tool R3'!$B$13&lt;=2.5,IF(OR('Quantification Tool R3'!$B$12="66d",'Quantification Tool R3'!$B$12="66e",'Quantification Tool R3'!$B$12="66g"),IF(E387&gt;0.05,0,ROUND(IF(E387&lt;=0.002,1,IF(E387&lt;=0.005,E387*'Reference Standards'!$AF$464+'Reference Standards'!$AF$465,E387^2*'Reference Standards'!$AB$463+E387*'Reference Standards'!$AB$464+'Reference Standards'!$AB$465)),2)),IF('Quantification Tool R3'!$B$12="67fhi",IF(E387&gt;0.1,0,ROUND(IF(E387&lt;=0.002,1,IF(E387&lt;=0.006,E387*'Reference Standards'!$AG$464+'Reference Standards'!$AG$465,E387^2*'Reference Standards'!$AC$463+E387*'Reference Standards'!$AC$464+'Reference Standards'!$AC$465)),2)),IF('Quantification Tool R3'!$B$12="65abei",IF(E387&gt;0.13,0,ROUND(IF(E387&lt;=0.003,1,IF(E387&lt;=0.008,E387*'Reference Standards'!$AH$464+'Reference Standards'!$AH$465,E387^2*'Reference Standards'!$AD$463+E387*'Reference Standards'!$AD$464+'Reference Standards'!$AD$465)),2)),IF('Quantification Tool R3'!$B$12="68b",IF(E387&gt;0.043,0,ROUND(IF(E387&lt;=0.004,1,IF(E387&lt;=0.005,0.7,E387^2*'Reference Standards'!$AE$463+E387*'Reference Standards'!$AE$464+'Reference Standards'!$AE$465)),2)),IF('Quantification Tool R3'!$B$12="69de",IF(E387&gt;=0.034,0,ROUND(IF(E387&lt;=0.003,1,IF(E387&lt;=0.006,E387*'Reference Standards'!$AG$500+'Reference Standards'!$AG$501,E387*'Reference Standards'!$AB$500+'Reference Standards'!$AB$501)),2)),IF(OR('Quantification Tool R3'!$B$12="68a",'Quantification Tool R3'!$B$12="68c"),IF(E387&gt;0.202,0,ROUND(IF(E387&lt;=0.003,1,IF(E387&lt;=0.006,E387*'Reference Standards'!$AG$500+'Reference Standards'!$AG$501,IF(E387&gt;=0.04,E387*'Reference Standards'!$AC$500+'Reference Standards'!$AC$501,E387*'Reference Standards'!$AE$500+'Reference Standards'!$AE$501))),2)),IF(OR('Quantification Tool R3'!$B$12="71f",'Quantification Tool R3'!$B$12="71g"),IF(E387&gt;0.631,0,ROUND(IF(E387&lt;=0.003,1,IF(E387&lt;=0.006,E387*'Reference Standards'!$AG$500+'Reference Standards'!$AG$501,IF(E387&gt;=0.17,E387*'Reference Standards'!$AD$500+'Reference Standards'!$AD$501,E387*'Reference Standards'!$AF$500+'Reference Standards'!$AF$501))),2)),IF('Quantification Tool R3'!$B$12="71e",IF(E387&gt;1.23,0,ROUND(IF(E387&lt;=0.004,1,IF(E387&lt;=0.006,E387*'Reference Standards'!$AF$538+'Reference Standards'!$AF$539,E387^2*'Reference Standards'!$AB$537+E387*'Reference Standards'!$AB$538+'Reference Standards'!$AB$539)),2)),IF('Quantification Tool R3'!$B$12="67g",IF(E387&gt;0.11,0,ROUND(IF(E387&lt;=0.006,1,IF(E387&lt;=0.011,E387*'Reference Standards'!$AG$538+'Reference Standards'!$AG$539,E387^2*'Reference Standards'!$AC$537+E387*'Reference Standards'!$AC$538+'Reference Standards'!$AC$539)),2)),IF('Quantification Tool R3'!$B$12="65j",IF(E387&gt;0.046,0,ROUND(IF(E387&lt;=0.007,1,IF(E387&lt;=0.012,E387*'Reference Standards'!$AH$538+'Reference Standards'!$AH$539,E387^2*'Reference Standards'!$AD$537+E387*'Reference Standards'!$AD$538+'Reference Standards'!$AD$539)),2)),IF('Quantification Tool R3'!$B$12="66f",IF(E387&gt;0.081,0,ROUND(IF(E387&lt;=0.008,1,IF(E387&lt;=0.011,E387*'Reference Standards'!$AI$538+'Reference Standards'!$AI$539,E387^2*'Reference Standards'!$AE$537+E387*'Reference Standards'!$AE$538+'Reference Standards'!$AE$539)),2)),IF(OR('Quantification Tool R3'!$B$12="71h",'Quantification Tool R3'!$B$12="71i"),IF(E387&gt;0.37,0,ROUND(IF(E387&lt;=0.013,1,IF(E387&lt;=0.032,E387*'Reference Standards'!$AH$576+'Reference Standards'!$AH$577,IF(E387&lt;=0.3,E387*'Reference Standards'!$AF$576+'Reference Standards'!$AF$577,E387*'Reference Standards'!$AB$576+'Reference Standards'!$AB$577))),2)),IF('Quantification Tool R3'!$B$12="73a",IF(E387&gt;0.448,0,ROUND(IF(E387&lt;=0.071,1,IF(E387&lt;=0.086,E387*'Reference Standards'!$AJ$576+'Reference Standards'!$AJ$577,IF(E387&lt;=0.165,E387*'Reference Standards'!$AG$576+'Reference Standards'!$AG$577,E387*'Reference Standards'!$AE$576+'Reference Standards'!$AE$577))),2)),IF('Quantification Tool R3'!$B$12="74b",IF(E387&gt;0.43,0,ROUND(IF(E387&lt;=0.018,1,IF(E387&lt;=0.019,0.85,IF(E387&lt;=0.02,0.7,E387^2*'Reference Standards'!$AC$575+E387*'Reference Standards'!$AC$576+'Reference Standards'!$AC$577))),2)),IF('Quantification Tool R3'!$B$12="74a",IF(E387&gt;0.217,0,ROUND(IF(E387&lt;=0.02,1,IF(E387&lt;=0.033,E387*'Reference Standards'!$AI$576+'Reference Standards'!$AI$577,E387^2*'Reference Standards'!$AD$575+E387*'Reference Standards'!$AD$576+'Reference Standards'!$AD$577)),2)))))))))))))))))))))</f>
        <v/>
      </c>
      <c r="G387" s="256" t="str">
        <f>IFERROR(AVERAGE(F387),"")</f>
        <v/>
      </c>
      <c r="H387" s="694"/>
      <c r="I387" s="697"/>
      <c r="J387" s="684"/>
      <c r="K387" s="680"/>
    </row>
    <row r="388" spans="1:12" ht="15.6" x14ac:dyDescent="0.3">
      <c r="A388" s="550" t="s">
        <v>59</v>
      </c>
      <c r="B388" s="560" t="s">
        <v>340</v>
      </c>
      <c r="C388" s="125" t="s">
        <v>331</v>
      </c>
      <c r="D388" s="126"/>
      <c r="E388" s="166"/>
      <c r="F388" s="345" t="str">
        <f>IF(E388="","",IF(OR('Quantification Tool R3'!B$12="73a",'Quantification Tool R3'!B$12="73b"),IF(E388&lt;1,0,IF(E388&gt;=30,1,ROUND(IF(E388&lt;22,'Reference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698" t="str">
        <f>IFERROR(AVERAGE(F388:F391),"")</f>
        <v/>
      </c>
      <c r="H388" s="699" t="str">
        <f>IFERROR(ROUND(AVERAGE(G388:G393),2),"")</f>
        <v/>
      </c>
      <c r="I388" s="683" t="str">
        <f>IF(H388="","",IF(H388&gt;0.69,"Functioning",IF(H388&gt;0.29,"Functioning At Risk",IF(H388&gt;-1,"Not Functioning"))))</f>
        <v/>
      </c>
      <c r="J388" s="684"/>
      <c r="K388" s="680"/>
    </row>
    <row r="389" spans="1:12" ht="15.6" x14ac:dyDescent="0.3">
      <c r="A389" s="556"/>
      <c r="B389" s="561"/>
      <c r="C389" s="174" t="s">
        <v>335</v>
      </c>
      <c r="D389" s="175"/>
      <c r="E389" s="165"/>
      <c r="F389" s="346" t="str">
        <f>IF(E389="","",IF(AND('Quantification Tool R3'!$B$12="74b",'Quantification Tool R3'!$B$13&lt;=2),IF(E389&lt;0,0,IF(E389&gt;15.6,0.69,ROUND('Reference Standards'!$AL$54*E389^2+'Reference Standards'!$AL$55*E389+'Reference Standards'!$AL$56,2))),IF(AND('Quantification Tool R3'!$B$12="65abei",'Quantification Tool R3'!$B$13&lt;=2),IF(E389&lt;0,0,IF(E389&gt;=20,0.69,ROUND('Reference Standards'!$AM$54*E389^2+'Reference Standards'!$AM$55*E389+'Reference Standards'!$AM$56,2))),IF(OR(AND('Quantification Tool R3'!$B$12="74a",'Quantification Tool R3'!$B$13&gt;2,'Quantification Tool R3'!$B$19="January - June"),AND('Quantification Tool R3'!$B$12="71i",'Quantification Tool R3'!$B$13&gt;2,'Quantification Tool R3'!$B$20="SQBANK")),IF(E389&lt;0,0,IF(E389&gt;24.7,0.69,ROUND('Reference Standards'!$AN$54*E389^2+'Reference Standards'!$AN$55*E389+'Reference Standards'!$AN$56,2))),IF(OR('Quantification Tool R3'!$B$12="74b",'Quantification Tool R3'!$B$12="65abei"),IF(E389&lt;0,0,IF(E389&gt;32.7,0.69,ROUND('Reference Standards'!$AO$54*E389^2+'Reference Standards'!$AO$55*E389+'Reference Standards'!$AO$56,2))),IF(AND('Quantification Tool R3'!$B$12="68b",'Quantification Tool R3'!$B$13&gt;2),IF(E389&lt;0,0,IF(E389&gt;41.2,0.69,ROUND('Reference Standards'!$AP$54*E389^2+'Reference Standards'!$AP$55*E389+'Reference Standards'!$AP$56,2))),IF(OR(AND('Quantification Tool R3'!$B$12="71i",'Quantification Tool R3'!$B$13&lt;=2),AND(OR('Quantification Tool R3'!$B$12="68c",'Quantification Tool R3'!$B$12="68d"),'Quantification Tool R3'!$B$19="January - June")),IF(E389&lt;0,0,IF(E389&gt;49.2,0.69,ROUND('Reference Standards'!$AL$94*E389^2+'Reference Standards'!$AL$95*E389+'Reference Standards'!$AL$96,2))),IF(OR(AND('Quantification Tool R3'!$B$12="68a",'Quantification Tool R3'!$B$19="January - June"),AND(OR('Quantification Tool R3'!$B$12="68c",'Quantification Tool R3'!$B$12="68d"),'Quantification Tool R3'!$B$19="July - December")),IF(E389&lt;0,0,IF(E389&gt;53.4,0.69,ROUND('Reference Standards'!$AM$94*E389^2+'Reference Standards'!$AM$95*E389+'Reference Standards'!$AM$96,2))),IF(OR(AND('Quantification Tool R3'!$B$12="71i",'Quantification Tool R3'!$B$13&gt;2,'Quantification Tool R3'!$B$20="SQKICK"),AND(OR('Quantification Tool R3'!$B$12="67fhi",'Quantification Tool R3'!$B$12="67g"),'Quantification Tool R3'!$B$13&lt;=2),'Quantification Tool R3'!$B$12="65j"),IF(E389&lt;0,0,IF(E389&gt;57.8,0.69,ROUND('Reference Standards'!$AN$94*E389^2+'Reference Standards'!$AN$95*E389+'Reference Standards'!$AN$96,2))),IF(OR(AND('Quantification Tool R3'!$B$12="74a",'Quantification Tool R3'!$B$13&gt;2,'Quantification Tool R3'!$B$19="July - December"),AND(OR('Quantification Tool R3'!$B$12="67fhi",'Quantification Tool R3'!$B$12="67g"),'Quantification Tool R3'!$B$13&gt;2),'Quantification Tool R3'!$B$12="69de"),IF(E389&lt;0,0,IF(E389&gt;62.5,0.69,ROUND('Reference Standards'!$AO$94*E389^2+'Reference Standards'!$AO$95*E389+'Reference Standards'!$AO$96,2))),  IF(OR('Quantification Tool R3'!$B$12="66d",'Quantification Tool R3'!$B$12="66e",'Quantification Tool R3'!$B$12="66ik",'Quantification Tool R3'!$B$12="71e",'Quantification Tool R3'!$B$12="71f",'Quantification Tool R3'!$B$12="71g",'Quantification Tool R3'!$B$12="71h"),IF(E389&lt;0,0,IF(E389&gt;66.5,0.69,ROUND('Reference Standards'!$AP$94*E389^2+'Reference Standards'!$AP$95*E389+'Reference Standards'!$AP$96,2))),IF(OR('Quantification Tool R3'!$B$12="66f",'Quantification Tool R3'!$B$12="66g",'Quantification Tool R3'!$B$12="66j",AND('Quantification Tool R3'!$B$12="68a",'Quantification Tool R3'!$B$19="July - December")), IF(E389&lt;0,0,IF(E389&gt;69,0.69,ROUND('Reference Standards'!$AQ$94*E389^2+'Reference Standards'!$AQ$95*E389+'Reference Standards'!$AQ$96,2))))   )))))))))))</f>
        <v/>
      </c>
      <c r="G389" s="698"/>
      <c r="H389" s="699"/>
      <c r="I389" s="683"/>
      <c r="J389" s="684"/>
      <c r="K389" s="680"/>
    </row>
    <row r="390" spans="1:12" ht="15.6" x14ac:dyDescent="0.3">
      <c r="A390" s="556"/>
      <c r="B390" s="561"/>
      <c r="C390" s="174" t="s">
        <v>339</v>
      </c>
      <c r="D390" s="175"/>
      <c r="E390" s="165"/>
      <c r="F390" s="346" t="str">
        <f>IF(E390="","",IF(AND('Quantification Tool R3'!$B$12="74b",'Quantification Tool R3'!$B$13&lt;=2),IF(E390&lt;0,0,IF(E390&gt;8.1,0.69,ROUND('Reference Standards'!$AL$131*E390^2+'Reference Standards'!$AL$132*E390+'Reference Standards'!$AL$133,2))),IF(OR('Quantification Tool R3'!$B$12="73a",'Quantification Tool R3'!$B$12="73b"),IF(E390&lt;0,0,IF(E390&gt;=28,0.69,ROUND('Reference Standards'!$AM$131*E390^2+'Reference Standards'!$AM$132*E390+'Reference Standards'!$AM$133,2))),IF(AND('Quantification Tool R3'!$B$12="74a",'Quantification Tool R3'!$B$13&gt;2,'Quantification Tool R3'!$B$19="January - June"),IF(E390&lt;0,0,IF(E390&gt;=32.5,0.69,ROUND('Reference Standards'!$AN$131*E390^2+'Reference Standards'!$AN$132*E390+'Reference Standards'!$AN$133,2))),IF(AND('Quantification Tool R3'!$B$12="71i",'Quantification Tool R3'!$B$13&gt;2,'Quantification Tool R3'!$B$20="SQBANK"),IF(E390&lt;0,0,IF(E390&gt;=37,0.69,ROUND('Reference Standards'!$AO$131*E390^2+'Reference Standards'!$AO$132*E390+'Reference Standards'!$AO$133,2))),IF(OR(AND(OR('Quantification Tool R3'!$B$12="65abei",'Quantification Tool R3'!$B$12="74b"),'Quantification Tool R3'!$B$13&gt;2),AND('Quantification Tool R3'!$B$12="71i",'Quantification Tool R3'!$B$13&gt;2,'Quantification Tool R3'!$B$20="SQKICK")),IF(E390&lt;0,0,IF(E390&gt;42.6,0.69,ROUND('Reference Standards'!$AP$131*E390^2+'Reference Standards'!$AP$132*E390+'Reference Standards'!$AP$133,2))),     IF(OR(AND('Quantification Tool R3'!$B$12="65abei",'Quantification Tool R3'!$B$13&lt;=2),AND(OR('Quantification Tool R3'!$B$12="68c",'Quantification Tool R3'!$B$12="68d"),'Quantification Tool R3'!$B$19="July - December"),'Quantification Tool R3'!$B$12="71e"),IF(E390&lt;0,0,IF(E390&gt;=48,0.69,ROUND('Reference Standards'!$AL$171*E390^2+'Reference Standards'!$AL$172*E390+'Reference Standards'!$AL$173,2))),IF(OR('Quantification Tool R3'!$B$12="65j",'Quantification Tool R3'!$B$12="67fhi",'Quantification Tool R3'!$B$12="67g",AND('Quantification Tool R3'!$B$12="74a",'Quantification Tool R3'!$B$19="July - December",'Quantification Tool R3'!$B$13&gt;2),AND('Quantification Tool R3'!$B$12="71i",'Quantification Tool R3'!$B$13&lt;=2)),IF(E390&lt;0,0,IF(E390&gt;=53,0.69,ROUND('Reference Standards'!$AM$171*E390^2+'Reference Standards'!$AM$172*E390+'Reference Standards'!$AM$173,2))),IF(OR(AND(OR('Quantification Tool R3'!$B$12="68b",'Quantification Tool R3'!$B$12="71f",'Quantification Tool R3'!$B$12="71g",'Quantification Tool R3'!$B$12="71h"),'Quantification Tool R3'!$B$13&gt;2),'Quantification Tool R3'!$B$12="68a"),IF(E390&lt;0,0,IF(E390&gt;=57,0.69,ROUND('Reference Standards'!$AN$171*E390^2+'Reference Standards'!$AN$172*E390+'Reference Standards'!$AN$173,2))),IF(OR('Quantification Tool R3'!$B$12="66f",'Quantification Tool R3'!$B$12="66g",'Quantification Tool R3'!$B$12="66j",AND(OR('Quantification Tool R3'!$B$12="71f",'Quantification Tool R3'!$B$12="71g",'Quantification Tool R3'!$B$12="71h"),'Quantification Tool R3'!$B$13&lt;=2)),IF(E390&lt;0,0,IF(E390&gt;=60,0.69,ROUND('Reference Standards'!$AO$171*E390^2+'Reference Standards'!$AO$172*E390+'Reference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December")),IF(E390&lt;0,0,IF(E390&gt;=67.5,0.69,ROUND('Reference Standards'!$AP$171*E390^2+'Reference Standards'!$AP$172*E390+'Reference Standards'!$AP$173,2))),IF(AND('Quantification Tool R3'!$B$12="69de",'Quantification Tool R3'!$B$19="January - June"), IF(E390&lt;0,0,IF(E390&gt;=72,0.69,ROUND('Reference Standards'!$AQ$171*E390^2+'Reference Standards'!$AQ$172*E390+'Reference Standards'!$AQ$173,2))))   )))))))))))</f>
        <v/>
      </c>
      <c r="G390" s="698"/>
      <c r="H390" s="699"/>
      <c r="I390" s="683"/>
      <c r="J390" s="684"/>
      <c r="K390" s="680"/>
    </row>
    <row r="391" spans="1:12" ht="15.6" x14ac:dyDescent="0.3">
      <c r="A391" s="556"/>
      <c r="B391" s="562"/>
      <c r="C391" s="127" t="s">
        <v>336</v>
      </c>
      <c r="D391" s="71"/>
      <c r="E391" s="167"/>
      <c r="F391" s="346" t="str">
        <f>IF(E391="","",IF(OR('Quantification Tool R3'!$B$12="67fhi",'Quantification Tool R3'!$B$12="67g",'Quantification Tool R3'!$B$12="71e",'Quantification Tool R3'!$B$12="73a",'Quantification Tool R3'!$B$12="73b",AND(OR('Quantification Tool R3'!$B$12="71f",'Quantification Tool R3'!$B$12="71g",'Quantification Tool R3'!$B$12="71h"),'Quantification Tool R3'!$B$13&gt;2)),IF(E391&gt;100,0,IF(E391&lt;15,0.69,ROUND('Reference Standards'!$AL$208*E391^2+'Reference Standards'!$AL$209*E391+'Reference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),IF(E391&gt;100,0,IF(E391&lt;19,0.69,ROUND('Reference Standards'!$AM$208*E391^2+'Reference Standards'!$AM$209*E391+'Reference Standards'!$AM$210,2))),    IF(OR(AND('Quantification Tool R3'!$B$12="69de",'Quantification Tool R3'!$B$19="January - June"),AND('Quantification Tool R3'!$B$12="71i",'Quantification Tool R3'!$B$13&gt;2,'Quantification Tool R3'!$B$20="SQKICK" )),IF(E391&gt;100,0,IF(E391&lt;22,0.69,ROUND('Reference Standards'!$AN$208*E391^2+'Reference Standards'!$AN$209*E391+'Reference Standards'!$AN$210,2))),    IF(OR('Quantification Tool R3'!$B$12="65j",AND('Quantification Tool R3'!$B$12="68b",'Quantification Tool R3'!$B$13&gt;2)),IF(E391&gt;100,0,IF(E391&lt;24,0.69,ROUND('Reference Standards'!$AO$208*E391^2+'Reference Standards'!$AO$209*E391+'Reference Standards'!$AO$210,2))),    IF(AND(OR('Quantification Tool R3'!$B$12="65abei",'Quantification Tool R3'!$B$12="71f",'Quantification Tool R3'!$B$12="71g",'Quantification Tool R3'!$B$12="71h"),'Quantification Tool R3'!$B$13&lt;=2),IF(E391&gt;95,0,IF(E391&lt;33,0.69,ROUND('Reference Standards'!$AL$246*E391^2+'Reference Standards'!$AL$247*E391+'Reference Standards'!$AL$248,2))),   IF(AND(OR('Quantification Tool R3'!$B$12="65abei",'Quantification Tool R3'!$B$12="74b"),'Quantification Tool R3'!$B$13&gt;2),IF(E391&gt;97,0,IF(E391&lt;36,0.69,ROUND('Reference Standards'!$AM$246*E391^2+'Reference Standards'!$AM$247*E391+'Reference Standards'!$AM$248,2))),  IF(AND('Quantification Tool R3'!$B$12="74a",'Quantification Tool R3'!$B$19="January - June",'Quantification Tool R3'!$B$13&gt;2),IF(E391&gt;93,0,IF(E391&lt;52,0.69,ROUND('Reference Standards'!$AN$246*E391^2+'Reference Standards'!$AN$247*E391+'Reference Standards'!$AN$248,2))),   IF(AND('Quantification Tool R3'!$B$12="74b",'Quantification Tool R3'!$B$13&lt;=2),IF(E391&gt;97,0,IF(E391&lt;62,0.69,ROUND('Reference Standards'!$AO$246*E391^2+'Reference Standards'!$AO$247*E391+'Reference Standards'!$AO$248,2)))  )))))))))</f>
        <v/>
      </c>
      <c r="G391" s="698"/>
      <c r="H391" s="699"/>
      <c r="I391" s="683"/>
      <c r="J391" s="684"/>
      <c r="K391" s="680"/>
    </row>
    <row r="392" spans="1:12" ht="15.6" x14ac:dyDescent="0.3">
      <c r="A392" s="556"/>
      <c r="B392" s="563" t="s">
        <v>74</v>
      </c>
      <c r="C392" s="125" t="s">
        <v>211</v>
      </c>
      <c r="D392" s="126"/>
      <c r="E392" s="166"/>
      <c r="F392" s="345" t="str">
        <f>IF(E392="","",IF(E392=1,0.15,IF(E392=3,0.5,IF(E392=5,0.85,0))))</f>
        <v/>
      </c>
      <c r="G392" s="672" t="str">
        <f>IFERROR(AVERAGE(F392:F393),"")</f>
        <v/>
      </c>
      <c r="H392" s="699"/>
      <c r="I392" s="683"/>
      <c r="J392" s="684"/>
      <c r="K392" s="680"/>
    </row>
    <row r="393" spans="1:12" ht="15.6" x14ac:dyDescent="0.3">
      <c r="A393" s="551"/>
      <c r="B393" s="563"/>
      <c r="C393" s="127" t="s">
        <v>332</v>
      </c>
      <c r="D393" s="71"/>
      <c r="E393" s="167"/>
      <c r="F393" s="347" t="str">
        <f>IF(E393="","",IF(E393=1,0.15,IF(E393=3,0.5,IF(E393=5,0.85,0))))</f>
        <v/>
      </c>
      <c r="G393" s="673"/>
      <c r="H393" s="699"/>
      <c r="I393" s="683"/>
      <c r="J393" s="684"/>
      <c r="K393" s="680"/>
    </row>
    <row r="394" spans="1:12" x14ac:dyDescent="0.3">
      <c r="L394" s="21"/>
    </row>
    <row r="395" spans="1:12" x14ac:dyDescent="0.3">
      <c r="L395" s="21"/>
    </row>
    <row r="396" spans="1:12" ht="21" x14ac:dyDescent="0.4">
      <c r="A396" s="148" t="s">
        <v>135</v>
      </c>
      <c r="B396" s="246"/>
      <c r="C396" s="249" t="s">
        <v>324</v>
      </c>
      <c r="D396" s="246"/>
      <c r="E396" s="247"/>
      <c r="F396" s="248"/>
      <c r="G396" s="544" t="s">
        <v>18</v>
      </c>
      <c r="H396" s="545"/>
      <c r="I396" s="545"/>
      <c r="J396" s="545"/>
      <c r="K396" s="546"/>
    </row>
    <row r="397" spans="1:12" ht="16.5" customHeight="1" x14ac:dyDescent="0.3">
      <c r="A397" s="158" t="s">
        <v>1</v>
      </c>
      <c r="B397" s="158" t="s">
        <v>2</v>
      </c>
      <c r="C397" s="542" t="s">
        <v>3</v>
      </c>
      <c r="D397" s="644"/>
      <c r="E397" s="158" t="s">
        <v>15</v>
      </c>
      <c r="F397" s="158" t="s">
        <v>16</v>
      </c>
      <c r="G397" s="158" t="s">
        <v>19</v>
      </c>
      <c r="H397" s="158" t="s">
        <v>20</v>
      </c>
      <c r="I397" s="314" t="s">
        <v>20</v>
      </c>
      <c r="J397" s="158" t="s">
        <v>21</v>
      </c>
      <c r="K397" s="315" t="s">
        <v>21</v>
      </c>
    </row>
    <row r="398" spans="1:12" ht="15.75" customHeight="1" x14ac:dyDescent="0.3">
      <c r="A398" s="540" t="s">
        <v>60</v>
      </c>
      <c r="B398" s="299" t="s">
        <v>86</v>
      </c>
      <c r="C398" s="52" t="s">
        <v>388</v>
      </c>
      <c r="D398" s="52"/>
      <c r="E398" s="162"/>
      <c r="F398" s="338" t="str">
        <f>IF(E398="","",IF(E398&lt;=0,0,IF(E398&gt;=0.95,1,ROUND('Reference Standards'!C$14*E398+'Reference Standards'!C$15,2))))</f>
        <v/>
      </c>
      <c r="G398" s="250" t="str">
        <f>IFERROR(AVERAGE(F398),"")</f>
        <v/>
      </c>
      <c r="H398" s="681" t="str">
        <f>IFERROR(ROUND(AVERAGE(G398:G399),2),"")</f>
        <v/>
      </c>
      <c r="I398" s="683" t="str">
        <f>IF(H398="","",IF(H398&gt;0.69,"Functioning",IF(H398&gt;0.29,"Functioning At Risk",IF(H398&gt;-1,"Not Functioning"))))</f>
        <v/>
      </c>
      <c r="J398" s="684" t="str">
        <f>IF(AND(H398="",H400="",H402="",H424="",H428=""),"",ROUND((IF(H398="",0,H398)*0.2)+(IF(H400="",0,H400)*0.2)+(IF(H402="",0,H402)*0.2)+(IF(H424="",0,H424)*0.2)+(IF(H428="",0,H428)*0.2),2))</f>
        <v/>
      </c>
      <c r="K398" s="680" t="str">
        <f>IF(J398="","",IF(J398&lt;0.3, "Not Functioning",IF(OR(H398&lt;0.7,H400&lt;0.7,H402&lt;0.7,H424&lt;0.7,H428&lt;0.7),"Functioning At Risk",IF(J398&lt;0.7,"Functioning At Risk","Functioning"))))</f>
        <v/>
      </c>
    </row>
    <row r="399" spans="1:12" ht="15.75" customHeight="1" x14ac:dyDescent="0.3">
      <c r="A399" s="541"/>
      <c r="B399" s="371" t="s">
        <v>128</v>
      </c>
      <c r="C399" s="373" t="s">
        <v>161</v>
      </c>
      <c r="D399" s="374"/>
      <c r="E399" s="43"/>
      <c r="F399" s="372" t="str">
        <f>IF(E399="","",IF(E399&gt;=1,1,IF(E399&lt;=0,0,ROUND(E399,2))))</f>
        <v/>
      </c>
      <c r="G399" s="369" t="str">
        <f>IFERROR(AVERAGE(F399:F399),"")</f>
        <v/>
      </c>
      <c r="H399" s="682"/>
      <c r="I399" s="683"/>
      <c r="J399" s="684"/>
      <c r="K399" s="680"/>
    </row>
    <row r="400" spans="1:12" ht="15" customHeight="1" x14ac:dyDescent="0.3">
      <c r="A400" s="524" t="s">
        <v>6</v>
      </c>
      <c r="B400" s="572" t="s">
        <v>7</v>
      </c>
      <c r="C400" s="54" t="s">
        <v>8</v>
      </c>
      <c r="D400" s="54"/>
      <c r="E400" s="162"/>
      <c r="F400" s="339" t="str">
        <f>IF(E400="","",ROUND(IF(E400&gt;1.6,0,IF(E400&lt;=1,1,E400^2*'Reference Standards'!K$14+E400*'Reference Standards'!K$15+'Reference Standards'!K$16)),2))</f>
        <v/>
      </c>
      <c r="G400" s="689" t="str">
        <f>IFERROR(AVERAGE(F400:F401),"")</f>
        <v/>
      </c>
      <c r="H400" s="689" t="str">
        <f>IFERROR(ROUND(AVERAGE(G400),2),"")</f>
        <v/>
      </c>
      <c r="I400" s="674" t="str">
        <f>IF(H400="","",IF(H400&gt;0.69,"Functioning",IF(H400&gt;0.29,"Functioning At Risk",IF(H400&gt;-1,"Not Functioning"))))</f>
        <v/>
      </c>
      <c r="J400" s="684"/>
      <c r="K400" s="680"/>
    </row>
    <row r="401" spans="1:12" ht="15" customHeight="1" x14ac:dyDescent="0.3">
      <c r="A401" s="525"/>
      <c r="B401" s="572"/>
      <c r="C401" s="54" t="s">
        <v>9</v>
      </c>
      <c r="D401" s="54"/>
      <c r="E401" s="163"/>
      <c r="F401" s="339" t="str">
        <f>IF(E401="","",(IF(OR('Quantification Tool R3'!B$11="A",'Quantification Tool R3'!B$11="B",'Quantification Tool R3'!$B$11="Bc"),IF(E401&lt;1.2,0,IF(E401&gt;=2.2,1,ROUND(IF(E401&lt;1.4,E401*'Reference Standards'!$K$84+'Reference Standards'!$K$85,E401*'Reference Standards'!$L$84+'Reference Standards'!$L$85),2))),IF(OR('Quantification Tool R3'!B$11="C",'Quantification Tool R3'!B$11="E"),IF(E401&lt;2,0,IF(E401&gt;=5,1,ROUND(IF(E401&lt;2.4,E401*'Reference Standards'!$L$49+'Reference Standards'!$L$50,E401*'Reference Standards'!$K$49+'Reference Standards'!$K$50),2)))))))</f>
        <v/>
      </c>
      <c r="G401" s="690"/>
      <c r="H401" s="691"/>
      <c r="I401" s="675"/>
      <c r="J401" s="684"/>
      <c r="K401" s="680"/>
    </row>
    <row r="402" spans="1:12" ht="15" customHeight="1" x14ac:dyDescent="0.3">
      <c r="A402" s="526" t="s">
        <v>26</v>
      </c>
      <c r="B402" s="557" t="s">
        <v>27</v>
      </c>
      <c r="C402" s="60" t="s">
        <v>333</v>
      </c>
      <c r="D402" s="244"/>
      <c r="E402" s="61"/>
      <c r="F402" s="340" t="str">
        <f>IF(E402="","",IF(OR(LEFT('Quantification Tool R3'!$B$12,2)="65",LEFT('Quantification Tool R3'!$B$12,2)="66",LEFT('Quantification Tool R3'!$B$12,2)="71"),IF(E402&gt;=850,1,IF(E402&lt;250,ROUND('Reference Standards'!$S$17*(E402)+'Reference Standards'!$S$18,2),ROUND('Reference Standards'!$T$17*E402+'Reference Standards'!$T$18,2))),  IF(E402&gt;=345,1,IF(E402&lt;=180,ROUND('Reference Standards'!$U$17*(E402)+'Reference Standards'!$U$18,2),ROUND('Reference Standards'!$V$17*E402+'Reference Standards'!$V$18,2))))    )</f>
        <v/>
      </c>
      <c r="G402" s="676" t="str">
        <f>IFERROR(AVERAGE(F402:F403),"")</f>
        <v/>
      </c>
      <c r="H402" s="678" t="str">
        <f>IFERROR(ROUND(AVERAGE(G402:G423),2),"")</f>
        <v/>
      </c>
      <c r="I402" s="680" t="str">
        <f>IF(H402="","",IF(H402&gt;0.69,"Functioning",IF(H402&gt;0.29,"Functioning At Risk",IF(H402&gt;-1,"Not Functioning"))))</f>
        <v/>
      </c>
      <c r="J402" s="684"/>
      <c r="K402" s="680"/>
    </row>
    <row r="403" spans="1:12" ht="15" customHeight="1" x14ac:dyDescent="0.3">
      <c r="A403" s="520"/>
      <c r="B403" s="558"/>
      <c r="C403" s="63" t="s">
        <v>323</v>
      </c>
      <c r="D403" s="245"/>
      <c r="E403" s="53"/>
      <c r="F403" s="341" t="str">
        <f>IF(E403="","",IF(OR(LEFT('Quantification Tool R3'!$B$12,2)="65",LEFT('Quantification Tool R3'!$B$12,2)="66",LEFT('Quantification Tool R3'!$B$12,2)="71"),IF(E403&gt;=30,1,IF(E403&lt;13,ROUND('Reference Standards'!$S$53*(E403)+'Reference Standards'!$S$54,2),ROUND('Reference Standards'!$T$53*E403+'Reference Standards'!$T$54,2))),  IF(E403&gt;=16,1,IF(E403&lt;=9,ROUND('Reference Standards'!$U$53*(E403)+'Reference Standards'!$U$54,2),ROUND('Reference Standards'!$V$53*E403+'Reference Standards'!$V$54,2))))    )</f>
        <v/>
      </c>
      <c r="G403" s="677"/>
      <c r="H403" s="678"/>
      <c r="I403" s="680"/>
      <c r="J403" s="684"/>
      <c r="K403" s="680"/>
    </row>
    <row r="404" spans="1:12" ht="15.6" x14ac:dyDescent="0.3">
      <c r="A404" s="520"/>
      <c r="B404" s="520" t="s">
        <v>395</v>
      </c>
      <c r="C404" s="58" t="s">
        <v>80</v>
      </c>
      <c r="D404" s="58"/>
      <c r="E404" s="165"/>
      <c r="F404" s="340" t="str">
        <f>IF(E404="","",ROUND(IF(E404&gt;0.7,0,IF(E404&lt;=0.1,1,E404^3*'Reference Standards'!S$87+E404^2*'Reference Standards'!S$88+E404*'Reference Standards'!S$89+'Reference Standards'!S$90)),2))</f>
        <v/>
      </c>
      <c r="G404" s="528" t="str">
        <f>IFERROR(ROUND(AVERAGE(F404:F407),2),"")</f>
        <v/>
      </c>
      <c r="H404" s="679"/>
      <c r="I404" s="680"/>
      <c r="J404" s="684"/>
      <c r="K404" s="680"/>
    </row>
    <row r="405" spans="1:12" ht="15.6" x14ac:dyDescent="0.3">
      <c r="A405" s="520"/>
      <c r="B405" s="520"/>
      <c r="C405" s="58" t="s">
        <v>49</v>
      </c>
      <c r="D405" s="58"/>
      <c r="E405" s="165"/>
      <c r="F405" s="84"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529"/>
      <c r="H405" s="679"/>
      <c r="I405" s="680"/>
      <c r="J405" s="684"/>
      <c r="K405" s="680"/>
    </row>
    <row r="406" spans="1:12" ht="15.6" x14ac:dyDescent="0.3">
      <c r="A406" s="520"/>
      <c r="B406" s="520"/>
      <c r="C406" s="58" t="s">
        <v>87</v>
      </c>
      <c r="D406" s="58"/>
      <c r="E406" s="165"/>
      <c r="F406" s="84" t="str">
        <f>IF(E406="","",ROUND(IF(E406&gt;40,0,IF(E406&lt;5,1,E406^3*'Reference Standards'!S$122+E406^2*'Reference Standards'!S$123+E406*'Reference Standards'!S$124+'Reference Standards'!S$125)),2))</f>
        <v/>
      </c>
      <c r="G406" s="529"/>
      <c r="H406" s="679"/>
      <c r="I406" s="680"/>
      <c r="J406" s="684"/>
      <c r="K406" s="680"/>
    </row>
    <row r="407" spans="1:12" ht="15.6" x14ac:dyDescent="0.3">
      <c r="A407" s="520"/>
      <c r="B407" s="521"/>
      <c r="C407" s="59" t="s">
        <v>394</v>
      </c>
      <c r="D407" s="59"/>
      <c r="E407" s="167"/>
      <c r="F407" s="341" t="str">
        <f>IF(E407="","",ROUND(IF(E407&gt;=30,0,IF(E407&lt;=0,1,E407*'Reference Standards'!S$156+'Reference Standards'!S$157)),2))</f>
        <v/>
      </c>
      <c r="G407" s="530"/>
      <c r="H407" s="679"/>
      <c r="I407" s="680"/>
      <c r="J407" s="684"/>
      <c r="K407" s="680"/>
    </row>
    <row r="408" spans="1:12" ht="15.6" x14ac:dyDescent="0.3">
      <c r="A408" s="520"/>
      <c r="B408" s="520" t="s">
        <v>50</v>
      </c>
      <c r="C408" s="60" t="s">
        <v>377</v>
      </c>
      <c r="D408" s="64"/>
      <c r="E408" s="136"/>
      <c r="F408" s="294" t="str">
        <f>IF(E408="","",ROUND(IF(E408&gt;9.2,1,E408*'Reference Standards'!$S$189+'Reference Standards'!$S$190),2))</f>
        <v/>
      </c>
      <c r="G408" s="685" t="str">
        <f>IFERROR(ROUND(AVERAGE(F408:F417),2),"")</f>
        <v/>
      </c>
      <c r="H408" s="679"/>
      <c r="I408" s="680"/>
      <c r="J408" s="684"/>
      <c r="K408" s="680"/>
    </row>
    <row r="409" spans="1:12" ht="15.6" x14ac:dyDescent="0.3">
      <c r="A409" s="520"/>
      <c r="B409" s="520"/>
      <c r="C409" s="62" t="s">
        <v>378</v>
      </c>
      <c r="D409" s="58"/>
      <c r="E409" s="162"/>
      <c r="F409" s="294" t="str">
        <f>IF(E409="","",ROUND(IF(E409&gt;9.2,1,E409*'Reference Standards'!$S$189+'Reference Standards'!$S$190),2))</f>
        <v/>
      </c>
      <c r="G409" s="686"/>
      <c r="H409" s="679"/>
      <c r="I409" s="680"/>
      <c r="J409" s="684"/>
      <c r="K409" s="680"/>
    </row>
    <row r="410" spans="1:12" ht="15.6" x14ac:dyDescent="0.3">
      <c r="A410" s="520"/>
      <c r="B410" s="520"/>
      <c r="C410" s="62" t="s">
        <v>379</v>
      </c>
      <c r="D410" s="58"/>
      <c r="E410" s="162"/>
      <c r="F410" s="294" t="str">
        <f>IF(E410="","",ROUND( IF(E410&gt;=200,1,IF(E410&lt;50, E410^2*'Reference Standards'!S$224+E410*'Reference Standards'!S$225+'Reference Standards'!S$226, E410*'Reference Standards'!T$224+'Reference Standards'!T$225)),2))</f>
        <v/>
      </c>
      <c r="G410" s="686"/>
      <c r="H410" s="679"/>
      <c r="I410" s="680"/>
      <c r="J410" s="684"/>
      <c r="K410" s="680"/>
    </row>
    <row r="411" spans="1:12" ht="15.6" x14ac:dyDescent="0.3">
      <c r="A411" s="520"/>
      <c r="B411" s="520"/>
      <c r="C411" s="62" t="s">
        <v>380</v>
      </c>
      <c r="D411" s="58"/>
      <c r="E411" s="162"/>
      <c r="F411" s="294" t="str">
        <f>IF(E411="","",ROUND( IF(E411&gt;=200,1,IF(E411&lt;50, E411^2*'Reference Standards'!S$224+E411*'Reference Standards'!S$225+'Reference Standards'!S$226, E411*'Reference Standards'!T$224+'Reference Standards'!T$225)),2))</f>
        <v/>
      </c>
      <c r="G411" s="686"/>
      <c r="H411" s="679"/>
      <c r="I411" s="680"/>
      <c r="J411" s="684"/>
      <c r="K411" s="680"/>
    </row>
    <row r="412" spans="1:12" ht="15.6" x14ac:dyDescent="0.3">
      <c r="A412" s="520"/>
      <c r="B412" s="520"/>
      <c r="C412" s="58" t="s">
        <v>381</v>
      </c>
      <c r="D412" s="58"/>
      <c r="E412" s="162"/>
      <c r="F412" s="294" t="str">
        <f>IF(E412="","",ROUND(IF(AND(E412&gt;=135,E412&lt;=262),1,IF(  E412&gt;=366,0.5, IF(E412&lt;135,E412*'Reference Standards'!S$259+'Reference Standards'!S$260, E412*'Reference Standards'!T$259+'Reference Standards'!T$260))),2))</f>
        <v/>
      </c>
      <c r="G412" s="686"/>
      <c r="H412" s="679"/>
      <c r="I412" s="680"/>
      <c r="J412" s="684"/>
      <c r="K412" s="680"/>
      <c r="L412" s="21"/>
    </row>
    <row r="413" spans="1:12" ht="15.6" x14ac:dyDescent="0.3">
      <c r="A413" s="520"/>
      <c r="B413" s="520"/>
      <c r="C413" s="58" t="s">
        <v>382</v>
      </c>
      <c r="D413" s="58"/>
      <c r="E413" s="162"/>
      <c r="F413" s="294" t="str">
        <f>IF(E413="","",ROUND(IF(AND(E413&gt;=135,E413&lt;=262),1,IF(  E413&gt;=366,0.5, IF(E413&lt;135,E413*'Reference Standards'!S$259+'Reference Standards'!S$260, E413*'Reference Standards'!T$259+'Reference Standards'!T$260))),2))</f>
        <v/>
      </c>
      <c r="G413" s="686"/>
      <c r="H413" s="679"/>
      <c r="I413" s="680"/>
      <c r="J413" s="684"/>
      <c r="K413" s="680"/>
      <c r="L413" s="21"/>
    </row>
    <row r="414" spans="1:12" ht="15.6" x14ac:dyDescent="0.3">
      <c r="A414" s="520"/>
      <c r="B414" s="520"/>
      <c r="C414" s="58" t="s">
        <v>383</v>
      </c>
      <c r="D414" s="58"/>
      <c r="E414" s="162"/>
      <c r="F414" s="84" t="str">
        <f>IF(E414="","",ROUND(IF(E414&gt;=75,1,IF(E414&lt;=0,0,E414*'Reference Standards'!S$330)),2))</f>
        <v/>
      </c>
      <c r="G414" s="686"/>
      <c r="H414" s="679"/>
      <c r="I414" s="680"/>
      <c r="J414" s="684"/>
      <c r="K414" s="680"/>
      <c r="L414" s="21"/>
    </row>
    <row r="415" spans="1:12" ht="15.6" x14ac:dyDescent="0.3">
      <c r="A415" s="520"/>
      <c r="B415" s="520"/>
      <c r="C415" s="58" t="s">
        <v>384</v>
      </c>
      <c r="D415" s="58"/>
      <c r="E415" s="162"/>
      <c r="F415" s="84" t="str">
        <f>IF(E415="","",ROUND(IF(E415&gt;=75,1,IF(E415&lt;=0,0,E415*'Reference Standards'!S$330)),2))</f>
        <v/>
      </c>
      <c r="G415" s="686"/>
      <c r="H415" s="679"/>
      <c r="I415" s="680"/>
      <c r="J415" s="684"/>
      <c r="K415" s="680"/>
      <c r="L415" s="21"/>
    </row>
    <row r="416" spans="1:12" ht="15.6" x14ac:dyDescent="0.3">
      <c r="A416" s="520"/>
      <c r="B416" s="520"/>
      <c r="C416" s="58" t="s">
        <v>385</v>
      </c>
      <c r="D416" s="58"/>
      <c r="E416" s="162"/>
      <c r="F416" s="294" t="str">
        <f>IF(E416="","",ROUND(IF(AND(E416&gt;=36.3,E416&lt;=68),1,IF(E416&gt;100,0,IF(E416&lt;36.3,(('Reference Standards'!S$297*(E416^2))+('Reference Standards'!S$298*E416)+'Reference Standards'!S$299),IF(E416&gt;68,(('Reference Standards'!T$297*(E416^2))+('Reference Standards'!T$298*E416)+'Reference Standards'!T$299))))),2))</f>
        <v/>
      </c>
      <c r="G416" s="686"/>
      <c r="H416" s="679"/>
      <c r="I416" s="680"/>
      <c r="J416" s="684"/>
      <c r="K416" s="680"/>
      <c r="L416" s="21"/>
    </row>
    <row r="417" spans="1:12" ht="15.6" x14ac:dyDescent="0.3">
      <c r="A417" s="520"/>
      <c r="B417" s="521"/>
      <c r="C417" s="58" t="s">
        <v>386</v>
      </c>
      <c r="D417" s="65"/>
      <c r="E417" s="162"/>
      <c r="F417" s="294" t="str">
        <f>IF(E417="","",ROUND(IF(AND(E417&gt;=36.3,E417&lt;=68),1,IF(E417&gt;100,0,IF(E417&lt;36.3,(('Reference Standards'!S$297*(E417^2))+('Reference Standards'!S$298*E417)+'Reference Standards'!S$299),IF(E417&gt;68,(('Reference Standards'!T$297*(E417^2))+('Reference Standards'!T$298*E417)+'Reference Standards'!T$299))))),2))</f>
        <v/>
      </c>
      <c r="G417" s="687"/>
      <c r="H417" s="679"/>
      <c r="I417" s="680"/>
      <c r="J417" s="684"/>
      <c r="K417" s="680"/>
      <c r="L417" s="21"/>
    </row>
    <row r="418" spans="1:12" ht="15.6" x14ac:dyDescent="0.3">
      <c r="A418" s="520"/>
      <c r="B418" s="56" t="s">
        <v>108</v>
      </c>
      <c r="C418" s="72" t="s">
        <v>130</v>
      </c>
      <c r="D418" s="58"/>
      <c r="E418" s="43"/>
      <c r="F418" s="82" t="str">
        <f>IF(E418="","",IF(OR('Quantification Tool R3'!B$14="Gravel",'Quantification Tool R3'!B$14="Cobble"),IF(E418&gt;0.1,1,IF(E418&lt;=0.01,0,ROUND(E418*'Reference Standards'!$S$362+'Reference Standards'!$S$363,2)))))</f>
        <v/>
      </c>
      <c r="G418" s="251" t="str">
        <f>IFERROR(AVERAGE(F418),"")</f>
        <v/>
      </c>
      <c r="H418" s="679"/>
      <c r="I418" s="680"/>
      <c r="J418" s="684"/>
      <c r="K418" s="680"/>
      <c r="L418" s="21"/>
    </row>
    <row r="419" spans="1:12" ht="15.6" x14ac:dyDescent="0.3">
      <c r="A419" s="520"/>
      <c r="B419" s="526" t="s">
        <v>51</v>
      </c>
      <c r="C419" s="64" t="s">
        <v>52</v>
      </c>
      <c r="D419" s="64"/>
      <c r="E419" s="166"/>
      <c r="F419" s="337" t="str">
        <f>IF(E419="","",IF(ISNUMBER('Quantification Tool R3'!$B$17),IF('Quantification Tool R3'!$B$17&lt;=2,IF(AND(E419&gt;=3,E419&lt;=5),1,IF(OR(E419&lt;=1,E419&gt;=7),0,ROUND(IF(E419&lt;3,E419*'Reference Standards'!S$398+'Reference Standards'!S$399,E419*'Reference Standards'!T$398+'Reference Standards'!T$399),2))),IF(E419&lt;=2.5,1,IF(E419&gt;=5.8,0,ROUND(E419*'Reference Standards'!S$430+'Reference Standards'!S$431,2))))))</f>
        <v/>
      </c>
      <c r="G419" s="676" t="str">
        <f>IFERROR(AVERAGE(F419:F422),"")</f>
        <v/>
      </c>
      <c r="H419" s="679"/>
      <c r="I419" s="680"/>
      <c r="J419" s="684"/>
      <c r="K419" s="680"/>
      <c r="L419" s="21"/>
    </row>
    <row r="420" spans="1:12" ht="15.6" x14ac:dyDescent="0.3">
      <c r="A420" s="520"/>
      <c r="B420" s="520"/>
      <c r="C420" s="58" t="s">
        <v>53</v>
      </c>
      <c r="D420" s="58"/>
      <c r="E420" s="165"/>
      <c r="F420" s="84" t="str">
        <f>IF(E420="","", IF( E420&gt;=2.4,1, IF(E420&lt;=1,0,  ROUND(IF(E420&lt;2.4, E420*'Reference Standards'!$S$464+'Reference Standards'!$S$465  ),2))))</f>
        <v/>
      </c>
      <c r="G420" s="688"/>
      <c r="H420" s="679"/>
      <c r="I420" s="680"/>
      <c r="J420" s="684"/>
      <c r="K420" s="680"/>
      <c r="L420" s="21"/>
    </row>
    <row r="421" spans="1:12" ht="15.6" x14ac:dyDescent="0.3">
      <c r="A421" s="520"/>
      <c r="B421" s="520"/>
      <c r="C421" s="58" t="s">
        <v>334</v>
      </c>
      <c r="D421" s="58"/>
      <c r="E421" s="165"/>
      <c r="F421" s="390" t="str">
        <f>IF(E421="","", IF(LEFT('Quantification Tool R3'!$B$12,2)="67",  IF( AND(E421&gt;=45,E421&lt;=65),1, IF(OR(E421&lt;=20,E421&gt;=90),0, ROUND(  IF(E421&lt;45, E421*'Reference Standards'!$S$498+'Reference Standards'!$S$499,E421*'Reference Standards'!$T$498+'Reference Standards'!$T$499),2))), IF(OR(  LEFT('Quantification Tool R3'!$B$12,2)="68", LEFT('Quantification Tool R3'!$B$12,2)="69",LEFT('Quantification Tool R3'!$B$12,2)="71"),  IF( AND(E421&gt;=30,E421&lt;=50),1, IF(OR(E421&lt;=10,E421&gt;=70),0, ROUND(  IF(E421&lt;30, E421*'Reference Standards'!$S$533+'Reference Standards'!$S$534,E421*'Reference Standards'!$T$533+'Reference Standards'!$T$534),2))), IF(LEFT('Quantification Tool R3'!$B$12,2)="66",  IF( AND(E421&gt;=20,E421&lt;=45),1, IF(OR(E421&lt;=0,E421&gt;=90),0, ROUND(  IF(E421&lt;20, E421*'Reference Standards'!$S$567+'Reference Standards'!$S$568,E421*'Reference Standards'!$T$567+'Reference Standards'!$T$568),2))), IF(OR(  LEFT('Quantification Tool R3'!$B$12,2)="65", LEFT('Quantification Tool R3'!$B$12,2)="74", LEFT('Quantification Tool R3'!$B$12,2)="73"),  IF( AND(E421&gt;=20,E421&lt;=30),1, IF(OR(E421&lt;=0,E421&gt;=50),0, ROUND(  IF(E421&lt;20, E421*'Reference Standards'!$S$601+'Reference Standards'!$S$602,E421*'Reference Standards'!$T$601+'Reference Standards'!$T$602),2))))))))</f>
        <v/>
      </c>
      <c r="G421" s="688"/>
      <c r="H421" s="679"/>
      <c r="I421" s="680"/>
      <c r="J421" s="684"/>
      <c r="K421" s="680"/>
      <c r="L421" s="21"/>
    </row>
    <row r="422" spans="1:12" ht="15.6" x14ac:dyDescent="0.3">
      <c r="A422" s="520"/>
      <c r="B422" s="521"/>
      <c r="C422" s="62" t="s">
        <v>210</v>
      </c>
      <c r="D422" s="58"/>
      <c r="E422" s="167"/>
      <c r="F422" s="391" t="str">
        <f>IF(E422="","",IF(E422&gt;=1.6,0,IF(E422&lt;=1,1,ROUND('Reference Standards'!$S$633*E422^3+'Reference Standards'!$S$634*E422^2+'Reference Standards'!$S$635*E422+'Reference Standards'!$S$636,2))))</f>
        <v/>
      </c>
      <c r="G422" s="677"/>
      <c r="H422" s="679"/>
      <c r="I422" s="680"/>
      <c r="J422" s="684"/>
      <c r="K422" s="680"/>
      <c r="L422" s="21"/>
    </row>
    <row r="423" spans="1:12" ht="15.6" x14ac:dyDescent="0.3">
      <c r="A423" s="521"/>
      <c r="B423" s="296" t="s">
        <v>55</v>
      </c>
      <c r="C423" s="242" t="s">
        <v>54</v>
      </c>
      <c r="D423" s="243"/>
      <c r="E423" s="163"/>
      <c r="F423" s="342" t="str">
        <f>IF(E423="","",IF(AND('Quantification Tool R3'!B$11="E",'Quantification Tool R3'!$B$14="Sand",'Quantification Tool R3'!$B$21="Unconfined Alluvial"),ROUND(IF(OR(E423&gt;1.8,E423&lt;1.3),0,IF(E423&lt;=1.6,1,E423*'Reference Standards'!S$667+'Reference Standards'!S$668)),2),    IF('Quantification Tool R3'!$B$21="Unconfined Alluvial",ROUND(IF(OR(E423&lt;1.2, E423&gt;1.5),0,IF(E423&lt;=1.4,1,E423*'Reference Standards'!$S$700+'Reference Standards'!$S$701)),2), IF('Quantification Tool R3'!$B$21="Confined Alluvial",ROUND(IF(E423&lt;1.15,0,IF(E423&lt;=1.4,E423*'Reference Standards'!$S$729+'Reference Standards'!$S$730,1)),2),  IF('Quantification Tool R3'!$B$21="Colluvial",ROUND(IF(E423&gt;1.3,0,IF(E423&gt;1.2,E423*'Reference Standards'!$S$760+'Reference Standards'!$S$761,1)),2) )))))</f>
        <v/>
      </c>
      <c r="G423" s="252" t="str">
        <f>IFERROR(AVERAGE(F423),"")</f>
        <v/>
      </c>
      <c r="H423" s="679"/>
      <c r="I423" s="680"/>
      <c r="J423" s="684"/>
      <c r="K423" s="680"/>
      <c r="L423" s="21"/>
    </row>
    <row r="424" spans="1:12" ht="15.6" x14ac:dyDescent="0.3">
      <c r="A424" s="537" t="s">
        <v>58</v>
      </c>
      <c r="B424" s="67" t="s">
        <v>88</v>
      </c>
      <c r="C424" s="70" t="s">
        <v>338</v>
      </c>
      <c r="D424" s="70"/>
      <c r="E424" s="43"/>
      <c r="F424" s="343" t="str">
        <f>IF(E424="","",ROUND(IF(E424&gt;=942,0,IF(E424&lt;=487,E424*'Reference Standards'!AB$15+'Reference Standards'!AB$16,E424*'Reference Standards'!$AC$15+'Reference Standards'!$AC$16)),2))</f>
        <v/>
      </c>
      <c r="G424" s="253" t="str">
        <f>IFERROR(AVERAGE(F424),"")</f>
        <v/>
      </c>
      <c r="H424" s="692" t="str">
        <f>IFERROR(ROUND(AVERAGE(G424:G427),2),"")</f>
        <v/>
      </c>
      <c r="I424" s="695" t="str">
        <f>IF(H424="","",IF(H424&gt;0.69,"Functioning",IF(H424&gt;0.29,"Functioning At Risk",IF(H424&gt;-1,"Not Functioning"))))</f>
        <v/>
      </c>
      <c r="J424" s="684"/>
      <c r="K424" s="680"/>
      <c r="L424" s="21"/>
    </row>
    <row r="425" spans="1:12" ht="15.75" customHeight="1" x14ac:dyDescent="0.3">
      <c r="A425" s="538"/>
      <c r="B425" s="297" t="s">
        <v>362</v>
      </c>
      <c r="C425" s="66" t="s">
        <v>354</v>
      </c>
      <c r="D425" s="66"/>
      <c r="E425" s="163"/>
      <c r="F425" s="344" t="str">
        <f>IF(E425="","",IF(OR('Quantification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June")),IF(E425&gt;93,0,IF(E425&lt;13,1,ROUND('Reference Standards'!$AB$53*E425^2+'Reference Standards'!$AB$54*E425+'Reference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R3'!$B$12="73b"),IF(E425&gt;94,0,IF(E425&lt;17,1,ROUND('Reference Standards'!$AC$53*E425^2+'Reference Standards'!$AC$54*E425+'Reference Standards'!$AC$55,2))),    IF(OR(AND(OR('Quantification Tool R3'!$B$12="68b",'Quantification Tool R3'!$B$12="71i"),'Quantification Tool R3'!$B$13&gt;2), 'Quantification Tool R3'!$B$12="71e"),IF(E425&gt;91,0,IF(E425&lt;24,1,ROUND('Reference Standards'!$AD$53*E425^2+'Reference Standards'!$AD$54*E425+'Reference Standards'!$AD$55,2))),  IF(OR(AND(OR('Quantification Tool R3'!$B$12="71f",'Quantification Tool R3'!$B$12="71g",'Quantification Tool R3'!$B$12="71h",'Quantification Tool R3'!$B$12="71i"),'Quantification Tool R3'!$B$13&lt;=2), AND('Quantification Tool R3'!$B$12="74a",'Quantification Tool R3'!$B$13&gt;2)),IF(E425&gt;95,0,IF(E425&lt;=36,1,ROUND('Reference Standards'!$AE$53*E425^2+'Reference Standards'!$AE$54*E425+'Reference Standards'!$AE$55,2))))))))</f>
        <v/>
      </c>
      <c r="G425" s="254" t="str">
        <f>IFERROR(AVERAGE(F425:F425),"")</f>
        <v/>
      </c>
      <c r="H425" s="693"/>
      <c r="I425" s="696"/>
      <c r="J425" s="684"/>
      <c r="K425" s="680"/>
    </row>
    <row r="426" spans="1:12" ht="15.75" customHeight="1" x14ac:dyDescent="0.3">
      <c r="A426" s="538"/>
      <c r="B426" s="67" t="s">
        <v>81</v>
      </c>
      <c r="C426" s="68" t="s">
        <v>281</v>
      </c>
      <c r="D426" s="68"/>
      <c r="E426" s="162"/>
      <c r="F426" s="344" t="str">
        <f>IF(E426="","",IF(ISNUMBER('Quantification Tool R3'!$B$13),IF(OR('Quantification Tool R3'!$B$12="66e",'Quantification Tool R3'!$B$12="66f",'Quantification Tool R3'!$B$12="66g"),ROUND(IF(E426&gt;=0.61,0,IF(E426&lt;=0.01,1,IF(E426&lt;=0.06,E426*'Reference Standards'!$AD$197+'Reference Standards'!$AD$198,E426^2*'Reference Standards'!$AB$196+E426*'Reference Standards'!$AB$197+'Reference Standards'!$AB$198))),2),IF('Quantification Tool R3'!$B$12="68b",ROUND(IF(E426&gt;=1.1,0,IF(E426&lt;=0.17,1,IF(E426&lt;=0.22,E426*'Reference Standards'!$AE$197+'Reference Standards'!$AE$198,E426^2*'Reference Standards'!$AC$196+E426*'Reference Standards'!$AC$197+'Reference Standards'!$AC$198))),2),IF('Quantification Tool R3'!$B$13&lt;=2.5,IF('Quantification Tool R3'!$B$12="69de",ROUND(IF(E426&gt;=0.22,0,IF(E426&lt;=0.01,1,E426^2*'Reference Standards'!$AB$90+E426*'Reference Standards'!$AB$91+'Reference Standards'!$AB$92)),2),IF('Quantification Tool R3'!$B$12="68c",ROUND(IF(E426&gt;=0.87,0,IF(E426&lt;=0.01,1,E426^2*'Reference Standards'!$AC$90+E426*'Reference Standards'!$AC$91+'Reference Standards'!$AC$92)),2),IF('Quantification Tool R3'!$B$12="68a",ROUND(IF(E426&gt;=0.81,0,IF(E426&lt;=0.01,1,E426^2*'Reference Standards'!$AD$90+E426*'Reference Standards'!$AD$91+'Reference Standards'!$AD$92)),2),IF('Quantification Tool R3'!$B$12="65abei",ROUND(IF(E426&gt;=0.67,0,IF(E426&lt;=0.01,1,IF(E426&lt;=0.18,E426*'Reference Standards'!$AG$91+'Reference Standards'!$AG$92,E426*'Reference Standards'!$AE$91+'Reference Standards'!$AE$92))),2),IF('Quantification Tool R3'!$B$12="65j",ROUND(IF(E426&gt;=0.32,0,IF(E426&lt;=0.01,1,IF(E426&lt;=0.25,E426*'Reference Standards'!$AH$91+'Reference Standards'!$AH$92,E426*'Reference Standards'!$AF$91+'Reference Standards'!$AF$92))),2),IF('Quantification Tool R3'!$B$12="71f",ROUND(IF(E426&gt;=3,0,IF(E426&lt;=0,1,IF(E426&lt;=0.01,0.7,E426^2*'Reference Standards'!$AB$126+E426*'Reference Standards'!$AB$127+'Reference Standards'!$AB$128))),2),IF('Quantification Tool R3'!$B$12="74a",ROUND(IF(E426&gt;=0.14,0,IF(E426&lt;=0.01,1,IF(E426&lt;=0.02,0.7,E426^2*'Reference Standards'!$AC$126+E426*'Reference Standards'!$AC$127+'Reference Standards'!$AC$128))),2),IF(OR('Quantification Tool R3'!$B$12="67fhi",'Quantification Tool R3'!$B$12="67g"),ROUND(IF(E426&gt;=1.9,0,IF(E426&lt;=0.01,1,IF(E426&lt;=0.05,E426*'Reference Standards'!$AF$127+'Reference Standards'!$AF$128,E426^2*'Reference Standards'!$AD$126+E426*'Reference Standards'!$AD$127+'Reference Standards'!$AD$128))),2),IF('Quantification Tool R3'!$B$12="73a",ROUND(IF(E426&gt;=1.44,0,IF(E426&lt;=0.01,1,IF(E426&lt;=0.12,E426*'Reference Standards'!$AG$127+'Reference Standards'!$AG$128,E426^2*'Reference Standards'!$AE$126+E426*'Reference Standards'!$AE$127+'Reference Standards'!$AE$128))),2),IF('Quantification Tool R3'!$B$12="66d",ROUND(IF(E426&gt;=0.46,0,IF(E426&lt;=0.02,1,IF(E426&lt;=0.08,E426*'Reference Standards'!$AF$163+'Reference Standards'!$AF$164,E426^2*'Reference Standards'!$AB$162+E426*'Reference Standards'!$AB$163+'Reference Standards'!$AB$164))),2),IF(OR('Quantification Tool R3'!$B$12="71g",'Quantification Tool R3'!$B$12="71h",'Quantification Tool R3'!$B$12="71i"),ROUND(IF(E426&gt;=3,0,IF(E426&lt;=0.06,1,IF(E426&lt;=0.24,E426*'Reference Standards'!$AG$163+'Reference Standards'!$AG$164,E426^2*'Reference Standards'!$AC$162+E426*'Reference Standards'!$AC$163+'Reference Standards'!$AC$164))),2),IF('Quantification Tool R3'!$B$12="74b",ROUND(IF(E426&gt;=1.3,0,IF(E426&lt;=0.29,1,IF(E426&lt;=0.48,E426*'Reference Standards'!$AH$163+'Reference Standards'!$AH$164,E426^2*'Reference Standards'!$AD$162+E426*'Reference Standards'!$AD$163+'Reference Standards'!$AD$164))),2),IF('Quantification Tool R3'!$B$12="71e",ROUND(IF(E426&gt;=4.3,0,IF(E426&lt;=0.53,1,IF(E426&lt;=0.67,E426*'Reference Standards'!$AI$163+'Reference Standards'!$AI$164,E426^2*'Reference Standards'!$AE$162+E426*'Reference Standards'!$AE$163+'Reference Standards'!$AE$164))),2)))))))))))))),IF('Quantification Tool R3'!$B$13&gt;2.5,IF('Quantification Tool R3'!$B$12="73a",ROUND(IF(E426&gt;=0.55,0,IF(E426&lt;=0,1,E426^2*'Reference Standards'!$AB$232+E426*'Reference Standards'!$AB$233+'Reference Standards'!$AB$234)),2),IF('Quantification Tool R3'!$B$12="68a",ROUND(IF(E426&gt;=0.54,0,IF(E426&lt;=0,1,IF(E426&lt;=0.01,0.85,E426^2*'Reference Standards'!$AC$232+E426*'Reference Standards'!$AC$233+'Reference Standards'!$AC$234))),2),IF('Quantification Tool R3'!$B$12="74a",ROUND(IF(E426&gt;=0.47,0,IF(E426&lt;=0.01,1,IF(E426&lt;=0.02,0.7,E426^2*'Reference Standards'!$AD$232+E426*'Reference Standards'!$AD$233+'Reference Standards'!$AD$234))),2),IF('Quantification Tool R3'!$B$12="69de",ROUND(IF(E426&gt;=0.26,0,IF(E426&lt;=0.01,1,IF(E426&lt;=0.02,0.85,E426^2*'Reference Standards'!$AE$232+E426*'Reference Standards'!$AE$233+'Reference Standards'!$AE$234))),2),IF('Quantification Tool R3'!$B$12="71f",ROUND(IF(E426&gt;=0.87,0,IF(E426&lt;=0.01,1,IF(E426&lt;=0.04,E426*'Reference Standards'!$AF$269+'Reference Standards'!$AF$270,E426^2*'Reference Standards'!$AB$268+E426*'Reference Standards'!$AB$269+'Reference Standards'!$AB$270))),2),IF('Quantification Tool R3'!$B$12="65abei",ROUND(IF(E426&gt;=0.82,0,IF(E426&lt;=0.01,1,IF(E426&lt;=0.06,E426*'Reference Standards'!$AG$269+'Reference Standards'!$AG$270,E426^2*'Reference Standards'!$AC$268+E426*'Reference Standards'!$AC$269+'Reference Standards'!$AC$270))),2),IF('Quantification Tool R3'!$B$12="65j",ROUND(IF(E426&gt;=0.33,0,IF(E426&lt;=0.03,1,IF(E426&lt;=0.09,E426*'Reference Standards'!$AH$269+'Reference Standards'!$AH$270,E426^2*'Reference Standards'!$AD$268+E426*'Reference Standards'!$AD$269+'Reference Standards'!$AD$270))),2),IF('Quantification Tool R3'!$B$12="68c",ROUND(IF(E426&gt;=0.7,0,IF(E426&lt;=0.07,1,IF(E426&lt;=0.12,E426*'Reference Standards'!$AI$269+'Reference Standards'!$AI$270,E426^2*'Reference Standards'!$AE$268+E426*'Reference Standards'!$AE$269+'Reference Standards'!$AE$270))),2),IF(OR('Quantification Tool R3'!$B$12="67fhi",'Quantification Tool R3'!$B$12="67g"),ROUND(IF(E426&gt;=1.8,0,IF(E426&lt;=0.08,1,IF(E426&lt;=0.2,E426*'Reference Standards'!$AF$306+'Reference Standards'!$AF$307,E426^2*'Reference Standards'!$AB$305+E426*'Reference Standards'!$AB$306+'Reference Standards'!$AB$307))),2),IF('Quantification Tool R3'!$B$12="74b",ROUND(IF(E426&gt;=0.96,0,IF(E426&lt;=0.12,1,IF(E426&lt;=0.16,E426*'Reference Standards'!$AG$306+'Reference Standards'!$AG$307,E426^2*'Reference Standards'!$AC$305+E426*'Reference Standards'!$AC$306+'Reference Standards'!$AC$307))),2),IF('Quantification Tool R3'!$B$12="66d",ROUND(IF(E426&gt;=0.75,0,IF(E426&lt;=0.13,1,IF(E426&lt;=0.2,E426*'Reference Standards'!$AH$306+'Reference Standards'!$AH$307,E426^2*'Reference Standards'!$AD$305+E426*'Reference Standards'!$AD$306+'Reference Standards'!$AD$307))),2),IF(OR('Quantification Tool R3'!$B$12="71g",'Quantification Tool R3'!$B$12="71h",'Quantification Tool R3'!$B$12="71i"),ROUND(IF(E426&gt;=1.68,0,IF(E426&lt;=0.08,1,IF(E426&lt;=0.23,E426*'Reference Standards'!$AI$306+'Reference Standards'!$AI$307,E426^2*'Reference Standards'!$AE$305+E426*'Reference Standards'!$AE$306+'Reference Standards'!$AE$307))),2),IF('Quantification Tool R3'!$B$12="71e",ROUND(IF(E426&gt;=5.3,0,IF(E426&lt;=0.94,1,IF(E426&lt;=1.4,E426*'Reference Standards'!$AF$310+'Reference Standards'!$AF$311,E426^2*'Reference Standards'!$AB$309+E426*'Reference Standards'!$AB$310+'Reference Standards'!$AB$311))),2))))))))))))))))))))</f>
        <v/>
      </c>
      <c r="G426" s="255" t="str">
        <f>IFERROR(AVERAGE(F426),"")</f>
        <v/>
      </c>
      <c r="H426" s="693"/>
      <c r="I426" s="696"/>
      <c r="J426" s="684"/>
      <c r="K426" s="680"/>
    </row>
    <row r="427" spans="1:12" ht="15.75" customHeight="1" x14ac:dyDescent="0.3">
      <c r="A427" s="539"/>
      <c r="B427" s="298" t="s">
        <v>82</v>
      </c>
      <c r="C427" s="66" t="s">
        <v>280</v>
      </c>
      <c r="D427" s="66"/>
      <c r="E427" s="136"/>
      <c r="F427" s="343" t="str">
        <f>IF(E427="","",IF(ISNUMBER('Quantification Tool R3'!$B$13),IF('Quantification Tool R3'!$B$13&gt;2.5,IF(OR('Quantification Tool R3'!$B$12="71h",'Quantification Tool R3'!$B$12="71i",'Quantification Tool R3'!$B$12="73a",'Quantification Tool R3'!$B$12="74a"),IF(E427&lt;=0.01,1,IF(OR('Quantification Tool R3'!$B$12="71h",'Quantification Tool R3'!$B$12="71i"),IF(E427&gt;0.37,0,ROUND(IF(E427&gt;0.03,'Reference Standards'!$AB$425*E427^2+'Reference Standards'!$AB$426*E427+'Reference Standards'!$AB$427,'Reference Standards'!$AF$426*E427+'Reference Standards'!$AF$427),2)),IF('Quantification Tool R3'!$B$12="73a",IF(E427&gt;0.405,0,ROUND(IF(E427&gt;0.046,'Reference Standards'!$AC$425*E427^2+'Reference Standards'!$AC$426*E427+'Reference Standards'!$AC$427,'Reference Standards'!$AG$426*E427+'Reference Standards'!$AG$427),2)),IF('Quantification Tool R3'!$B$12="74a",IF(E427&gt;0.3,0,ROUND(IF(E427&gt;0.052,'Reference Standards'!$AD$425*E427^2+'Reference Standards'!$AD$426*E427+'Reference Standards'!$AD$427,'Reference Standards'!$AH$426*E427+'Reference Standards'!$AH$427),2)))))),IF(E427&lt;=0.002,1,IF(OR('Quantification Tool R3'!$B$12="66d",'Quantification Tool R3'!$B$12="66e",'Quantification Tool R3'!$B$12="66g"),IF(E427&gt;0.053,0,ROUND(E427^2*'Reference Standards'!$AB$347+E427*'Reference Standards'!$AB$348+'Reference Standards'!$AB$349,2)),IF('Quantification Tool R3'!$B$12="68b",IF(E427&gt;0.05,0,ROUND(E427^2*'Reference Standards'!$AC$347+E427*'Reference Standards'!$AC$348+'Reference Standards'!$AC$349,2)),IF(OR('Quantification Tool R3'!$B$12="68a",'Quantification Tool R3'!$B$12="68c"),IF(E427&gt;0.07,0,ROUND(E427^2*'Reference Standards'!$AD$347+E427*'Reference Standards'!$AD$348+'Reference Standards'!$AD$349,2)),IF(OR('Quantification Tool R3'!$B$12="71f",'Quantification Tool R3'!$B$12="71g"),IF(E427&gt;0.13,0,ROUND(IF(E427&gt;0.042,E427*'Reference Standards'!$AE$348+'Reference Standards'!$AE$349,E427*'Reference Standards'!$AF$348+'Reference Standards'!$AF$349),2)),IF('Quantification Tool R3'!$B$12="67fhi",IF(E427&gt;0.16,0,ROUND(E427^2*'Reference Standards'!$AG$347+E427*'Reference Standards'!$AG$348+'Reference Standards'!$AG$349,2)),IF('Quantification Tool R3'!$B$12="65j",IF(E427&gt;0.035,0,ROUND(IF(E427&lt;=0.003,0.7,E427^2*'Reference Standards'!$AB$387+E427*'Reference Standards'!$AB$388+'Reference Standards'!$AB$389),2)),IF('Quantification Tool R3'!$B$12="69de",IF(E427&gt;0.037,0,ROUND(IF(E427&lt;=0.003,0.7,E427^2*'Reference Standards'!$AC$387+E427*'Reference Standards'!$AC$388+'Reference Standards'!$AC$389),2)),IF('Quantification Tool R3'!$B$12="71e",IF(E427&gt;0.23,0,ROUND(IF(E427&lt;=0.003,0.7,E427^2*'Reference Standards'!$AD$387+E427*'Reference Standards'!$AD$388+'Reference Standards'!$AD$389),2)),IF('Quantification Tool R3'!$B$12="66f",IF(E427&gt;0.06,0,ROUND(IF(E427&lt;=0.003,0.85,IF(E427&lt;=0.004,0.7,E427^2*'Reference Standards'!$AE$387+E427*'Reference Standards'!$AE$388+'Reference Standards'!$AE$389)),2)),IF('Quantification Tool R3'!$B$12="67g",IF(E427&gt;0.11,0,ROUND(IF(E427&lt;=0.01,E427*'Reference Standards'!$AH$388+'Reference Standards'!$AH$389,E427^2*'Reference Standards'!$AF$387+E427*'Reference Standards'!$AF$388+'Reference Standards'!$AF$389),2)),IF('Quantification Tool R3'!$B$12="74b",IF(E427&gt;0.49,0,ROUND(IF(E427&lt;=0.01,E427*'Reference Standards'!$AH$388+'Reference Standards'!$AH$389,E427^2*'Reference Standards'!$AG$387+E427*'Reference Standards'!$AG$388+'Reference Standards'!$AG$389),2)),IF('Quantification Tool R3'!$B$12="65abei",IF(E427&gt;0.199,0,ROUND(IF(E427&lt;=0.01,E427*'Reference Standards'!$AI$426+'Reference Standards'!$AI$427,E427^2*'Reference Standards'!$AE$425+E427*'Reference Standards'!$AE$426+'Reference Standards'!$AE$427),2)))))))))))))))),IF('Quantification Tool R3'!$B$13&lt;=2.5,IF(OR('Quantification Tool R3'!$B$12="66d",'Quantification Tool R3'!$B$12="66e",'Quantification Tool R3'!$B$12="66g"),IF(E427&gt;0.05,0,ROUND(IF(E427&lt;=0.002,1,IF(E427&lt;=0.005,E427*'Reference Standards'!$AF$464+'Reference Standards'!$AF$465,E427^2*'Reference Standards'!$AB$463+E427*'Reference Standards'!$AB$464+'Reference Standards'!$AB$465)),2)),IF('Quantification Tool R3'!$B$12="67fhi",IF(E427&gt;0.1,0,ROUND(IF(E427&lt;=0.002,1,IF(E427&lt;=0.006,E427*'Reference Standards'!$AG$464+'Reference Standards'!$AG$465,E427^2*'Reference Standards'!$AC$463+E427*'Reference Standards'!$AC$464+'Reference Standards'!$AC$465)),2)),IF('Quantification Tool R3'!$B$12="65abei",IF(E427&gt;0.13,0,ROUND(IF(E427&lt;=0.003,1,IF(E427&lt;=0.008,E427*'Reference Standards'!$AH$464+'Reference Standards'!$AH$465,E427^2*'Reference Standards'!$AD$463+E427*'Reference Standards'!$AD$464+'Reference Standards'!$AD$465)),2)),IF('Quantification Tool R3'!$B$12="68b",IF(E427&gt;0.043,0,ROUND(IF(E427&lt;=0.004,1,IF(E427&lt;=0.005,0.7,E427^2*'Reference Standards'!$AE$463+E427*'Reference Standards'!$AE$464+'Reference Standards'!$AE$465)),2)),IF('Quantification Tool R3'!$B$12="69de",IF(E427&gt;=0.034,0,ROUND(IF(E427&lt;=0.003,1,IF(E427&lt;=0.006,E427*'Reference Standards'!$AG$500+'Reference Standards'!$AG$501,E427*'Reference Standards'!$AB$500+'Reference Standards'!$AB$501)),2)),IF(OR('Quantification Tool R3'!$B$12="68a",'Quantification Tool R3'!$B$12="68c"),IF(E427&gt;0.202,0,ROUND(IF(E427&lt;=0.003,1,IF(E427&lt;=0.006,E427*'Reference Standards'!$AG$500+'Reference Standards'!$AG$501,IF(E427&gt;=0.04,E427*'Reference Standards'!$AC$500+'Reference Standards'!$AC$501,E427*'Reference Standards'!$AE$500+'Reference Standards'!$AE$501))),2)),IF(OR('Quantification Tool R3'!$B$12="71f",'Quantification Tool R3'!$B$12="71g"),IF(E427&gt;0.631,0,ROUND(IF(E427&lt;=0.003,1,IF(E427&lt;=0.006,E427*'Reference Standards'!$AG$500+'Reference Standards'!$AG$501,IF(E427&gt;=0.17,E427*'Reference Standards'!$AD$500+'Reference Standards'!$AD$501,E427*'Reference Standards'!$AF$500+'Reference Standards'!$AF$501))),2)),IF('Quantification Tool R3'!$B$12="71e",IF(E427&gt;1.23,0,ROUND(IF(E427&lt;=0.004,1,IF(E427&lt;=0.006,E427*'Reference Standards'!$AF$538+'Reference Standards'!$AF$539,E427^2*'Reference Standards'!$AB$537+E427*'Reference Standards'!$AB$538+'Reference Standards'!$AB$539)),2)),IF('Quantification Tool R3'!$B$12="67g",IF(E427&gt;0.11,0,ROUND(IF(E427&lt;=0.006,1,IF(E427&lt;=0.011,E427*'Reference Standards'!$AG$538+'Reference Standards'!$AG$539,E427^2*'Reference Standards'!$AC$537+E427*'Reference Standards'!$AC$538+'Reference Standards'!$AC$539)),2)),IF('Quantification Tool R3'!$B$12="65j",IF(E427&gt;0.046,0,ROUND(IF(E427&lt;=0.007,1,IF(E427&lt;=0.012,E427*'Reference Standards'!$AH$538+'Reference Standards'!$AH$539,E427^2*'Reference Standards'!$AD$537+E427*'Reference Standards'!$AD$538+'Reference Standards'!$AD$539)),2)),IF('Quantification Tool R3'!$B$12="66f",IF(E427&gt;0.081,0,ROUND(IF(E427&lt;=0.008,1,IF(E427&lt;=0.011,E427*'Reference Standards'!$AI$538+'Reference Standards'!$AI$539,E427^2*'Reference Standards'!$AE$537+E427*'Reference Standards'!$AE$538+'Reference Standards'!$AE$539)),2)),IF(OR('Quantification Tool R3'!$B$12="71h",'Quantification Tool R3'!$B$12="71i"),IF(E427&gt;0.37,0,ROUND(IF(E427&lt;=0.013,1,IF(E427&lt;=0.032,E427*'Reference Standards'!$AH$576+'Reference Standards'!$AH$577,IF(E427&lt;=0.3,E427*'Reference Standards'!$AF$576+'Reference Standards'!$AF$577,E427*'Reference Standards'!$AB$576+'Reference Standards'!$AB$577))),2)),IF('Quantification Tool R3'!$B$12="73a",IF(E427&gt;0.448,0,ROUND(IF(E427&lt;=0.071,1,IF(E427&lt;=0.086,E427*'Reference Standards'!$AJ$576+'Reference Standards'!$AJ$577,IF(E427&lt;=0.165,E427*'Reference Standards'!$AG$576+'Reference Standards'!$AG$577,E427*'Reference Standards'!$AE$576+'Reference Standards'!$AE$577))),2)),IF('Quantification Tool R3'!$B$12="74b",IF(E427&gt;0.43,0,ROUND(IF(E427&lt;=0.018,1,IF(E427&lt;=0.019,0.85,IF(E427&lt;=0.02,0.7,E427^2*'Reference Standards'!$AC$575+E427*'Reference Standards'!$AC$576+'Reference Standards'!$AC$577))),2)),IF('Quantification Tool R3'!$B$12="74a",IF(E427&gt;0.217,0,ROUND(IF(E427&lt;=0.02,1,IF(E427&lt;=0.033,E427*'Reference Standards'!$AI$576+'Reference Standards'!$AI$577,E427^2*'Reference Standards'!$AD$575+E427*'Reference Standards'!$AD$576+'Reference Standards'!$AD$577)),2)))))))))))))))))))))</f>
        <v/>
      </c>
      <c r="G427" s="256" t="str">
        <f>IFERROR(AVERAGE(F427),"")</f>
        <v/>
      </c>
      <c r="H427" s="694"/>
      <c r="I427" s="697"/>
      <c r="J427" s="684"/>
      <c r="K427" s="680"/>
    </row>
    <row r="428" spans="1:12" ht="15.6" x14ac:dyDescent="0.3">
      <c r="A428" s="550" t="s">
        <v>59</v>
      </c>
      <c r="B428" s="560" t="s">
        <v>340</v>
      </c>
      <c r="C428" s="125" t="s">
        <v>331</v>
      </c>
      <c r="D428" s="126"/>
      <c r="E428" s="166"/>
      <c r="F428" s="345" t="str">
        <f>IF(E428="","",IF(OR('Quantification Tool R3'!B$12="73a",'Quantification Tool R3'!B$12="73b"),IF(E428&lt;1,0,IF(E428&gt;=30,1,ROUND(IF(E428&lt;22,'Reference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698" t="str">
        <f>IFERROR(AVERAGE(F428:F431),"")</f>
        <v/>
      </c>
      <c r="H428" s="699" t="str">
        <f>IFERROR(ROUND(AVERAGE(G428:G433),2),"")</f>
        <v/>
      </c>
      <c r="I428" s="683" t="str">
        <f>IF(H428="","",IF(H428&gt;0.69,"Functioning",IF(H428&gt;0.29,"Functioning At Risk",IF(H428&gt;-1,"Not Functioning"))))</f>
        <v/>
      </c>
      <c r="J428" s="684"/>
      <c r="K428" s="680"/>
    </row>
    <row r="429" spans="1:12" ht="15.6" x14ac:dyDescent="0.3">
      <c r="A429" s="556"/>
      <c r="B429" s="561"/>
      <c r="C429" s="174" t="s">
        <v>335</v>
      </c>
      <c r="D429" s="175"/>
      <c r="E429" s="165"/>
      <c r="F429" s="346" t="str">
        <f>IF(E429="","",IF(AND('Quantification Tool R3'!$B$12="74b",'Quantification Tool R3'!$B$13&lt;=2),IF(E429&lt;0,0,IF(E429&gt;15.6,0.69,ROUND('Reference Standards'!$AL$54*E429^2+'Reference Standards'!$AL$55*E429+'Reference Standards'!$AL$56,2))),IF(AND('Quantification Tool R3'!$B$12="65abei",'Quantification Tool R3'!$B$13&lt;=2),IF(E429&lt;0,0,IF(E429&gt;=20,0.69,ROUND('Reference Standards'!$AM$54*E429^2+'Reference Standards'!$AM$55*E429+'Reference Standards'!$AM$56,2))),IF(OR(AND('Quantification Tool R3'!$B$12="74a",'Quantification Tool R3'!$B$13&gt;2,'Quantification Tool R3'!$B$19="January - June"),AND('Quantification Tool R3'!$B$12="71i",'Quantification Tool R3'!$B$13&gt;2,'Quantification Tool R3'!$B$20="SQBANK")),IF(E429&lt;0,0,IF(E429&gt;24.7,0.69,ROUND('Reference Standards'!$AN$54*E429^2+'Reference Standards'!$AN$55*E429+'Reference Standards'!$AN$56,2))),IF(OR('Quantification Tool R3'!$B$12="74b",'Quantification Tool R3'!$B$12="65abei"),IF(E429&lt;0,0,IF(E429&gt;32.7,0.69,ROUND('Reference Standards'!$AO$54*E429^2+'Reference Standards'!$AO$55*E429+'Reference Standards'!$AO$56,2))),IF(AND('Quantification Tool R3'!$B$12="68b",'Quantification Tool R3'!$B$13&gt;2),IF(E429&lt;0,0,IF(E429&gt;41.2,0.69,ROUND('Reference Standards'!$AP$54*E429^2+'Reference Standards'!$AP$55*E429+'Reference Standards'!$AP$56,2))),IF(OR(AND('Quantification Tool R3'!$B$12="71i",'Quantification Tool R3'!$B$13&lt;=2),AND(OR('Quantification Tool R3'!$B$12="68c",'Quantification Tool R3'!$B$12="68d"),'Quantification Tool R3'!$B$19="January - June")),IF(E429&lt;0,0,IF(E429&gt;49.2,0.69,ROUND('Reference Standards'!$AL$94*E429^2+'Reference Standards'!$AL$95*E429+'Reference Standards'!$AL$96,2))),IF(OR(AND('Quantification Tool R3'!$B$12="68a",'Quantification Tool R3'!$B$19="January - June"),AND(OR('Quantification Tool R3'!$B$12="68c",'Quantification Tool R3'!$B$12="68d"),'Quantification Tool R3'!$B$19="July - December")),IF(E429&lt;0,0,IF(E429&gt;53.4,0.69,ROUND('Reference Standards'!$AM$94*E429^2+'Reference Standards'!$AM$95*E429+'Reference Standards'!$AM$96,2))),IF(OR(AND('Quantification Tool R3'!$B$12="71i",'Quantification Tool R3'!$B$13&gt;2,'Quantification Tool R3'!$B$20="SQKICK"),AND(OR('Quantification Tool R3'!$B$12="67fhi",'Quantification Tool R3'!$B$12="67g"),'Quantification Tool R3'!$B$13&lt;=2),'Quantification Tool R3'!$B$12="65j"),IF(E429&lt;0,0,IF(E429&gt;57.8,0.69,ROUND('Reference Standards'!$AN$94*E429^2+'Reference Standards'!$AN$95*E429+'Reference Standards'!$AN$96,2))),IF(OR(AND('Quantification Tool R3'!$B$12="74a",'Quantification Tool R3'!$B$13&gt;2,'Quantification Tool R3'!$B$19="July - December"),AND(OR('Quantification Tool R3'!$B$12="67fhi",'Quantification Tool R3'!$B$12="67g"),'Quantification Tool R3'!$B$13&gt;2),'Quantification Tool R3'!$B$12="69de"),IF(E429&lt;0,0,IF(E429&gt;62.5,0.69,ROUND('Reference Standards'!$AO$94*E429^2+'Reference Standards'!$AO$95*E429+'Reference Standards'!$AO$96,2))),  IF(OR('Quantification Tool R3'!$B$12="66d",'Quantification Tool R3'!$B$12="66e",'Quantification Tool R3'!$B$12="66ik",'Quantification Tool R3'!$B$12="71e",'Quantification Tool R3'!$B$12="71f",'Quantification Tool R3'!$B$12="71g",'Quantification Tool R3'!$B$12="71h"),IF(E429&lt;0,0,IF(E429&gt;66.5,0.69,ROUND('Reference Standards'!$AP$94*E429^2+'Reference Standards'!$AP$95*E429+'Reference Standards'!$AP$96,2))),IF(OR('Quantification Tool R3'!$B$12="66f",'Quantification Tool R3'!$B$12="66g",'Quantification Tool R3'!$B$12="66j",AND('Quantification Tool R3'!$B$12="68a",'Quantification Tool R3'!$B$19="July - December")), IF(E429&lt;0,0,IF(E429&gt;69,0.69,ROUND('Reference Standards'!$AQ$94*E429^2+'Reference Standards'!$AQ$95*E429+'Reference Standards'!$AQ$96,2))))   )))))))))))</f>
        <v/>
      </c>
      <c r="G429" s="698"/>
      <c r="H429" s="699"/>
      <c r="I429" s="683"/>
      <c r="J429" s="684"/>
      <c r="K429" s="680"/>
    </row>
    <row r="430" spans="1:12" ht="15.6" x14ac:dyDescent="0.3">
      <c r="A430" s="556"/>
      <c r="B430" s="561"/>
      <c r="C430" s="174" t="s">
        <v>339</v>
      </c>
      <c r="D430" s="175"/>
      <c r="E430" s="165"/>
      <c r="F430" s="346" t="str">
        <f>IF(E430="","",IF(AND('Quantification Tool R3'!$B$12="74b",'Quantification Tool R3'!$B$13&lt;=2),IF(E430&lt;0,0,IF(E430&gt;8.1,0.69,ROUND('Reference Standards'!$AL$131*E430^2+'Reference Standards'!$AL$132*E430+'Reference Standards'!$AL$133,2))),IF(OR('Quantification Tool R3'!$B$12="73a",'Quantification Tool R3'!$B$12="73b"),IF(E430&lt;0,0,IF(E430&gt;=28,0.69,ROUND('Reference Standards'!$AM$131*E430^2+'Reference Standards'!$AM$132*E430+'Reference Standards'!$AM$133,2))),IF(AND('Quantification Tool R3'!$B$12="74a",'Quantification Tool R3'!$B$13&gt;2,'Quantification Tool R3'!$B$19="January - June"),IF(E430&lt;0,0,IF(E430&gt;=32.5,0.69,ROUND('Reference Standards'!$AN$131*E430^2+'Reference Standards'!$AN$132*E430+'Reference Standards'!$AN$133,2))),IF(AND('Quantification Tool R3'!$B$12="71i",'Quantification Tool R3'!$B$13&gt;2,'Quantification Tool R3'!$B$20="SQBANK"),IF(E430&lt;0,0,IF(E430&gt;=37,0.69,ROUND('Reference Standards'!$AO$131*E430^2+'Reference Standards'!$AO$132*E430+'Reference Standards'!$AO$133,2))),IF(OR(AND(OR('Quantification Tool R3'!$B$12="65abei",'Quantification Tool R3'!$B$12="74b"),'Quantification Tool R3'!$B$13&gt;2),AND('Quantification Tool R3'!$B$12="71i",'Quantification Tool R3'!$B$13&gt;2,'Quantification Tool R3'!$B$20="SQKICK")),IF(E430&lt;0,0,IF(E430&gt;42.6,0.69,ROUND('Reference Standards'!$AP$131*E430^2+'Reference Standards'!$AP$132*E430+'Reference Standards'!$AP$133,2))),     IF(OR(AND('Quantification Tool R3'!$B$12="65abei",'Quantification Tool R3'!$B$13&lt;=2),AND(OR('Quantification Tool R3'!$B$12="68c",'Quantification Tool R3'!$B$12="68d"),'Quantification Tool R3'!$B$19="July - December"),'Quantification Tool R3'!$B$12="71e"),IF(E430&lt;0,0,IF(E430&gt;=48,0.69,ROUND('Reference Standards'!$AL$171*E430^2+'Reference Standards'!$AL$172*E430+'Reference Standards'!$AL$173,2))),IF(OR('Quantification Tool R3'!$B$12="65j",'Quantification Tool R3'!$B$12="67fhi",'Quantification Tool R3'!$B$12="67g",AND('Quantification Tool R3'!$B$12="74a",'Quantification Tool R3'!$B$19="July - December",'Quantification Tool R3'!$B$13&gt;2),AND('Quantification Tool R3'!$B$12="71i",'Quantification Tool R3'!$B$13&lt;=2)),IF(E430&lt;0,0,IF(E430&gt;=53,0.69,ROUND('Reference Standards'!$AM$171*E430^2+'Reference Standards'!$AM$172*E430+'Reference Standards'!$AM$173,2))),IF(OR(AND(OR('Quantification Tool R3'!$B$12="68b",'Quantification Tool R3'!$B$12="71f",'Quantification Tool R3'!$B$12="71g",'Quantification Tool R3'!$B$12="71h"),'Quantification Tool R3'!$B$13&gt;2),'Quantification Tool R3'!$B$12="68a"),IF(E430&lt;0,0,IF(E430&gt;=57,0.69,ROUND('Reference Standards'!$AN$171*E430^2+'Reference Standards'!$AN$172*E430+'Reference Standards'!$AN$173,2))),IF(OR('Quantification Tool R3'!$B$12="66f",'Quantification Tool R3'!$B$12="66g",'Quantification Tool R3'!$B$12="66j",AND(OR('Quantification Tool R3'!$B$12="71f",'Quantification Tool R3'!$B$12="71g",'Quantification Tool R3'!$B$12="71h"),'Quantification Tool R3'!$B$13&lt;=2)),IF(E430&lt;0,0,IF(E430&gt;=60,0.69,ROUND('Reference Standards'!$AO$171*E430^2+'Reference Standards'!$AO$172*E430+'Reference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December")),IF(E430&lt;0,0,IF(E430&gt;=67.5,0.69,ROUND('Reference Standards'!$AP$171*E430^2+'Reference Standards'!$AP$172*E430+'Reference Standards'!$AP$173,2))),IF(AND('Quantification Tool R3'!$B$12="69de",'Quantification Tool R3'!$B$19="January - June"), IF(E430&lt;0,0,IF(E430&gt;=72,0.69,ROUND('Reference Standards'!$AQ$171*E430^2+'Reference Standards'!$AQ$172*E430+'Reference Standards'!$AQ$173,2))))   )))))))))))</f>
        <v/>
      </c>
      <c r="G430" s="698"/>
      <c r="H430" s="699"/>
      <c r="I430" s="683"/>
      <c r="J430" s="684"/>
      <c r="K430" s="680"/>
    </row>
    <row r="431" spans="1:12" ht="15.6" x14ac:dyDescent="0.3">
      <c r="A431" s="556"/>
      <c r="B431" s="562"/>
      <c r="C431" s="127" t="s">
        <v>336</v>
      </c>
      <c r="D431" s="71"/>
      <c r="E431" s="167"/>
      <c r="F431" s="346" t="str">
        <f>IF(E431="","",IF(OR('Quantification Tool R3'!$B$12="67fhi",'Quantification Tool R3'!$B$12="67g",'Quantification Tool R3'!$B$12="71e",'Quantification Tool R3'!$B$12="73a",'Quantification Tool R3'!$B$12="73b",AND(OR('Quantification Tool R3'!$B$12="71f",'Quantification Tool R3'!$B$12="71g",'Quantification Tool R3'!$B$12="71h"),'Quantification Tool R3'!$B$13&gt;2)),IF(E431&gt;100,0,IF(E431&lt;15,0.69,ROUND('Reference Standards'!$AL$208*E431^2+'Reference Standards'!$AL$209*E431+'Reference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),IF(E431&gt;100,0,IF(E431&lt;19,0.69,ROUND('Reference Standards'!$AM$208*E431^2+'Reference Standards'!$AM$209*E431+'Reference Standards'!$AM$210,2))),    IF(OR(AND('Quantification Tool R3'!$B$12="69de",'Quantification Tool R3'!$B$19="January - June"),AND('Quantification Tool R3'!$B$12="71i",'Quantification Tool R3'!$B$13&gt;2,'Quantification Tool R3'!$B$20="SQKICK" )),IF(E431&gt;100,0,IF(E431&lt;22,0.69,ROUND('Reference Standards'!$AN$208*E431^2+'Reference Standards'!$AN$209*E431+'Reference Standards'!$AN$210,2))),    IF(OR('Quantification Tool R3'!$B$12="65j",AND('Quantification Tool R3'!$B$12="68b",'Quantification Tool R3'!$B$13&gt;2)),IF(E431&gt;100,0,IF(E431&lt;24,0.69,ROUND('Reference Standards'!$AO$208*E431^2+'Reference Standards'!$AO$209*E431+'Reference Standards'!$AO$210,2))),    IF(AND(OR('Quantification Tool R3'!$B$12="65abei",'Quantification Tool R3'!$B$12="71f",'Quantification Tool R3'!$B$12="71g",'Quantification Tool R3'!$B$12="71h"),'Quantification Tool R3'!$B$13&lt;=2),IF(E431&gt;95,0,IF(E431&lt;33,0.69,ROUND('Reference Standards'!$AL$246*E431^2+'Reference Standards'!$AL$247*E431+'Reference Standards'!$AL$248,2))),   IF(AND(OR('Quantification Tool R3'!$B$12="65abei",'Quantification Tool R3'!$B$12="74b"),'Quantification Tool R3'!$B$13&gt;2),IF(E431&gt;97,0,IF(E431&lt;36,0.69,ROUND('Reference Standards'!$AM$246*E431^2+'Reference Standards'!$AM$247*E431+'Reference Standards'!$AM$248,2))),  IF(AND('Quantification Tool R3'!$B$12="74a",'Quantification Tool R3'!$B$19="January - June",'Quantification Tool R3'!$B$13&gt;2),IF(E431&gt;93,0,IF(E431&lt;52,0.69,ROUND('Reference Standards'!$AN$246*E431^2+'Reference Standards'!$AN$247*E431+'Reference Standards'!$AN$248,2))),   IF(AND('Quantification Tool R3'!$B$12="74b",'Quantification Tool R3'!$B$13&lt;=2),IF(E431&gt;97,0,IF(E431&lt;62,0.69,ROUND('Reference Standards'!$AO$246*E431^2+'Reference Standards'!$AO$247*E431+'Reference Standards'!$AO$248,2)))  )))))))))</f>
        <v/>
      </c>
      <c r="G431" s="698"/>
      <c r="H431" s="699"/>
      <c r="I431" s="683"/>
      <c r="J431" s="684"/>
      <c r="K431" s="680"/>
    </row>
    <row r="432" spans="1:12" ht="15.6" x14ac:dyDescent="0.3">
      <c r="A432" s="556"/>
      <c r="B432" s="563" t="s">
        <v>74</v>
      </c>
      <c r="C432" s="125" t="s">
        <v>211</v>
      </c>
      <c r="D432" s="126"/>
      <c r="E432" s="166"/>
      <c r="F432" s="345" t="str">
        <f>IF(E432="","",IF(E432=1,0.15,IF(E432=3,0.5,IF(E432=5,0.85,0))))</f>
        <v/>
      </c>
      <c r="G432" s="672" t="str">
        <f>IFERROR(AVERAGE(F432:F433),"")</f>
        <v/>
      </c>
      <c r="H432" s="699"/>
      <c r="I432" s="683"/>
      <c r="J432" s="684"/>
      <c r="K432" s="680"/>
    </row>
    <row r="433" spans="1:11" ht="15.6" x14ac:dyDescent="0.3">
      <c r="A433" s="551"/>
      <c r="B433" s="563"/>
      <c r="C433" s="127" t="s">
        <v>332</v>
      </c>
      <c r="D433" s="71"/>
      <c r="E433" s="167"/>
      <c r="F433" s="347" t="str">
        <f>IF(E433="","",IF(E433=1,0.15,IF(E433=3,0.5,IF(E433=5,0.85,0))))</f>
        <v/>
      </c>
      <c r="G433" s="673"/>
      <c r="H433" s="699"/>
      <c r="I433" s="683"/>
      <c r="J433" s="684"/>
      <c r="K433" s="680"/>
    </row>
  </sheetData>
  <sheetProtection password="9A90" sheet="1" objects="1" scenarios="1" selectLockedCells="1"/>
  <dataConsolidate/>
  <mergeCells count="364">
    <mergeCell ref="A1:F1"/>
    <mergeCell ref="G1:K1"/>
    <mergeCell ref="C2:D2"/>
    <mergeCell ref="A3:A4"/>
    <mergeCell ref="H3:H4"/>
    <mergeCell ref="I3:I4"/>
    <mergeCell ref="J3:J38"/>
    <mergeCell ref="K3:K38"/>
    <mergeCell ref="B9:B12"/>
    <mergeCell ref="G9:G12"/>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 ref="I33:I38"/>
    <mergeCell ref="B37:B38"/>
    <mergeCell ref="G37:G38"/>
    <mergeCell ref="H5:H6"/>
    <mergeCell ref="I5:I6"/>
    <mergeCell ref="A7:A28"/>
    <mergeCell ref="B7:B8"/>
    <mergeCell ref="G7:G8"/>
    <mergeCell ref="H7:H28"/>
    <mergeCell ref="I7:I28"/>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B76:B77"/>
    <mergeCell ref="G76:G77"/>
    <mergeCell ref="I44:I45"/>
    <mergeCell ref="A46:A67"/>
    <mergeCell ref="B46:B47"/>
    <mergeCell ref="G46:G47"/>
    <mergeCell ref="H46:H67"/>
    <mergeCell ref="I46:I67"/>
    <mergeCell ref="B48:B51"/>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115:B116"/>
    <mergeCell ref="G115:G116"/>
    <mergeCell ref="I83:I84"/>
    <mergeCell ref="A85:A106"/>
    <mergeCell ref="B85:B86"/>
    <mergeCell ref="G85:G86"/>
    <mergeCell ref="H85:H106"/>
    <mergeCell ref="I85:I106"/>
    <mergeCell ref="B87:B90"/>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54:B155"/>
    <mergeCell ref="G154:G155"/>
    <mergeCell ref="I122:I123"/>
    <mergeCell ref="A124:A145"/>
    <mergeCell ref="B124:B125"/>
    <mergeCell ref="G124:G125"/>
    <mergeCell ref="H124:H145"/>
    <mergeCell ref="I124:I145"/>
    <mergeCell ref="B126:B129"/>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93:B194"/>
    <mergeCell ref="G193:G194"/>
    <mergeCell ref="I161:I162"/>
    <mergeCell ref="A163:A184"/>
    <mergeCell ref="B163:B164"/>
    <mergeCell ref="G163:G164"/>
    <mergeCell ref="H163:H184"/>
    <mergeCell ref="I163:I184"/>
    <mergeCell ref="B165:B168"/>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232:B233"/>
    <mergeCell ref="G232:G233"/>
    <mergeCell ref="I200:I201"/>
    <mergeCell ref="A202:A223"/>
    <mergeCell ref="B202:B203"/>
    <mergeCell ref="G202:G203"/>
    <mergeCell ref="H202:H223"/>
    <mergeCell ref="I202:I223"/>
    <mergeCell ref="B204:B20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72:B273"/>
    <mergeCell ref="G272:G273"/>
    <mergeCell ref="I240:I241"/>
    <mergeCell ref="A242:A263"/>
    <mergeCell ref="B242:B243"/>
    <mergeCell ref="G242:G243"/>
    <mergeCell ref="H242:H263"/>
    <mergeCell ref="I242:I263"/>
    <mergeCell ref="B244:B24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312:B313"/>
    <mergeCell ref="G312:G313"/>
    <mergeCell ref="I280:I281"/>
    <mergeCell ref="A282:A303"/>
    <mergeCell ref="B282:B283"/>
    <mergeCell ref="G282:G283"/>
    <mergeCell ref="H282:H303"/>
    <mergeCell ref="I282:I303"/>
    <mergeCell ref="B284:B28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52:B353"/>
    <mergeCell ref="G352:G353"/>
    <mergeCell ref="I320:I321"/>
    <mergeCell ref="A322:A343"/>
    <mergeCell ref="B322:B323"/>
    <mergeCell ref="G322:G323"/>
    <mergeCell ref="H322:H343"/>
    <mergeCell ref="I322:I343"/>
    <mergeCell ref="B324:B32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92:B393"/>
    <mergeCell ref="G392:G393"/>
    <mergeCell ref="I360:I361"/>
    <mergeCell ref="A362:A383"/>
    <mergeCell ref="B362:B363"/>
    <mergeCell ref="G362:G363"/>
    <mergeCell ref="H362:H383"/>
    <mergeCell ref="I362:I383"/>
    <mergeCell ref="B364:B36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432:B433"/>
    <mergeCell ref="G432:G433"/>
    <mergeCell ref="I400:I401"/>
    <mergeCell ref="A402:A423"/>
    <mergeCell ref="B402:B403"/>
    <mergeCell ref="G402:G403"/>
    <mergeCell ref="H402:H423"/>
    <mergeCell ref="I402:I423"/>
    <mergeCell ref="B404:B407"/>
  </mergeCells>
  <conditionalFormatting sqref="A2:C2 L378:L384 L365:L372 L1:M4 G1 A41:C41 G40 M356:M359 E2:K2 E41:K41 M51:M65 L66:L78 L105:L115 L144:L156 L183:L195 L223:L235 L263:L273 L303:L313 L343:L355 M380:M393 M420:M434 D30:D31 D69:D70 D108:D109 D147:D148 D186:D187 D225:D226 D265:D266 D305:D306 D345:D346 D385:D386 D425:D426 L5:L37 L316:M326 L276:M286 L236:M246 L196:M206 L157:M167 L118:M128 L79:M89 L38:M50">
    <cfRule type="beginsWith" dxfId="6453" priority="2686" stopIfTrue="1" operator="beginsWith" text="Functioning At Risk">
      <formula>LEFT(A1,LEN("Functioning At Risk"))="Functioning At Risk"</formula>
    </cfRule>
    <cfRule type="beginsWith" dxfId="6452" priority="2687" stopIfTrue="1" operator="beginsWith" text="Not Functioning">
      <formula>LEFT(A1,LEN("Not Functioning"))="Not Functioning"</formula>
    </cfRule>
    <cfRule type="containsText" dxfId="6451" priority="2688" operator="containsText" text="Functioning">
      <formula>NOT(ISERROR(SEARCH("Functioning",A1)))</formula>
    </cfRule>
  </conditionalFormatting>
  <conditionalFormatting sqref="A80:C80 G79 E80:K80 M90:M104">
    <cfRule type="beginsWith" dxfId="6450" priority="2683" stopIfTrue="1" operator="beginsWith" text="Functioning At Risk">
      <formula>LEFT(A79,LEN("Functioning At Risk"))="Functioning At Risk"</formula>
    </cfRule>
    <cfRule type="beginsWith" dxfId="6449" priority="2684" stopIfTrue="1" operator="beginsWith" text="Not Functioning">
      <formula>LEFT(A79,LEN("Not Functioning"))="Not Functioning"</formula>
    </cfRule>
    <cfRule type="containsText" dxfId="6448" priority="2685" operator="containsText" text="Functioning">
      <formula>NOT(ISERROR(SEARCH("Functioning",A79)))</formula>
    </cfRule>
  </conditionalFormatting>
  <conditionalFormatting sqref="A197:C197 G196 E197:K197 M207:M222">
    <cfRule type="beginsWith" dxfId="6447" priority="2671" stopIfTrue="1" operator="beginsWith" text="Functioning At Risk">
      <formula>LEFT(A196,LEN("Functioning At Risk"))="Functioning At Risk"</formula>
    </cfRule>
    <cfRule type="beginsWith" dxfId="6446" priority="2672" stopIfTrue="1" operator="beginsWith" text="Not Functioning">
      <formula>LEFT(A196,LEN("Not Functioning"))="Not Functioning"</formula>
    </cfRule>
    <cfRule type="containsText" dxfId="6445" priority="2673" operator="containsText" text="Functioning">
      <formula>NOT(ISERROR(SEARCH("Functioning",A196)))</formula>
    </cfRule>
  </conditionalFormatting>
  <conditionalFormatting sqref="L116:L117">
    <cfRule type="beginsWith" dxfId="6444" priority="2680" stopIfTrue="1" operator="beginsWith" text="Functioning At Risk">
      <formula>LEFT(L116,LEN("Functioning At Risk"))="Functioning At Risk"</formula>
    </cfRule>
    <cfRule type="beginsWith" dxfId="6443" priority="2681" stopIfTrue="1" operator="beginsWith" text="Not Functioning">
      <formula>LEFT(L116,LEN("Not Functioning"))="Not Functioning"</formula>
    </cfRule>
    <cfRule type="containsText" dxfId="6442" priority="2682" operator="containsText" text="Functioning">
      <formula>NOT(ISERROR(SEARCH("Functioning",L116)))</formula>
    </cfRule>
  </conditionalFormatting>
  <conditionalFormatting sqref="A119:C119 G118 E119:K119 M129:M143">
    <cfRule type="beginsWith" dxfId="6441" priority="2677" stopIfTrue="1" operator="beginsWith" text="Functioning At Risk">
      <formula>LEFT(A118,LEN("Functioning At Risk"))="Functioning At Risk"</formula>
    </cfRule>
    <cfRule type="beginsWith" dxfId="6440" priority="2678" stopIfTrue="1" operator="beginsWith" text="Not Functioning">
      <formula>LEFT(A118,LEN("Not Functioning"))="Not Functioning"</formula>
    </cfRule>
    <cfRule type="containsText" dxfId="6439" priority="2679" operator="containsText" text="Functioning">
      <formula>NOT(ISERROR(SEARCH("Functioning",A118)))</formula>
    </cfRule>
  </conditionalFormatting>
  <conditionalFormatting sqref="A158:C158 G157 E158:K158 M168:M182">
    <cfRule type="beginsWith" dxfId="6438" priority="2674" stopIfTrue="1" operator="beginsWith" text="Functioning At Risk">
      <formula>LEFT(A157,LEN("Functioning At Risk"))="Functioning At Risk"</formula>
    </cfRule>
    <cfRule type="beginsWith" dxfId="6437" priority="2675" stopIfTrue="1" operator="beginsWith" text="Not Functioning">
      <formula>LEFT(A157,LEN("Not Functioning"))="Not Functioning"</formula>
    </cfRule>
    <cfRule type="containsText" dxfId="6436" priority="2676" operator="containsText" text="Functioning">
      <formula>NOT(ISERROR(SEARCH("Functioning",A157)))</formula>
    </cfRule>
  </conditionalFormatting>
  <conditionalFormatting sqref="A237:C237 G236 E237:K237 M247:M262">
    <cfRule type="beginsWith" dxfId="6435" priority="2668" stopIfTrue="1" operator="beginsWith" text="Functioning At Risk">
      <formula>LEFT(A236,LEN("Functioning At Risk"))="Functioning At Risk"</formula>
    </cfRule>
    <cfRule type="beginsWith" dxfId="6434" priority="2669" stopIfTrue="1" operator="beginsWith" text="Not Functioning">
      <formula>LEFT(A236,LEN("Not Functioning"))="Not Functioning"</formula>
    </cfRule>
    <cfRule type="containsText" dxfId="6433" priority="2670" operator="containsText" text="Functioning">
      <formula>NOT(ISERROR(SEARCH("Functioning",A236)))</formula>
    </cfRule>
  </conditionalFormatting>
  <conditionalFormatting sqref="L274:L275">
    <cfRule type="beginsWith" dxfId="6432" priority="2665" stopIfTrue="1" operator="beginsWith" text="Functioning At Risk">
      <formula>LEFT(L274,LEN("Functioning At Risk"))="Functioning At Risk"</formula>
    </cfRule>
    <cfRule type="beginsWith" dxfId="6431" priority="2666" stopIfTrue="1" operator="beginsWith" text="Not Functioning">
      <formula>LEFT(L274,LEN("Not Functioning"))="Not Functioning"</formula>
    </cfRule>
    <cfRule type="containsText" dxfId="6430" priority="2667" operator="containsText" text="Functioning">
      <formula>NOT(ISERROR(SEARCH("Functioning",L274)))</formula>
    </cfRule>
  </conditionalFormatting>
  <conditionalFormatting sqref="A277:C277 G276 E277:K277 M287:M302">
    <cfRule type="beginsWith" dxfId="6429" priority="2662" stopIfTrue="1" operator="beginsWith" text="Functioning At Risk">
      <formula>LEFT(A276,LEN("Functioning At Risk"))="Functioning At Risk"</formula>
    </cfRule>
    <cfRule type="beginsWith" dxfId="6428" priority="2663" stopIfTrue="1" operator="beginsWith" text="Not Functioning">
      <formula>LEFT(A276,LEN("Not Functioning"))="Not Functioning"</formula>
    </cfRule>
    <cfRule type="containsText" dxfId="6427" priority="2664" operator="containsText" text="Functioning">
      <formula>NOT(ISERROR(SEARCH("Functioning",A276)))</formula>
    </cfRule>
  </conditionalFormatting>
  <conditionalFormatting sqref="L314:L315">
    <cfRule type="beginsWith" dxfId="6426" priority="2659" stopIfTrue="1" operator="beginsWith" text="Functioning At Risk">
      <formula>LEFT(L314,LEN("Functioning At Risk"))="Functioning At Risk"</formula>
    </cfRule>
    <cfRule type="beginsWith" dxfId="6425" priority="2660" stopIfTrue="1" operator="beginsWith" text="Not Functioning">
      <formula>LEFT(L314,LEN("Not Functioning"))="Not Functioning"</formula>
    </cfRule>
    <cfRule type="containsText" dxfId="6424" priority="2661" operator="containsText" text="Functioning">
      <formula>NOT(ISERROR(SEARCH("Functioning",L314)))</formula>
    </cfRule>
  </conditionalFormatting>
  <conditionalFormatting sqref="A317:C317 G316 E317:K317 M327:M342">
    <cfRule type="beginsWith" dxfId="6423" priority="2656" stopIfTrue="1" operator="beginsWith" text="Functioning At Risk">
      <formula>LEFT(A316,LEN("Functioning At Risk"))="Functioning At Risk"</formula>
    </cfRule>
    <cfRule type="beginsWith" dxfId="6422" priority="2657" stopIfTrue="1" operator="beginsWith" text="Not Functioning">
      <formula>LEFT(A316,LEN("Not Functioning"))="Not Functioning"</formula>
    </cfRule>
    <cfRule type="containsText" dxfId="6421" priority="2658" operator="containsText" text="Functioning">
      <formula>NOT(ISERROR(SEARCH("Functioning",A316)))</formula>
    </cfRule>
  </conditionalFormatting>
  <conditionalFormatting sqref="A357:C357 G356 E357:K357">
    <cfRule type="beginsWith" dxfId="6420" priority="2653" stopIfTrue="1" operator="beginsWith" text="Functioning At Risk">
      <formula>LEFT(A356,LEN("Functioning At Risk"))="Functioning At Risk"</formula>
    </cfRule>
    <cfRule type="beginsWith" dxfId="6419" priority="2654" stopIfTrue="1" operator="beginsWith" text="Not Functioning">
      <formula>LEFT(A356,LEN("Not Functioning"))="Not Functioning"</formula>
    </cfRule>
    <cfRule type="containsText" dxfId="6418" priority="2655" operator="containsText" text="Functioning">
      <formula>NOT(ISERROR(SEARCH("Functioning",A356)))</formula>
    </cfRule>
  </conditionalFormatting>
  <conditionalFormatting sqref="L418:L424 L405:L412 M396:M399 L394:L395">
    <cfRule type="beginsWith" dxfId="6417" priority="2650" stopIfTrue="1" operator="beginsWith" text="Functioning At Risk">
      <formula>LEFT(L394,LEN("Functioning At Risk"))="Functioning At Risk"</formula>
    </cfRule>
    <cfRule type="beginsWith" dxfId="6416" priority="2651" stopIfTrue="1" operator="beginsWith" text="Not Functioning">
      <formula>LEFT(L394,LEN("Not Functioning"))="Not Functioning"</formula>
    </cfRule>
    <cfRule type="containsText" dxfId="6415" priority="2652" operator="containsText" text="Functioning">
      <formula>NOT(ISERROR(SEARCH("Functioning",L394)))</formula>
    </cfRule>
  </conditionalFormatting>
  <conditionalFormatting sqref="A397:C397 G396 E397:K397">
    <cfRule type="beginsWith" dxfId="6414" priority="2647" stopIfTrue="1" operator="beginsWith" text="Functioning At Risk">
      <formula>LEFT(A396,LEN("Functioning At Risk"))="Functioning At Risk"</formula>
    </cfRule>
    <cfRule type="beginsWith" dxfId="6413" priority="2648" stopIfTrue="1" operator="beginsWith" text="Not Functioning">
      <formula>LEFT(A396,LEN("Not Functioning"))="Not Functioning"</formula>
    </cfRule>
    <cfRule type="containsText" dxfId="6412" priority="2649" operator="containsText" text="Functioning">
      <formula>NOT(ISERROR(SEARCH("Functioning",A396)))</formula>
    </cfRule>
  </conditionalFormatting>
  <conditionalFormatting sqref="I33:I37 B31:B32 D21 B24 A5:B5 A33:B35 H7:I8 H5:I5 H3:K4 A7:B7 A36:A37 D13:D15 B28:B29 A8 D33:D36 D5:D8 D24:D28">
    <cfRule type="beginsWith" dxfId="6411" priority="2644" stopIfTrue="1" operator="beginsWith" text="Functioning At Risk">
      <formula>LEFT(A3,LEN("Functioning At Risk"))="Functioning At Risk"</formula>
    </cfRule>
    <cfRule type="beginsWith" dxfId="6410" priority="2645" stopIfTrue="1" operator="beginsWith" text="Not Functioning">
      <formula>LEFT(A3,LEN("Not Functioning"))="Not Functioning"</formula>
    </cfRule>
    <cfRule type="containsText" dxfId="6409" priority="2646" operator="containsText" text="Functioning">
      <formula>NOT(ISERROR(SEARCH("Functioning",A3)))</formula>
    </cfRule>
  </conditionalFormatting>
  <conditionalFormatting sqref="D16">
    <cfRule type="beginsWith" dxfId="6408" priority="2638" stopIfTrue="1" operator="beginsWith" text="Functioning At Risk">
      <formula>LEFT(D16,LEN("Functioning At Risk"))="Functioning At Risk"</formula>
    </cfRule>
    <cfRule type="beginsWith" dxfId="6407" priority="2639" stopIfTrue="1" operator="beginsWith" text="Not Functioning">
      <formula>LEFT(D16,LEN("Not Functioning"))="Not Functioning"</formula>
    </cfRule>
    <cfRule type="containsText" dxfId="6406" priority="2640" operator="containsText" text="Functioning">
      <formula>NOT(ISERROR(SEARCH("Functioning",D16)))</formula>
    </cfRule>
  </conditionalFormatting>
  <conditionalFormatting sqref="D22">
    <cfRule type="beginsWith" dxfId="6405" priority="2635" stopIfTrue="1" operator="beginsWith" text="Functioning At Risk">
      <formula>LEFT(D22,LEN("Functioning At Risk"))="Functioning At Risk"</formula>
    </cfRule>
    <cfRule type="beginsWith" dxfId="6404" priority="2636" stopIfTrue="1" operator="beginsWith" text="Not Functioning">
      <formula>LEFT(D22,LEN("Not Functioning"))="Not Functioning"</formula>
    </cfRule>
    <cfRule type="containsText" dxfId="6403" priority="2637" operator="containsText" text="Functioning">
      <formula>NOT(ISERROR(SEARCH("Functioning",D22)))</formula>
    </cfRule>
  </conditionalFormatting>
  <conditionalFormatting sqref="D23">
    <cfRule type="beginsWith" dxfId="6402" priority="2632" stopIfTrue="1" operator="beginsWith" text="Functioning At Risk">
      <formula>LEFT(D23,LEN("Functioning At Risk"))="Functioning At Risk"</formula>
    </cfRule>
    <cfRule type="beginsWith" dxfId="6401" priority="2633" stopIfTrue="1" operator="beginsWith" text="Not Functioning">
      <formula>LEFT(D23,LEN("Not Functioning"))="Not Functioning"</formula>
    </cfRule>
    <cfRule type="containsText" dxfId="6400" priority="2634" operator="containsText" text="Functioning">
      <formula>NOT(ISERROR(SEARCH("Functioning",D23)))</formula>
    </cfRule>
  </conditionalFormatting>
  <conditionalFormatting sqref="D17:D20">
    <cfRule type="beginsWith" dxfId="6399" priority="2629" stopIfTrue="1" operator="beginsWith" text="Functioning At Risk">
      <formula>LEFT(D17,LEN("Functioning At Risk"))="Functioning At Risk"</formula>
    </cfRule>
    <cfRule type="beginsWith" dxfId="6398" priority="2630" stopIfTrue="1" operator="beginsWith" text="Not Functioning">
      <formula>LEFT(D17,LEN("Not Functioning"))="Not Functioning"</formula>
    </cfRule>
    <cfRule type="containsText" dxfId="6397" priority="2631" operator="containsText" text="Functioning">
      <formula>NOT(ISERROR(SEARCH("Functioning",D17)))</formula>
    </cfRule>
  </conditionalFormatting>
  <conditionalFormatting sqref="A29">
    <cfRule type="beginsWith" dxfId="6396" priority="2626" stopIfTrue="1" operator="beginsWith" text="Functioning At Risk">
      <formula>LEFT(A29,LEN("Functioning At Risk"))="Functioning At Risk"</formula>
    </cfRule>
    <cfRule type="beginsWith" dxfId="6395" priority="2627" stopIfTrue="1" operator="beginsWith" text="Not Functioning">
      <formula>LEFT(A29,LEN("Not Functioning"))="Not Functioning"</formula>
    </cfRule>
    <cfRule type="containsText" dxfId="6394" priority="2628" operator="containsText" text="Functioning">
      <formula>NOT(ISERROR(SEARCH("Functioning",A29)))</formula>
    </cfRule>
  </conditionalFormatting>
  <conditionalFormatting sqref="H29">
    <cfRule type="beginsWith" dxfId="6393" priority="2623" stopIfTrue="1" operator="beginsWith" text="Functioning At Risk">
      <formula>LEFT(H29,LEN("Functioning At Risk"))="Functioning At Risk"</formula>
    </cfRule>
    <cfRule type="beginsWith" dxfId="6392" priority="2624" stopIfTrue="1" operator="beginsWith" text="Not Functioning">
      <formula>LEFT(H29,LEN("Not Functioning"))="Not Functioning"</formula>
    </cfRule>
    <cfRule type="containsText" dxfId="6391" priority="2625" operator="containsText" text="Functioning">
      <formula>NOT(ISERROR(SEARCH("Functioning",H29)))</formula>
    </cfRule>
  </conditionalFormatting>
  <conditionalFormatting sqref="I29">
    <cfRule type="beginsWith" dxfId="6390" priority="2620" stopIfTrue="1" operator="beginsWith" text="Functioning At Risk">
      <formula>LEFT(I29,LEN("Functioning At Risk"))="Functioning At Risk"</formula>
    </cfRule>
    <cfRule type="beginsWith" dxfId="6389" priority="2621" stopIfTrue="1" operator="beginsWith" text="Not Functioning">
      <formula>LEFT(I29,LEN("Not Functioning"))="Not Functioning"</formula>
    </cfRule>
    <cfRule type="containsText" dxfId="6388" priority="2622" operator="containsText" text="Functioning">
      <formula>NOT(ISERROR(SEARCH("Functioning",I29)))</formula>
    </cfRule>
  </conditionalFormatting>
  <conditionalFormatting sqref="D37">
    <cfRule type="beginsWith" dxfId="6387" priority="2617" stopIfTrue="1" operator="beginsWith" text="Functioning At Risk">
      <formula>LEFT(D37,LEN("Functioning At Risk"))="Functioning At Risk"</formula>
    </cfRule>
    <cfRule type="beginsWith" dxfId="6386" priority="2618" stopIfTrue="1" operator="beginsWith" text="Not Functioning">
      <formula>LEFT(D37,LEN("Not Functioning"))="Not Functioning"</formula>
    </cfRule>
    <cfRule type="containsText" dxfId="6385" priority="2619" operator="containsText" text="Functioning">
      <formula>NOT(ISERROR(SEARCH("Functioning",D37)))</formula>
    </cfRule>
  </conditionalFormatting>
  <conditionalFormatting sqref="D38">
    <cfRule type="beginsWith" dxfId="6384" priority="2614" stopIfTrue="1" operator="beginsWith" text="Functioning At Risk">
      <formula>LEFT(D38,LEN("Functioning At Risk"))="Functioning At Risk"</formula>
    </cfRule>
    <cfRule type="beginsWith" dxfId="6383" priority="2615" stopIfTrue="1" operator="beginsWith" text="Not Functioning">
      <formula>LEFT(D38,LEN("Not Functioning"))="Not Functioning"</formula>
    </cfRule>
    <cfRule type="containsText" dxfId="6382" priority="2616" operator="containsText" text="Functioning">
      <formula>NOT(ISERROR(SEARCH("Functioning",D38)))</formula>
    </cfRule>
  </conditionalFormatting>
  <conditionalFormatting sqref="B37">
    <cfRule type="beginsWith" dxfId="6381" priority="2611" stopIfTrue="1" operator="beginsWith" text="Functioning At Risk">
      <formula>LEFT(B37,LEN("Functioning At Risk"))="Functioning At Risk"</formula>
    </cfRule>
    <cfRule type="beginsWith" dxfId="6380" priority="2612" stopIfTrue="1" operator="beginsWith" text="Not Functioning">
      <formula>LEFT(B37,LEN("Not Functioning"))="Not Functioning"</formula>
    </cfRule>
    <cfRule type="containsText" dxfId="6379" priority="2613" operator="containsText" text="Functioning">
      <formula>NOT(ISERROR(SEARCH("Functioning",B37)))</formula>
    </cfRule>
  </conditionalFormatting>
  <conditionalFormatting sqref="B13">
    <cfRule type="beginsWith" dxfId="6378" priority="2605" stopIfTrue="1" operator="beginsWith" text="Functioning At Risk">
      <formula>LEFT(B13,LEN("Functioning At Risk"))="Functioning At Risk"</formula>
    </cfRule>
    <cfRule type="beginsWith" dxfId="6377" priority="2606" stopIfTrue="1" operator="beginsWith" text="Not Functioning">
      <formula>LEFT(B13,LEN("Not Functioning"))="Not Functioning"</formula>
    </cfRule>
    <cfRule type="containsText" dxfId="6376" priority="2607" operator="containsText" text="Functioning">
      <formula>NOT(ISERROR(SEARCH("Functioning",B13)))</formula>
    </cfRule>
  </conditionalFormatting>
  <conditionalFormatting sqref="I72:I76 B70:B71 D60 B63 A44:B44 H46:I47 H44:I44 H42:K43 A46:B46 A72:A76 D52:D54 B67:B68 A47 D72:D75 D44:D47 D63:D67">
    <cfRule type="beginsWith" dxfId="6375" priority="2599" stopIfTrue="1" operator="beginsWith" text="Functioning At Risk">
      <formula>LEFT(A42,LEN("Functioning At Risk"))="Functioning At Risk"</formula>
    </cfRule>
    <cfRule type="beginsWith" dxfId="6374" priority="2600" stopIfTrue="1" operator="beginsWith" text="Not Functioning">
      <formula>LEFT(A42,LEN("Not Functioning"))="Not Functioning"</formula>
    </cfRule>
    <cfRule type="containsText" dxfId="6373" priority="2601" operator="containsText" text="Functioning">
      <formula>NOT(ISERROR(SEARCH("Functioning",A42)))</formula>
    </cfRule>
  </conditionalFormatting>
  <conditionalFormatting sqref="D55">
    <cfRule type="beginsWith" dxfId="6372" priority="2593" stopIfTrue="1" operator="beginsWith" text="Functioning At Risk">
      <formula>LEFT(D55,LEN("Functioning At Risk"))="Functioning At Risk"</formula>
    </cfRule>
    <cfRule type="beginsWith" dxfId="6371" priority="2594" stopIfTrue="1" operator="beginsWith" text="Not Functioning">
      <formula>LEFT(D55,LEN("Not Functioning"))="Not Functioning"</formula>
    </cfRule>
    <cfRule type="containsText" dxfId="6370" priority="2595" operator="containsText" text="Functioning">
      <formula>NOT(ISERROR(SEARCH("Functioning",D55)))</formula>
    </cfRule>
  </conditionalFormatting>
  <conditionalFormatting sqref="D61">
    <cfRule type="beginsWith" dxfId="6369" priority="2590" stopIfTrue="1" operator="beginsWith" text="Functioning At Risk">
      <formula>LEFT(D61,LEN("Functioning At Risk"))="Functioning At Risk"</formula>
    </cfRule>
    <cfRule type="beginsWith" dxfId="6368" priority="2591" stopIfTrue="1" operator="beginsWith" text="Not Functioning">
      <formula>LEFT(D61,LEN("Not Functioning"))="Not Functioning"</formula>
    </cfRule>
    <cfRule type="containsText" dxfId="6367" priority="2592" operator="containsText" text="Functioning">
      <formula>NOT(ISERROR(SEARCH("Functioning",D61)))</formula>
    </cfRule>
  </conditionalFormatting>
  <conditionalFormatting sqref="D62">
    <cfRule type="beginsWith" dxfId="6366" priority="2587" stopIfTrue="1" operator="beginsWith" text="Functioning At Risk">
      <formula>LEFT(D62,LEN("Functioning At Risk"))="Functioning At Risk"</formula>
    </cfRule>
    <cfRule type="beginsWith" dxfId="6365" priority="2588" stopIfTrue="1" operator="beginsWith" text="Not Functioning">
      <formula>LEFT(D62,LEN("Not Functioning"))="Not Functioning"</formula>
    </cfRule>
    <cfRule type="containsText" dxfId="6364" priority="2589" operator="containsText" text="Functioning">
      <formula>NOT(ISERROR(SEARCH("Functioning",D62)))</formula>
    </cfRule>
  </conditionalFormatting>
  <conditionalFormatting sqref="D56:D59">
    <cfRule type="beginsWith" dxfId="6363" priority="2584" stopIfTrue="1" operator="beginsWith" text="Functioning At Risk">
      <formula>LEFT(D56,LEN("Functioning At Risk"))="Functioning At Risk"</formula>
    </cfRule>
    <cfRule type="beginsWith" dxfId="6362" priority="2585" stopIfTrue="1" operator="beginsWith" text="Not Functioning">
      <formula>LEFT(D56,LEN("Not Functioning"))="Not Functioning"</formula>
    </cfRule>
    <cfRule type="containsText" dxfId="6361" priority="2586" operator="containsText" text="Functioning">
      <formula>NOT(ISERROR(SEARCH("Functioning",D56)))</formula>
    </cfRule>
  </conditionalFormatting>
  <conditionalFormatting sqref="A185">
    <cfRule type="beginsWith" dxfId="6360" priority="2446" stopIfTrue="1" operator="beginsWith" text="Functioning At Risk">
      <formula>LEFT(A185,LEN("Functioning At Risk"))="Functioning At Risk"</formula>
    </cfRule>
    <cfRule type="beginsWith" dxfId="6359" priority="2447" stopIfTrue="1" operator="beginsWith" text="Not Functioning">
      <formula>LEFT(A185,LEN("Not Functioning"))="Not Functioning"</formula>
    </cfRule>
    <cfRule type="containsText" dxfId="6358" priority="2448" operator="containsText" text="Functioning">
      <formula>NOT(ISERROR(SEARCH("Functioning",A185)))</formula>
    </cfRule>
  </conditionalFormatting>
  <conditionalFormatting sqref="A68">
    <cfRule type="beginsWith" dxfId="6357" priority="2581" stopIfTrue="1" operator="beginsWith" text="Functioning At Risk">
      <formula>LEFT(A68,LEN("Functioning At Risk"))="Functioning At Risk"</formula>
    </cfRule>
    <cfRule type="beginsWith" dxfId="6356" priority="2582" stopIfTrue="1" operator="beginsWith" text="Not Functioning">
      <formula>LEFT(A68,LEN("Not Functioning"))="Not Functioning"</formula>
    </cfRule>
    <cfRule type="containsText" dxfId="6355" priority="2583" operator="containsText" text="Functioning">
      <formula>NOT(ISERROR(SEARCH("Functioning",A68)))</formula>
    </cfRule>
  </conditionalFormatting>
  <conditionalFormatting sqref="H68">
    <cfRule type="beginsWith" dxfId="6354" priority="2578" stopIfTrue="1" operator="beginsWith" text="Functioning At Risk">
      <formula>LEFT(H68,LEN("Functioning At Risk"))="Functioning At Risk"</formula>
    </cfRule>
    <cfRule type="beginsWith" dxfId="6353" priority="2579" stopIfTrue="1" operator="beginsWith" text="Not Functioning">
      <formula>LEFT(H68,LEN("Not Functioning"))="Not Functioning"</formula>
    </cfRule>
    <cfRule type="containsText" dxfId="6352" priority="2580" operator="containsText" text="Functioning">
      <formula>NOT(ISERROR(SEARCH("Functioning",H68)))</formula>
    </cfRule>
  </conditionalFormatting>
  <conditionalFormatting sqref="I68">
    <cfRule type="beginsWith" dxfId="6351" priority="2575" stopIfTrue="1" operator="beginsWith" text="Functioning At Risk">
      <formula>LEFT(I68,LEN("Functioning At Risk"))="Functioning At Risk"</formula>
    </cfRule>
    <cfRule type="beginsWith" dxfId="6350" priority="2576" stopIfTrue="1" operator="beginsWith" text="Not Functioning">
      <formula>LEFT(I68,LEN("Not Functioning"))="Not Functioning"</formula>
    </cfRule>
    <cfRule type="containsText" dxfId="6349" priority="2577" operator="containsText" text="Functioning">
      <formula>NOT(ISERROR(SEARCH("Functioning",I68)))</formula>
    </cfRule>
  </conditionalFormatting>
  <conditionalFormatting sqref="D76">
    <cfRule type="beginsWith" dxfId="6348" priority="2572" stopIfTrue="1" operator="beginsWith" text="Functioning At Risk">
      <formula>LEFT(D76,LEN("Functioning At Risk"))="Functioning At Risk"</formula>
    </cfRule>
    <cfRule type="beginsWith" dxfId="6347" priority="2573" stopIfTrue="1" operator="beginsWith" text="Not Functioning">
      <formula>LEFT(D76,LEN("Not Functioning"))="Not Functioning"</formula>
    </cfRule>
    <cfRule type="containsText" dxfId="6346" priority="2574" operator="containsText" text="Functioning">
      <formula>NOT(ISERROR(SEARCH("Functioning",D76)))</formula>
    </cfRule>
  </conditionalFormatting>
  <conditionalFormatting sqref="D77">
    <cfRule type="beginsWith" dxfId="6345" priority="2569" stopIfTrue="1" operator="beginsWith" text="Functioning At Risk">
      <formula>LEFT(D77,LEN("Functioning At Risk"))="Functioning At Risk"</formula>
    </cfRule>
    <cfRule type="beginsWith" dxfId="6344" priority="2570" stopIfTrue="1" operator="beginsWith" text="Not Functioning">
      <formula>LEFT(D77,LEN("Not Functioning"))="Not Functioning"</formula>
    </cfRule>
    <cfRule type="containsText" dxfId="6343" priority="2571" operator="containsText" text="Functioning">
      <formula>NOT(ISERROR(SEARCH("Functioning",D77)))</formula>
    </cfRule>
  </conditionalFormatting>
  <conditionalFormatting sqref="B76">
    <cfRule type="beginsWith" dxfId="6342" priority="2566" stopIfTrue="1" operator="beginsWith" text="Functioning At Risk">
      <formula>LEFT(B76,LEN("Functioning At Risk"))="Functioning At Risk"</formula>
    </cfRule>
    <cfRule type="beginsWith" dxfId="6341" priority="2567" stopIfTrue="1" operator="beginsWith" text="Not Functioning">
      <formula>LEFT(B76,LEN("Not Functioning"))="Not Functioning"</formula>
    </cfRule>
    <cfRule type="containsText" dxfId="6340" priority="2568" operator="containsText" text="Functioning">
      <formula>NOT(ISERROR(SEARCH("Functioning",B76)))</formula>
    </cfRule>
  </conditionalFormatting>
  <conditionalFormatting sqref="B169">
    <cfRule type="beginsWith" dxfId="6339" priority="2425" stopIfTrue="1" operator="beginsWith" text="Functioning At Risk">
      <formula>LEFT(B169,LEN("Functioning At Risk"))="Functioning At Risk"</formula>
    </cfRule>
    <cfRule type="beginsWith" dxfId="6338" priority="2426" stopIfTrue="1" operator="beginsWith" text="Not Functioning">
      <formula>LEFT(B169,LEN("Not Functioning"))="Not Functioning"</formula>
    </cfRule>
    <cfRule type="containsText" dxfId="6337" priority="2427" operator="containsText" text="Functioning">
      <formula>NOT(ISERROR(SEARCH("Functioning",B169)))</formula>
    </cfRule>
  </conditionalFormatting>
  <conditionalFormatting sqref="B52">
    <cfRule type="beginsWith" dxfId="6336" priority="2560" stopIfTrue="1" operator="beginsWith" text="Functioning At Risk">
      <formula>LEFT(B52,LEN("Functioning At Risk"))="Functioning At Risk"</formula>
    </cfRule>
    <cfRule type="beginsWith" dxfId="6335" priority="2561" stopIfTrue="1" operator="beginsWith" text="Not Functioning">
      <formula>LEFT(B52,LEN("Not Functioning"))="Not Functioning"</formula>
    </cfRule>
    <cfRule type="containsText" dxfId="6334" priority="2562" operator="containsText" text="Functioning">
      <formula>NOT(ISERROR(SEARCH("Functioning",B52)))</formula>
    </cfRule>
  </conditionalFormatting>
  <conditionalFormatting sqref="I111:I115 B109:B110 D99 B102 A83:B83 H85:I86 H83:I83 H81:K82 A85:B85 A111:A115 D91:D93 B106:B107 A86 D111:D114 D83:D86 D102:D106">
    <cfRule type="beginsWith" dxfId="6333" priority="2554" stopIfTrue="1" operator="beginsWith" text="Functioning At Risk">
      <formula>LEFT(A81,LEN("Functioning At Risk"))="Functioning At Risk"</formula>
    </cfRule>
    <cfRule type="beginsWith" dxfId="6332" priority="2555" stopIfTrue="1" operator="beginsWith" text="Not Functioning">
      <formula>LEFT(A81,LEN("Not Functioning"))="Not Functioning"</formula>
    </cfRule>
    <cfRule type="containsText" dxfId="6331" priority="2556" operator="containsText" text="Functioning">
      <formula>NOT(ISERROR(SEARCH("Functioning",A81)))</formula>
    </cfRule>
  </conditionalFormatting>
  <conditionalFormatting sqref="D134:D137">
    <cfRule type="beginsWith" dxfId="6330" priority="2494" stopIfTrue="1" operator="beginsWith" text="Functioning At Risk">
      <formula>LEFT(D134,LEN("Functioning At Risk"))="Functioning At Risk"</formula>
    </cfRule>
    <cfRule type="beginsWith" dxfId="6329" priority="2495" stopIfTrue="1" operator="beginsWith" text="Not Functioning">
      <formula>LEFT(D134,LEN("Not Functioning"))="Not Functioning"</formula>
    </cfRule>
    <cfRule type="containsText" dxfId="6328" priority="2496" operator="containsText" text="Functioning">
      <formula>NOT(ISERROR(SEARCH("Functioning",D134)))</formula>
    </cfRule>
  </conditionalFormatting>
  <conditionalFormatting sqref="D94">
    <cfRule type="beginsWith" dxfId="6327" priority="2548" stopIfTrue="1" operator="beginsWith" text="Functioning At Risk">
      <formula>LEFT(D94,LEN("Functioning At Risk"))="Functioning At Risk"</formula>
    </cfRule>
    <cfRule type="beginsWith" dxfId="6326" priority="2549" stopIfTrue="1" operator="beginsWith" text="Not Functioning">
      <formula>LEFT(D94,LEN("Not Functioning"))="Not Functioning"</formula>
    </cfRule>
    <cfRule type="containsText" dxfId="6325" priority="2550" operator="containsText" text="Functioning">
      <formula>NOT(ISERROR(SEARCH("Functioning",D94)))</formula>
    </cfRule>
  </conditionalFormatting>
  <conditionalFormatting sqref="D100">
    <cfRule type="beginsWith" dxfId="6324" priority="2545" stopIfTrue="1" operator="beginsWith" text="Functioning At Risk">
      <formula>LEFT(D100,LEN("Functioning At Risk"))="Functioning At Risk"</formula>
    </cfRule>
    <cfRule type="beginsWith" dxfId="6323" priority="2546" stopIfTrue="1" operator="beginsWith" text="Not Functioning">
      <formula>LEFT(D100,LEN("Not Functioning"))="Not Functioning"</formula>
    </cfRule>
    <cfRule type="containsText" dxfId="6322" priority="2547" operator="containsText" text="Functioning">
      <formula>NOT(ISERROR(SEARCH("Functioning",D100)))</formula>
    </cfRule>
  </conditionalFormatting>
  <conditionalFormatting sqref="D101">
    <cfRule type="beginsWith" dxfId="6321" priority="2542" stopIfTrue="1" operator="beginsWith" text="Functioning At Risk">
      <formula>LEFT(D101,LEN("Functioning At Risk"))="Functioning At Risk"</formula>
    </cfRule>
    <cfRule type="beginsWith" dxfId="6320" priority="2543" stopIfTrue="1" operator="beginsWith" text="Not Functioning">
      <formula>LEFT(D101,LEN("Not Functioning"))="Not Functioning"</formula>
    </cfRule>
    <cfRule type="containsText" dxfId="6319" priority="2544" operator="containsText" text="Functioning">
      <formula>NOT(ISERROR(SEARCH("Functioning",D101)))</formula>
    </cfRule>
  </conditionalFormatting>
  <conditionalFormatting sqref="D95:D98">
    <cfRule type="beginsWith" dxfId="6318" priority="2539" stopIfTrue="1" operator="beginsWith" text="Functioning At Risk">
      <formula>LEFT(D95,LEN("Functioning At Risk"))="Functioning At Risk"</formula>
    </cfRule>
    <cfRule type="beginsWith" dxfId="6317" priority="2540" stopIfTrue="1" operator="beginsWith" text="Not Functioning">
      <formula>LEFT(D95,LEN("Not Functioning"))="Not Functioning"</formula>
    </cfRule>
    <cfRule type="containsText" dxfId="6316" priority="2541" operator="containsText" text="Functioning">
      <formula>NOT(ISERROR(SEARCH("Functioning",D95)))</formula>
    </cfRule>
  </conditionalFormatting>
  <conditionalFormatting sqref="A107">
    <cfRule type="beginsWith" dxfId="6315" priority="2536" stopIfTrue="1" operator="beginsWith" text="Functioning At Risk">
      <formula>LEFT(A107,LEN("Functioning At Risk"))="Functioning At Risk"</formula>
    </cfRule>
    <cfRule type="beginsWith" dxfId="6314" priority="2537" stopIfTrue="1" operator="beginsWith" text="Not Functioning">
      <formula>LEFT(A107,LEN("Not Functioning"))="Not Functioning"</formula>
    </cfRule>
    <cfRule type="containsText" dxfId="6313" priority="2538" operator="containsText" text="Functioning">
      <formula>NOT(ISERROR(SEARCH("Functioning",A107)))</formula>
    </cfRule>
  </conditionalFormatting>
  <conditionalFormatting sqref="H107">
    <cfRule type="beginsWith" dxfId="6312" priority="2533" stopIfTrue="1" operator="beginsWith" text="Functioning At Risk">
      <formula>LEFT(H107,LEN("Functioning At Risk"))="Functioning At Risk"</formula>
    </cfRule>
    <cfRule type="beginsWith" dxfId="6311" priority="2534" stopIfTrue="1" operator="beginsWith" text="Not Functioning">
      <formula>LEFT(H107,LEN("Not Functioning"))="Not Functioning"</formula>
    </cfRule>
    <cfRule type="containsText" dxfId="6310" priority="2535" operator="containsText" text="Functioning">
      <formula>NOT(ISERROR(SEARCH("Functioning",H107)))</formula>
    </cfRule>
  </conditionalFormatting>
  <conditionalFormatting sqref="I107">
    <cfRule type="beginsWith" dxfId="6309" priority="2530" stopIfTrue="1" operator="beginsWith" text="Functioning At Risk">
      <formula>LEFT(I107,LEN("Functioning At Risk"))="Functioning At Risk"</formula>
    </cfRule>
    <cfRule type="beginsWith" dxfId="6308" priority="2531" stopIfTrue="1" operator="beginsWith" text="Not Functioning">
      <formula>LEFT(I107,LEN("Not Functioning"))="Not Functioning"</formula>
    </cfRule>
    <cfRule type="containsText" dxfId="6307" priority="2532" operator="containsText" text="Functioning">
      <formula>NOT(ISERROR(SEARCH("Functioning",I107)))</formula>
    </cfRule>
  </conditionalFormatting>
  <conditionalFormatting sqref="D115">
    <cfRule type="beginsWith" dxfId="6306" priority="2527" stopIfTrue="1" operator="beginsWith" text="Functioning At Risk">
      <formula>LEFT(D115,LEN("Functioning At Risk"))="Functioning At Risk"</formula>
    </cfRule>
    <cfRule type="beginsWith" dxfId="6305" priority="2528" stopIfTrue="1" operator="beginsWith" text="Not Functioning">
      <formula>LEFT(D115,LEN("Not Functioning"))="Not Functioning"</formula>
    </cfRule>
    <cfRule type="containsText" dxfId="6304" priority="2529" operator="containsText" text="Functioning">
      <formula>NOT(ISERROR(SEARCH("Functioning",D115)))</formula>
    </cfRule>
  </conditionalFormatting>
  <conditionalFormatting sqref="D116">
    <cfRule type="beginsWith" dxfId="6303" priority="2524" stopIfTrue="1" operator="beginsWith" text="Functioning At Risk">
      <formula>LEFT(D116,LEN("Functioning At Risk"))="Functioning At Risk"</formula>
    </cfRule>
    <cfRule type="beginsWith" dxfId="6302" priority="2525" stopIfTrue="1" operator="beginsWith" text="Not Functioning">
      <formula>LEFT(D116,LEN("Not Functioning"))="Not Functioning"</formula>
    </cfRule>
    <cfRule type="containsText" dxfId="6301" priority="2526" operator="containsText" text="Functioning">
      <formula>NOT(ISERROR(SEARCH("Functioning",D116)))</formula>
    </cfRule>
  </conditionalFormatting>
  <conditionalFormatting sqref="B115">
    <cfRule type="beginsWith" dxfId="6300" priority="2521" stopIfTrue="1" operator="beginsWith" text="Functioning At Risk">
      <formula>LEFT(B115,LEN("Functioning At Risk"))="Functioning At Risk"</formula>
    </cfRule>
    <cfRule type="beginsWith" dxfId="6299" priority="2522" stopIfTrue="1" operator="beginsWith" text="Not Functioning">
      <formula>LEFT(B115,LEN("Not Functioning"))="Not Functioning"</formula>
    </cfRule>
    <cfRule type="containsText" dxfId="6298" priority="2523" operator="containsText" text="Functioning">
      <formula>NOT(ISERROR(SEARCH("Functioning",B115)))</formula>
    </cfRule>
  </conditionalFormatting>
  <conditionalFormatting sqref="B91">
    <cfRule type="beginsWith" dxfId="6297" priority="2515" stopIfTrue="1" operator="beginsWith" text="Functioning At Risk">
      <formula>LEFT(B91,LEN("Functioning At Risk"))="Functioning At Risk"</formula>
    </cfRule>
    <cfRule type="beginsWith" dxfId="6296" priority="2516" stopIfTrue="1" operator="beginsWith" text="Not Functioning">
      <formula>LEFT(B91,LEN("Not Functioning"))="Not Functioning"</formula>
    </cfRule>
    <cfRule type="containsText" dxfId="6295" priority="2517" operator="containsText" text="Functioning">
      <formula>NOT(ISERROR(SEARCH("Functioning",B91)))</formula>
    </cfRule>
  </conditionalFormatting>
  <conditionalFormatting sqref="I150:I154 B148:B149 D138 B141 A122:B122 H124:I125 H122:I122 H120:K121 A124:B124 A150:A154 D130:D132 B145:B146 A125 D150:D153 D122:D125 D141:D145">
    <cfRule type="beginsWith" dxfId="6294" priority="2509" stopIfTrue="1" operator="beginsWith" text="Functioning At Risk">
      <formula>LEFT(A120,LEN("Functioning At Risk"))="Functioning At Risk"</formula>
    </cfRule>
    <cfRule type="beginsWith" dxfId="6293" priority="2510" stopIfTrue="1" operator="beginsWith" text="Not Functioning">
      <formula>LEFT(A120,LEN("Not Functioning"))="Not Functioning"</formula>
    </cfRule>
    <cfRule type="containsText" dxfId="6292" priority="2511" operator="containsText" text="Functioning">
      <formula>NOT(ISERROR(SEARCH("Functioning",A120)))</formula>
    </cfRule>
  </conditionalFormatting>
  <conditionalFormatting sqref="D133">
    <cfRule type="beginsWith" dxfId="6291" priority="2503" stopIfTrue="1" operator="beginsWith" text="Functioning At Risk">
      <formula>LEFT(D133,LEN("Functioning At Risk"))="Functioning At Risk"</formula>
    </cfRule>
    <cfRule type="beginsWith" dxfId="6290" priority="2504" stopIfTrue="1" operator="beginsWith" text="Not Functioning">
      <formula>LEFT(D133,LEN("Not Functioning"))="Not Functioning"</formula>
    </cfRule>
    <cfRule type="containsText" dxfId="6289" priority="2505" operator="containsText" text="Functioning">
      <formula>NOT(ISERROR(SEARCH("Functioning",D133)))</formula>
    </cfRule>
  </conditionalFormatting>
  <conditionalFormatting sqref="D139">
    <cfRule type="beginsWith" dxfId="6288" priority="2500" stopIfTrue="1" operator="beginsWith" text="Functioning At Risk">
      <formula>LEFT(D139,LEN("Functioning At Risk"))="Functioning At Risk"</formula>
    </cfRule>
    <cfRule type="beginsWith" dxfId="6287" priority="2501" stopIfTrue="1" operator="beginsWith" text="Not Functioning">
      <formula>LEFT(D139,LEN("Not Functioning"))="Not Functioning"</formula>
    </cfRule>
    <cfRule type="containsText" dxfId="6286" priority="2502" operator="containsText" text="Functioning">
      <formula>NOT(ISERROR(SEARCH("Functioning",D139)))</formula>
    </cfRule>
  </conditionalFormatting>
  <conditionalFormatting sqref="D140">
    <cfRule type="beginsWith" dxfId="6285" priority="2497" stopIfTrue="1" operator="beginsWith" text="Functioning At Risk">
      <formula>LEFT(D140,LEN("Functioning At Risk"))="Functioning At Risk"</formula>
    </cfRule>
    <cfRule type="beginsWith" dxfId="6284" priority="2498" stopIfTrue="1" operator="beginsWith" text="Not Functioning">
      <formula>LEFT(D140,LEN("Not Functioning"))="Not Functioning"</formula>
    </cfRule>
    <cfRule type="containsText" dxfId="6283" priority="2499" operator="containsText" text="Functioning">
      <formula>NOT(ISERROR(SEARCH("Functioning",D140)))</formula>
    </cfRule>
  </conditionalFormatting>
  <conditionalFormatting sqref="B208">
    <cfRule type="beginsWith" dxfId="6282" priority="2380" stopIfTrue="1" operator="beginsWith" text="Functioning At Risk">
      <formula>LEFT(B208,LEN("Functioning At Risk"))="Functioning At Risk"</formula>
    </cfRule>
    <cfRule type="beginsWith" dxfId="6281" priority="2381" stopIfTrue="1" operator="beginsWith" text="Not Functioning">
      <formula>LEFT(B208,LEN("Not Functioning"))="Not Functioning"</formula>
    </cfRule>
    <cfRule type="containsText" dxfId="6280" priority="2382" operator="containsText" text="Functioning">
      <formula>NOT(ISERROR(SEARCH("Functioning",B208)))</formula>
    </cfRule>
  </conditionalFormatting>
  <conditionalFormatting sqref="A146">
    <cfRule type="beginsWith" dxfId="6279" priority="2491" stopIfTrue="1" operator="beginsWith" text="Functioning At Risk">
      <formula>LEFT(A146,LEN("Functioning At Risk"))="Functioning At Risk"</formula>
    </cfRule>
    <cfRule type="beginsWith" dxfId="6278" priority="2492" stopIfTrue="1" operator="beginsWith" text="Not Functioning">
      <formula>LEFT(A146,LEN("Not Functioning"))="Not Functioning"</formula>
    </cfRule>
    <cfRule type="containsText" dxfId="6277" priority="2493" operator="containsText" text="Functioning">
      <formula>NOT(ISERROR(SEARCH("Functioning",A146)))</formula>
    </cfRule>
  </conditionalFormatting>
  <conditionalFormatting sqref="H146">
    <cfRule type="beginsWith" dxfId="6276" priority="2488" stopIfTrue="1" operator="beginsWith" text="Functioning At Risk">
      <formula>LEFT(H146,LEN("Functioning At Risk"))="Functioning At Risk"</formula>
    </cfRule>
    <cfRule type="beginsWith" dxfId="6275" priority="2489" stopIfTrue="1" operator="beginsWith" text="Not Functioning">
      <formula>LEFT(H146,LEN("Not Functioning"))="Not Functioning"</formula>
    </cfRule>
    <cfRule type="containsText" dxfId="6274" priority="2490" operator="containsText" text="Functioning">
      <formula>NOT(ISERROR(SEARCH("Functioning",H146)))</formula>
    </cfRule>
  </conditionalFormatting>
  <conditionalFormatting sqref="I146">
    <cfRule type="beginsWith" dxfId="6273" priority="2485" stopIfTrue="1" operator="beginsWith" text="Functioning At Risk">
      <formula>LEFT(I146,LEN("Functioning At Risk"))="Functioning At Risk"</formula>
    </cfRule>
    <cfRule type="beginsWith" dxfId="6272" priority="2486" stopIfTrue="1" operator="beginsWith" text="Not Functioning">
      <formula>LEFT(I146,LEN("Not Functioning"))="Not Functioning"</formula>
    </cfRule>
    <cfRule type="containsText" dxfId="6271" priority="2487" operator="containsText" text="Functioning">
      <formula>NOT(ISERROR(SEARCH("Functioning",I146)))</formula>
    </cfRule>
  </conditionalFormatting>
  <conditionalFormatting sqref="D154">
    <cfRule type="beginsWith" dxfId="6270" priority="2482" stopIfTrue="1" operator="beginsWith" text="Functioning At Risk">
      <formula>LEFT(D154,LEN("Functioning At Risk"))="Functioning At Risk"</formula>
    </cfRule>
    <cfRule type="beginsWith" dxfId="6269" priority="2483" stopIfTrue="1" operator="beginsWith" text="Not Functioning">
      <formula>LEFT(D154,LEN("Not Functioning"))="Not Functioning"</formula>
    </cfRule>
    <cfRule type="containsText" dxfId="6268" priority="2484" operator="containsText" text="Functioning">
      <formula>NOT(ISERROR(SEARCH("Functioning",D154)))</formula>
    </cfRule>
  </conditionalFormatting>
  <conditionalFormatting sqref="D155">
    <cfRule type="beginsWith" dxfId="6267" priority="2479" stopIfTrue="1" operator="beginsWith" text="Functioning At Risk">
      <formula>LEFT(D155,LEN("Functioning At Risk"))="Functioning At Risk"</formula>
    </cfRule>
    <cfRule type="beginsWith" dxfId="6266" priority="2480" stopIfTrue="1" operator="beginsWith" text="Not Functioning">
      <formula>LEFT(D155,LEN("Not Functioning"))="Not Functioning"</formula>
    </cfRule>
    <cfRule type="containsText" dxfId="6265" priority="2481" operator="containsText" text="Functioning">
      <formula>NOT(ISERROR(SEARCH("Functioning",D155)))</formula>
    </cfRule>
  </conditionalFormatting>
  <conditionalFormatting sqref="B154">
    <cfRule type="beginsWith" dxfId="6264" priority="2476" stopIfTrue="1" operator="beginsWith" text="Functioning At Risk">
      <formula>LEFT(B154,LEN("Functioning At Risk"))="Functioning At Risk"</formula>
    </cfRule>
    <cfRule type="beginsWith" dxfId="6263" priority="2477" stopIfTrue="1" operator="beginsWith" text="Not Functioning">
      <formula>LEFT(B154,LEN("Not Functioning"))="Not Functioning"</formula>
    </cfRule>
    <cfRule type="containsText" dxfId="6262" priority="2478" operator="containsText" text="Functioning">
      <formula>NOT(ISERROR(SEARCH("Functioning",B154)))</formula>
    </cfRule>
  </conditionalFormatting>
  <conditionalFormatting sqref="B130">
    <cfRule type="beginsWith" dxfId="6261" priority="2470" stopIfTrue="1" operator="beginsWith" text="Functioning At Risk">
      <formula>LEFT(B130,LEN("Functioning At Risk"))="Functioning At Risk"</formula>
    </cfRule>
    <cfRule type="beginsWith" dxfId="6260" priority="2471" stopIfTrue="1" operator="beginsWith" text="Not Functioning">
      <formula>LEFT(B130,LEN("Not Functioning"))="Not Functioning"</formula>
    </cfRule>
    <cfRule type="containsText" dxfId="6259" priority="2472" operator="containsText" text="Functioning">
      <formula>NOT(ISERROR(SEARCH("Functioning",B130)))</formula>
    </cfRule>
  </conditionalFormatting>
  <conditionalFormatting sqref="I189:I193 B187:B188 D177 B180 A161:B161 H163:I164 H161:I161 H159:K160 A163:B163 A189:A193 D169:D171 B184:B185 A164 D189:D192 D161:D164 D180:D184">
    <cfRule type="beginsWith" dxfId="6258" priority="2464" stopIfTrue="1" operator="beginsWith" text="Functioning At Risk">
      <formula>LEFT(A159,LEN("Functioning At Risk"))="Functioning At Risk"</formula>
    </cfRule>
    <cfRule type="beginsWith" dxfId="6257" priority="2465" stopIfTrue="1" operator="beginsWith" text="Not Functioning">
      <formula>LEFT(A159,LEN("Not Functioning"))="Not Functioning"</formula>
    </cfRule>
    <cfRule type="containsText" dxfId="6256" priority="2466" operator="containsText" text="Functioning">
      <formula>NOT(ISERROR(SEARCH("Functioning",A159)))</formula>
    </cfRule>
  </conditionalFormatting>
  <conditionalFormatting sqref="D172">
    <cfRule type="beginsWith" dxfId="6255" priority="2458" stopIfTrue="1" operator="beginsWith" text="Functioning At Risk">
      <formula>LEFT(D172,LEN("Functioning At Risk"))="Functioning At Risk"</formula>
    </cfRule>
    <cfRule type="beginsWith" dxfId="6254" priority="2459" stopIfTrue="1" operator="beginsWith" text="Not Functioning">
      <formula>LEFT(D172,LEN("Not Functioning"))="Not Functioning"</formula>
    </cfRule>
    <cfRule type="containsText" dxfId="6253" priority="2460" operator="containsText" text="Functioning">
      <formula>NOT(ISERROR(SEARCH("Functioning",D172)))</formula>
    </cfRule>
  </conditionalFormatting>
  <conditionalFormatting sqref="D178">
    <cfRule type="beginsWith" dxfId="6252" priority="2455" stopIfTrue="1" operator="beginsWith" text="Functioning At Risk">
      <formula>LEFT(D178,LEN("Functioning At Risk"))="Functioning At Risk"</formula>
    </cfRule>
    <cfRule type="beginsWith" dxfId="6251" priority="2456" stopIfTrue="1" operator="beginsWith" text="Not Functioning">
      <formula>LEFT(D178,LEN("Not Functioning"))="Not Functioning"</formula>
    </cfRule>
    <cfRule type="containsText" dxfId="6250" priority="2457" operator="containsText" text="Functioning">
      <formula>NOT(ISERROR(SEARCH("Functioning",D178)))</formula>
    </cfRule>
  </conditionalFormatting>
  <conditionalFormatting sqref="D179">
    <cfRule type="beginsWith" dxfId="6249" priority="2452" stopIfTrue="1" operator="beginsWith" text="Functioning At Risk">
      <formula>LEFT(D179,LEN("Functioning At Risk"))="Functioning At Risk"</formula>
    </cfRule>
    <cfRule type="beginsWith" dxfId="6248" priority="2453" stopIfTrue="1" operator="beginsWith" text="Not Functioning">
      <formula>LEFT(D179,LEN("Not Functioning"))="Not Functioning"</formula>
    </cfRule>
    <cfRule type="containsText" dxfId="6247" priority="2454" operator="containsText" text="Functioning">
      <formula>NOT(ISERROR(SEARCH("Functioning",D179)))</formula>
    </cfRule>
  </conditionalFormatting>
  <conditionalFormatting sqref="D173:D176">
    <cfRule type="beginsWith" dxfId="6246" priority="2449" stopIfTrue="1" operator="beginsWith" text="Functioning At Risk">
      <formula>LEFT(D173,LEN("Functioning At Risk"))="Functioning At Risk"</formula>
    </cfRule>
    <cfRule type="beginsWith" dxfId="6245" priority="2450" stopIfTrue="1" operator="beginsWith" text="Not Functioning">
      <formula>LEFT(D173,LEN("Not Functioning"))="Not Functioning"</formula>
    </cfRule>
    <cfRule type="containsText" dxfId="6244" priority="2451" operator="containsText" text="Functioning">
      <formula>NOT(ISERROR(SEARCH("Functioning",D173)))</formula>
    </cfRule>
  </conditionalFormatting>
  <conditionalFormatting sqref="H185">
    <cfRule type="beginsWith" dxfId="6243" priority="2443" stopIfTrue="1" operator="beginsWith" text="Functioning At Risk">
      <formula>LEFT(H185,LEN("Functioning At Risk"))="Functioning At Risk"</formula>
    </cfRule>
    <cfRule type="beginsWith" dxfId="6242" priority="2444" stopIfTrue="1" operator="beginsWith" text="Not Functioning">
      <formula>LEFT(H185,LEN("Not Functioning"))="Not Functioning"</formula>
    </cfRule>
    <cfRule type="containsText" dxfId="6241" priority="2445" operator="containsText" text="Functioning">
      <formula>NOT(ISERROR(SEARCH("Functioning",H185)))</formula>
    </cfRule>
  </conditionalFormatting>
  <conditionalFormatting sqref="I185">
    <cfRule type="beginsWith" dxfId="6240" priority="2440" stopIfTrue="1" operator="beginsWith" text="Functioning At Risk">
      <formula>LEFT(I185,LEN("Functioning At Risk"))="Functioning At Risk"</formula>
    </cfRule>
    <cfRule type="beginsWith" dxfId="6239" priority="2441" stopIfTrue="1" operator="beginsWith" text="Not Functioning">
      <formula>LEFT(I185,LEN("Not Functioning"))="Not Functioning"</formula>
    </cfRule>
    <cfRule type="containsText" dxfId="6238" priority="2442" operator="containsText" text="Functioning">
      <formula>NOT(ISERROR(SEARCH("Functioning",I185)))</formula>
    </cfRule>
  </conditionalFormatting>
  <conditionalFormatting sqref="D193">
    <cfRule type="beginsWith" dxfId="6237" priority="2437" stopIfTrue="1" operator="beginsWith" text="Functioning At Risk">
      <formula>LEFT(D193,LEN("Functioning At Risk"))="Functioning At Risk"</formula>
    </cfRule>
    <cfRule type="beginsWith" dxfId="6236" priority="2438" stopIfTrue="1" operator="beginsWith" text="Not Functioning">
      <formula>LEFT(D193,LEN("Not Functioning"))="Not Functioning"</formula>
    </cfRule>
    <cfRule type="containsText" dxfId="6235" priority="2439" operator="containsText" text="Functioning">
      <formula>NOT(ISERROR(SEARCH("Functioning",D193)))</formula>
    </cfRule>
  </conditionalFormatting>
  <conditionalFormatting sqref="D194">
    <cfRule type="beginsWith" dxfId="6234" priority="2434" stopIfTrue="1" operator="beginsWith" text="Functioning At Risk">
      <formula>LEFT(D194,LEN("Functioning At Risk"))="Functioning At Risk"</formula>
    </cfRule>
    <cfRule type="beginsWith" dxfId="6233" priority="2435" stopIfTrue="1" operator="beginsWith" text="Not Functioning">
      <formula>LEFT(D194,LEN("Not Functioning"))="Not Functioning"</formula>
    </cfRule>
    <cfRule type="containsText" dxfId="6232" priority="2436" operator="containsText" text="Functioning">
      <formula>NOT(ISERROR(SEARCH("Functioning",D194)))</formula>
    </cfRule>
  </conditionalFormatting>
  <conditionalFormatting sqref="B193">
    <cfRule type="beginsWith" dxfId="6231" priority="2431" stopIfTrue="1" operator="beginsWith" text="Functioning At Risk">
      <formula>LEFT(B193,LEN("Functioning At Risk"))="Functioning At Risk"</formula>
    </cfRule>
    <cfRule type="beginsWith" dxfId="6230" priority="2432" stopIfTrue="1" operator="beginsWith" text="Not Functioning">
      <formula>LEFT(B193,LEN("Not Functioning"))="Not Functioning"</formula>
    </cfRule>
    <cfRule type="containsText" dxfId="6229" priority="2433" operator="containsText" text="Functioning">
      <formula>NOT(ISERROR(SEARCH("Functioning",B193)))</formula>
    </cfRule>
  </conditionalFormatting>
  <conditionalFormatting sqref="I228:I232 B226:B227 D216 B219 A200:B200 H202:I203 H200:I200 H198:K199 A202:B202 A228:A232 D208:D210 B223:B224 A203 D228:D231 D200:D203 D219:D223">
    <cfRule type="beginsWith" dxfId="6228" priority="2419" stopIfTrue="1" operator="beginsWith" text="Functioning At Risk">
      <formula>LEFT(A198,LEN("Functioning At Risk"))="Functioning At Risk"</formula>
    </cfRule>
    <cfRule type="beginsWith" dxfId="6227" priority="2420" stopIfTrue="1" operator="beginsWith" text="Not Functioning">
      <formula>LEFT(A198,LEN("Not Functioning"))="Not Functioning"</formula>
    </cfRule>
    <cfRule type="containsText" dxfId="6226" priority="2421" operator="containsText" text="Functioning">
      <formula>NOT(ISERROR(SEARCH("Functioning",A198)))</formula>
    </cfRule>
  </conditionalFormatting>
  <conditionalFormatting sqref="D312">
    <cfRule type="beginsWith" dxfId="6225" priority="2302" stopIfTrue="1" operator="beginsWith" text="Functioning At Risk">
      <formula>LEFT(D312,LEN("Functioning At Risk"))="Functioning At Risk"</formula>
    </cfRule>
    <cfRule type="beginsWith" dxfId="6224" priority="2303" stopIfTrue="1" operator="beginsWith" text="Not Functioning">
      <formula>LEFT(D312,LEN("Not Functioning"))="Not Functioning"</formula>
    </cfRule>
    <cfRule type="containsText" dxfId="6223" priority="2304" operator="containsText" text="Functioning">
      <formula>NOT(ISERROR(SEARCH("Functioning",D312)))</formula>
    </cfRule>
  </conditionalFormatting>
  <conditionalFormatting sqref="D211">
    <cfRule type="beginsWith" dxfId="6222" priority="2413" stopIfTrue="1" operator="beginsWith" text="Functioning At Risk">
      <formula>LEFT(D211,LEN("Functioning At Risk"))="Functioning At Risk"</formula>
    </cfRule>
    <cfRule type="beginsWith" dxfId="6221" priority="2414" stopIfTrue="1" operator="beginsWith" text="Not Functioning">
      <formula>LEFT(D211,LEN("Not Functioning"))="Not Functioning"</formula>
    </cfRule>
    <cfRule type="containsText" dxfId="6220" priority="2415" operator="containsText" text="Functioning">
      <formula>NOT(ISERROR(SEARCH("Functioning",D211)))</formula>
    </cfRule>
  </conditionalFormatting>
  <conditionalFormatting sqref="D217">
    <cfRule type="beginsWith" dxfId="6219" priority="2410" stopIfTrue="1" operator="beginsWith" text="Functioning At Risk">
      <formula>LEFT(D217,LEN("Functioning At Risk"))="Functioning At Risk"</formula>
    </cfRule>
    <cfRule type="beginsWith" dxfId="6218" priority="2411" stopIfTrue="1" operator="beginsWith" text="Not Functioning">
      <formula>LEFT(D217,LEN("Not Functioning"))="Not Functioning"</formula>
    </cfRule>
    <cfRule type="containsText" dxfId="6217" priority="2412" operator="containsText" text="Functioning">
      <formula>NOT(ISERROR(SEARCH("Functioning",D217)))</formula>
    </cfRule>
  </conditionalFormatting>
  <conditionalFormatting sqref="D218">
    <cfRule type="beginsWith" dxfId="6216" priority="2407" stopIfTrue="1" operator="beginsWith" text="Functioning At Risk">
      <formula>LEFT(D218,LEN("Functioning At Risk"))="Functioning At Risk"</formula>
    </cfRule>
    <cfRule type="beginsWith" dxfId="6215" priority="2408" stopIfTrue="1" operator="beginsWith" text="Not Functioning">
      <formula>LEFT(D218,LEN("Not Functioning"))="Not Functioning"</formula>
    </cfRule>
    <cfRule type="containsText" dxfId="6214" priority="2409" operator="containsText" text="Functioning">
      <formula>NOT(ISERROR(SEARCH("Functioning",D218)))</formula>
    </cfRule>
  </conditionalFormatting>
  <conditionalFormatting sqref="D212:D215">
    <cfRule type="beginsWith" dxfId="6213" priority="2404" stopIfTrue="1" operator="beginsWith" text="Functioning At Risk">
      <formula>LEFT(D212,LEN("Functioning At Risk"))="Functioning At Risk"</formula>
    </cfRule>
    <cfRule type="beginsWith" dxfId="6212" priority="2405" stopIfTrue="1" operator="beginsWith" text="Not Functioning">
      <formula>LEFT(D212,LEN("Not Functioning"))="Not Functioning"</formula>
    </cfRule>
    <cfRule type="containsText" dxfId="6211" priority="2406" operator="containsText" text="Functioning">
      <formula>NOT(ISERROR(SEARCH("Functioning",D212)))</formula>
    </cfRule>
  </conditionalFormatting>
  <conditionalFormatting sqref="A224">
    <cfRule type="beginsWith" dxfId="6210" priority="2401" stopIfTrue="1" operator="beginsWith" text="Functioning At Risk">
      <formula>LEFT(A224,LEN("Functioning At Risk"))="Functioning At Risk"</formula>
    </cfRule>
    <cfRule type="beginsWith" dxfId="6209" priority="2402" stopIfTrue="1" operator="beginsWith" text="Not Functioning">
      <formula>LEFT(A224,LEN("Not Functioning"))="Not Functioning"</formula>
    </cfRule>
    <cfRule type="containsText" dxfId="6208" priority="2403" operator="containsText" text="Functioning">
      <formula>NOT(ISERROR(SEARCH("Functioning",A224)))</formula>
    </cfRule>
  </conditionalFormatting>
  <conditionalFormatting sqref="H224">
    <cfRule type="beginsWith" dxfId="6207" priority="2398" stopIfTrue="1" operator="beginsWith" text="Functioning At Risk">
      <formula>LEFT(H224,LEN("Functioning At Risk"))="Functioning At Risk"</formula>
    </cfRule>
    <cfRule type="beginsWith" dxfId="6206" priority="2399" stopIfTrue="1" operator="beginsWith" text="Not Functioning">
      <formula>LEFT(H224,LEN("Not Functioning"))="Not Functioning"</formula>
    </cfRule>
    <cfRule type="containsText" dxfId="6205" priority="2400" operator="containsText" text="Functioning">
      <formula>NOT(ISERROR(SEARCH("Functioning",H224)))</formula>
    </cfRule>
  </conditionalFormatting>
  <conditionalFormatting sqref="I224">
    <cfRule type="beginsWith" dxfId="6204" priority="2395" stopIfTrue="1" operator="beginsWith" text="Functioning At Risk">
      <formula>LEFT(I224,LEN("Functioning At Risk"))="Functioning At Risk"</formula>
    </cfRule>
    <cfRule type="beginsWith" dxfId="6203" priority="2396" stopIfTrue="1" operator="beginsWith" text="Not Functioning">
      <formula>LEFT(I224,LEN("Not Functioning"))="Not Functioning"</formula>
    </cfRule>
    <cfRule type="containsText" dxfId="6202" priority="2397" operator="containsText" text="Functioning">
      <formula>NOT(ISERROR(SEARCH("Functioning",I224)))</formula>
    </cfRule>
  </conditionalFormatting>
  <conditionalFormatting sqref="D232">
    <cfRule type="beginsWith" dxfId="6201" priority="2392" stopIfTrue="1" operator="beginsWith" text="Functioning At Risk">
      <formula>LEFT(D232,LEN("Functioning At Risk"))="Functioning At Risk"</formula>
    </cfRule>
    <cfRule type="beginsWith" dxfId="6200" priority="2393" stopIfTrue="1" operator="beginsWith" text="Not Functioning">
      <formula>LEFT(D232,LEN("Not Functioning"))="Not Functioning"</formula>
    </cfRule>
    <cfRule type="containsText" dxfId="6199" priority="2394" operator="containsText" text="Functioning">
      <formula>NOT(ISERROR(SEARCH("Functioning",D232)))</formula>
    </cfRule>
  </conditionalFormatting>
  <conditionalFormatting sqref="D233">
    <cfRule type="beginsWith" dxfId="6198" priority="2389" stopIfTrue="1" operator="beginsWith" text="Functioning At Risk">
      <formula>LEFT(D233,LEN("Functioning At Risk"))="Functioning At Risk"</formula>
    </cfRule>
    <cfRule type="beginsWith" dxfId="6197" priority="2390" stopIfTrue="1" operator="beginsWith" text="Not Functioning">
      <formula>LEFT(D233,LEN("Not Functioning"))="Not Functioning"</formula>
    </cfRule>
    <cfRule type="containsText" dxfId="6196" priority="2391" operator="containsText" text="Functioning">
      <formula>NOT(ISERROR(SEARCH("Functioning",D233)))</formula>
    </cfRule>
  </conditionalFormatting>
  <conditionalFormatting sqref="B232">
    <cfRule type="beginsWith" dxfId="6195" priority="2386" stopIfTrue="1" operator="beginsWith" text="Functioning At Risk">
      <formula>LEFT(B232,LEN("Functioning At Risk"))="Functioning At Risk"</formula>
    </cfRule>
    <cfRule type="beginsWith" dxfId="6194" priority="2387" stopIfTrue="1" operator="beginsWith" text="Not Functioning">
      <formula>LEFT(B232,LEN("Not Functioning"))="Not Functioning"</formula>
    </cfRule>
    <cfRule type="containsText" dxfId="6193" priority="2388" operator="containsText" text="Functioning">
      <formula>NOT(ISERROR(SEARCH("Functioning",B232)))</formula>
    </cfRule>
  </conditionalFormatting>
  <conditionalFormatting sqref="D313">
    <cfRule type="beginsWith" dxfId="6192" priority="2299" stopIfTrue="1" operator="beginsWith" text="Functioning At Risk">
      <formula>LEFT(D313,LEN("Functioning At Risk"))="Functioning At Risk"</formula>
    </cfRule>
    <cfRule type="beginsWith" dxfId="6191" priority="2300" stopIfTrue="1" operator="beginsWith" text="Not Functioning">
      <formula>LEFT(D313,LEN("Not Functioning"))="Not Functioning"</formula>
    </cfRule>
    <cfRule type="containsText" dxfId="6190" priority="2301" operator="containsText" text="Functioning">
      <formula>NOT(ISERROR(SEARCH("Functioning",D313)))</formula>
    </cfRule>
  </conditionalFormatting>
  <conditionalFormatting sqref="B312">
    <cfRule type="beginsWith" dxfId="6189" priority="2296" stopIfTrue="1" operator="beginsWith" text="Functioning At Risk">
      <formula>LEFT(B312,LEN("Functioning At Risk"))="Functioning At Risk"</formula>
    </cfRule>
    <cfRule type="beginsWith" dxfId="6188" priority="2297" stopIfTrue="1" operator="beginsWith" text="Not Functioning">
      <formula>LEFT(B312,LEN("Not Functioning"))="Not Functioning"</formula>
    </cfRule>
    <cfRule type="containsText" dxfId="6187" priority="2298" operator="containsText" text="Functioning">
      <formula>NOT(ISERROR(SEARCH("Functioning",B312)))</formula>
    </cfRule>
  </conditionalFormatting>
  <conditionalFormatting sqref="I268:I272 B266:B267 D256 B259 A240:B240 H242:I243 H240:I240 H238:K239 A242:B242 A268:A272 D248:D250 B263:B264 A243 D268:D271 D240:D243 D259:D263">
    <cfRule type="beginsWith" dxfId="6186" priority="2374" stopIfTrue="1" operator="beginsWith" text="Functioning At Risk">
      <formula>LEFT(A238,LEN("Functioning At Risk"))="Functioning At Risk"</formula>
    </cfRule>
    <cfRule type="beginsWith" dxfId="6185" priority="2375" stopIfTrue="1" operator="beginsWith" text="Not Functioning">
      <formula>LEFT(A238,LEN("Not Functioning"))="Not Functioning"</formula>
    </cfRule>
    <cfRule type="containsText" dxfId="6184" priority="2376" operator="containsText" text="Functioning">
      <formula>NOT(ISERROR(SEARCH("Functioning",A238)))</formula>
    </cfRule>
  </conditionalFormatting>
  <conditionalFormatting sqref="D251">
    <cfRule type="beginsWith" dxfId="6183" priority="2368" stopIfTrue="1" operator="beginsWith" text="Functioning At Risk">
      <formula>LEFT(D251,LEN("Functioning At Risk"))="Functioning At Risk"</formula>
    </cfRule>
    <cfRule type="beginsWith" dxfId="6182" priority="2369" stopIfTrue="1" operator="beginsWith" text="Not Functioning">
      <formula>LEFT(D251,LEN("Not Functioning"))="Not Functioning"</formula>
    </cfRule>
    <cfRule type="containsText" dxfId="6181" priority="2370" operator="containsText" text="Functioning">
      <formula>NOT(ISERROR(SEARCH("Functioning",D251)))</formula>
    </cfRule>
  </conditionalFormatting>
  <conditionalFormatting sqref="D257">
    <cfRule type="beginsWith" dxfId="6180" priority="2365" stopIfTrue="1" operator="beginsWith" text="Functioning At Risk">
      <formula>LEFT(D257,LEN("Functioning At Risk"))="Functioning At Risk"</formula>
    </cfRule>
    <cfRule type="beginsWith" dxfId="6179" priority="2366" stopIfTrue="1" operator="beginsWith" text="Not Functioning">
      <formula>LEFT(D257,LEN("Not Functioning"))="Not Functioning"</formula>
    </cfRule>
    <cfRule type="containsText" dxfId="6178" priority="2367" operator="containsText" text="Functioning">
      <formula>NOT(ISERROR(SEARCH("Functioning",D257)))</formula>
    </cfRule>
  </conditionalFormatting>
  <conditionalFormatting sqref="D258">
    <cfRule type="beginsWith" dxfId="6177" priority="2362" stopIfTrue="1" operator="beginsWith" text="Functioning At Risk">
      <formula>LEFT(D258,LEN("Functioning At Risk"))="Functioning At Risk"</formula>
    </cfRule>
    <cfRule type="beginsWith" dxfId="6176" priority="2363" stopIfTrue="1" operator="beginsWith" text="Not Functioning">
      <formula>LEFT(D258,LEN("Not Functioning"))="Not Functioning"</formula>
    </cfRule>
    <cfRule type="containsText" dxfId="6175" priority="2364" operator="containsText" text="Functioning">
      <formula>NOT(ISERROR(SEARCH("Functioning",D258)))</formula>
    </cfRule>
  </conditionalFormatting>
  <conditionalFormatting sqref="D252:D255">
    <cfRule type="beginsWith" dxfId="6174" priority="2359" stopIfTrue="1" operator="beginsWith" text="Functioning At Risk">
      <formula>LEFT(D252,LEN("Functioning At Risk"))="Functioning At Risk"</formula>
    </cfRule>
    <cfRule type="beginsWith" dxfId="6173" priority="2360" stopIfTrue="1" operator="beginsWith" text="Not Functioning">
      <formula>LEFT(D252,LEN("Not Functioning"))="Not Functioning"</formula>
    </cfRule>
    <cfRule type="containsText" dxfId="6172" priority="2361" operator="containsText" text="Functioning">
      <formula>NOT(ISERROR(SEARCH("Functioning",D252)))</formula>
    </cfRule>
  </conditionalFormatting>
  <conditionalFormatting sqref="A264">
    <cfRule type="beginsWith" dxfId="6171" priority="2356" stopIfTrue="1" operator="beginsWith" text="Functioning At Risk">
      <formula>LEFT(A264,LEN("Functioning At Risk"))="Functioning At Risk"</formula>
    </cfRule>
    <cfRule type="beginsWith" dxfId="6170" priority="2357" stopIfTrue="1" operator="beginsWith" text="Not Functioning">
      <formula>LEFT(A264,LEN("Not Functioning"))="Not Functioning"</formula>
    </cfRule>
    <cfRule type="containsText" dxfId="6169" priority="2358" operator="containsText" text="Functioning">
      <formula>NOT(ISERROR(SEARCH("Functioning",A264)))</formula>
    </cfRule>
  </conditionalFormatting>
  <conditionalFormatting sqref="H264">
    <cfRule type="beginsWith" dxfId="6168" priority="2353" stopIfTrue="1" operator="beginsWith" text="Functioning At Risk">
      <formula>LEFT(H264,LEN("Functioning At Risk"))="Functioning At Risk"</formula>
    </cfRule>
    <cfRule type="beginsWith" dxfId="6167" priority="2354" stopIfTrue="1" operator="beginsWith" text="Not Functioning">
      <formula>LEFT(H264,LEN("Not Functioning"))="Not Functioning"</formula>
    </cfRule>
    <cfRule type="containsText" dxfId="6166" priority="2355" operator="containsText" text="Functioning">
      <formula>NOT(ISERROR(SEARCH("Functioning",H264)))</formula>
    </cfRule>
  </conditionalFormatting>
  <conditionalFormatting sqref="I264">
    <cfRule type="beginsWith" dxfId="6165" priority="2350" stopIfTrue="1" operator="beginsWith" text="Functioning At Risk">
      <formula>LEFT(I264,LEN("Functioning At Risk"))="Functioning At Risk"</formula>
    </cfRule>
    <cfRule type="beginsWith" dxfId="6164" priority="2351" stopIfTrue="1" operator="beginsWith" text="Not Functioning">
      <formula>LEFT(I264,LEN("Not Functioning"))="Not Functioning"</formula>
    </cfRule>
    <cfRule type="containsText" dxfId="6163" priority="2352" operator="containsText" text="Functioning">
      <formula>NOT(ISERROR(SEARCH("Functioning",I264)))</formula>
    </cfRule>
  </conditionalFormatting>
  <conditionalFormatting sqref="D272">
    <cfRule type="beginsWith" dxfId="6162" priority="2347" stopIfTrue="1" operator="beginsWith" text="Functioning At Risk">
      <formula>LEFT(D272,LEN("Functioning At Risk"))="Functioning At Risk"</formula>
    </cfRule>
    <cfRule type="beginsWith" dxfId="6161" priority="2348" stopIfTrue="1" operator="beginsWith" text="Not Functioning">
      <formula>LEFT(D272,LEN("Not Functioning"))="Not Functioning"</formula>
    </cfRule>
    <cfRule type="containsText" dxfId="6160" priority="2349" operator="containsText" text="Functioning">
      <formula>NOT(ISERROR(SEARCH("Functioning",D272)))</formula>
    </cfRule>
  </conditionalFormatting>
  <conditionalFormatting sqref="D273">
    <cfRule type="beginsWith" dxfId="6159" priority="2344" stopIfTrue="1" operator="beginsWith" text="Functioning At Risk">
      <formula>LEFT(D273,LEN("Functioning At Risk"))="Functioning At Risk"</formula>
    </cfRule>
    <cfRule type="beginsWith" dxfId="6158" priority="2345" stopIfTrue="1" operator="beginsWith" text="Not Functioning">
      <formula>LEFT(D273,LEN("Not Functioning"))="Not Functioning"</formula>
    </cfRule>
    <cfRule type="containsText" dxfId="6157" priority="2346" operator="containsText" text="Functioning">
      <formula>NOT(ISERROR(SEARCH("Functioning",D273)))</formula>
    </cfRule>
  </conditionalFormatting>
  <conditionalFormatting sqref="B272">
    <cfRule type="beginsWith" dxfId="6156" priority="2341" stopIfTrue="1" operator="beginsWith" text="Functioning At Risk">
      <formula>LEFT(B272,LEN("Functioning At Risk"))="Functioning At Risk"</formula>
    </cfRule>
    <cfRule type="beginsWith" dxfId="6155" priority="2342" stopIfTrue="1" operator="beginsWith" text="Not Functioning">
      <formula>LEFT(B272,LEN("Not Functioning"))="Not Functioning"</formula>
    </cfRule>
    <cfRule type="containsText" dxfId="6154" priority="2343" operator="containsText" text="Functioning">
      <formula>NOT(ISERROR(SEARCH("Functioning",B272)))</formula>
    </cfRule>
  </conditionalFormatting>
  <conditionalFormatting sqref="B248">
    <cfRule type="beginsWith" dxfId="6153" priority="2335" stopIfTrue="1" operator="beginsWith" text="Functioning At Risk">
      <formula>LEFT(B248,LEN("Functioning At Risk"))="Functioning At Risk"</formula>
    </cfRule>
    <cfRule type="beginsWith" dxfId="6152" priority="2336" stopIfTrue="1" operator="beginsWith" text="Not Functioning">
      <formula>LEFT(B248,LEN("Not Functioning"))="Not Functioning"</formula>
    </cfRule>
    <cfRule type="containsText" dxfId="6151" priority="2337" operator="containsText" text="Functioning">
      <formula>NOT(ISERROR(SEARCH("Functioning",B248)))</formula>
    </cfRule>
  </conditionalFormatting>
  <conditionalFormatting sqref="I308:I312 B306:B307 D296 B299 A280:B280 H282:I283 H280:I280 H278:K279 A282:B282 A308:A312 D288:D290 B303:B304 A283 D308:D311 D280:D283 D299:D303">
    <cfRule type="beginsWith" dxfId="6150" priority="2329" stopIfTrue="1" operator="beginsWith" text="Functioning At Risk">
      <formula>LEFT(A278,LEN("Functioning At Risk"))="Functioning At Risk"</formula>
    </cfRule>
    <cfRule type="beginsWith" dxfId="6149" priority="2330" stopIfTrue="1" operator="beginsWith" text="Not Functioning">
      <formula>LEFT(A278,LEN("Not Functioning"))="Not Functioning"</formula>
    </cfRule>
    <cfRule type="containsText" dxfId="6148" priority="2331" operator="containsText" text="Functioning">
      <formula>NOT(ISERROR(SEARCH("Functioning",A278)))</formula>
    </cfRule>
  </conditionalFormatting>
  <conditionalFormatting sqref="D291">
    <cfRule type="beginsWith" dxfId="6147" priority="2323" stopIfTrue="1" operator="beginsWith" text="Functioning At Risk">
      <formula>LEFT(D291,LEN("Functioning At Risk"))="Functioning At Risk"</formula>
    </cfRule>
    <cfRule type="beginsWith" dxfId="6146" priority="2324" stopIfTrue="1" operator="beginsWith" text="Not Functioning">
      <formula>LEFT(D291,LEN("Not Functioning"))="Not Functioning"</formula>
    </cfRule>
    <cfRule type="containsText" dxfId="6145" priority="2325" operator="containsText" text="Functioning">
      <formula>NOT(ISERROR(SEARCH("Functioning",D291)))</formula>
    </cfRule>
  </conditionalFormatting>
  <conditionalFormatting sqref="D297">
    <cfRule type="beginsWith" dxfId="6144" priority="2320" stopIfTrue="1" operator="beginsWith" text="Functioning At Risk">
      <formula>LEFT(D297,LEN("Functioning At Risk"))="Functioning At Risk"</formula>
    </cfRule>
    <cfRule type="beginsWith" dxfId="6143" priority="2321" stopIfTrue="1" operator="beginsWith" text="Not Functioning">
      <formula>LEFT(D297,LEN("Not Functioning"))="Not Functioning"</formula>
    </cfRule>
    <cfRule type="containsText" dxfId="6142" priority="2322" operator="containsText" text="Functioning">
      <formula>NOT(ISERROR(SEARCH("Functioning",D297)))</formula>
    </cfRule>
  </conditionalFormatting>
  <conditionalFormatting sqref="D298">
    <cfRule type="beginsWith" dxfId="6141" priority="2317" stopIfTrue="1" operator="beginsWith" text="Functioning At Risk">
      <formula>LEFT(D298,LEN("Functioning At Risk"))="Functioning At Risk"</formula>
    </cfRule>
    <cfRule type="beginsWith" dxfId="6140" priority="2318" stopIfTrue="1" operator="beginsWith" text="Not Functioning">
      <formula>LEFT(D298,LEN("Not Functioning"))="Not Functioning"</formula>
    </cfRule>
    <cfRule type="containsText" dxfId="6139" priority="2319" operator="containsText" text="Functioning">
      <formula>NOT(ISERROR(SEARCH("Functioning",D298)))</formula>
    </cfRule>
  </conditionalFormatting>
  <conditionalFormatting sqref="D292:D295">
    <cfRule type="beginsWith" dxfId="6138" priority="2314" stopIfTrue="1" operator="beginsWith" text="Functioning At Risk">
      <formula>LEFT(D292,LEN("Functioning At Risk"))="Functioning At Risk"</formula>
    </cfRule>
    <cfRule type="beginsWith" dxfId="6137" priority="2315" stopIfTrue="1" operator="beginsWith" text="Not Functioning">
      <formula>LEFT(D292,LEN("Not Functioning"))="Not Functioning"</formula>
    </cfRule>
    <cfRule type="containsText" dxfId="6136" priority="2316" operator="containsText" text="Functioning">
      <formula>NOT(ISERROR(SEARCH("Functioning",D292)))</formula>
    </cfRule>
  </conditionalFormatting>
  <conditionalFormatting sqref="B352">
    <cfRule type="beginsWith" dxfId="6135" priority="2251" stopIfTrue="1" operator="beginsWith" text="Functioning At Risk">
      <formula>LEFT(B352,LEN("Functioning At Risk"))="Functioning At Risk"</formula>
    </cfRule>
    <cfRule type="beginsWith" dxfId="6134" priority="2252" stopIfTrue="1" operator="beginsWith" text="Not Functioning">
      <formula>LEFT(B352,LEN("Not Functioning"))="Not Functioning"</formula>
    </cfRule>
    <cfRule type="containsText" dxfId="6133" priority="2253" operator="containsText" text="Functioning">
      <formula>NOT(ISERROR(SEARCH("Functioning",B352)))</formula>
    </cfRule>
  </conditionalFormatting>
  <conditionalFormatting sqref="A304">
    <cfRule type="beginsWith" dxfId="6132" priority="2311" stopIfTrue="1" operator="beginsWith" text="Functioning At Risk">
      <formula>LEFT(A304,LEN("Functioning At Risk"))="Functioning At Risk"</formula>
    </cfRule>
    <cfRule type="beginsWith" dxfId="6131" priority="2312" stopIfTrue="1" operator="beginsWith" text="Not Functioning">
      <formula>LEFT(A304,LEN("Not Functioning"))="Not Functioning"</formula>
    </cfRule>
    <cfRule type="containsText" dxfId="6130" priority="2313" operator="containsText" text="Functioning">
      <formula>NOT(ISERROR(SEARCH("Functioning",A304)))</formula>
    </cfRule>
  </conditionalFormatting>
  <conditionalFormatting sqref="H304">
    <cfRule type="beginsWith" dxfId="6129" priority="2308" stopIfTrue="1" operator="beginsWith" text="Functioning At Risk">
      <formula>LEFT(H304,LEN("Functioning At Risk"))="Functioning At Risk"</formula>
    </cfRule>
    <cfRule type="beginsWith" dxfId="6128" priority="2309" stopIfTrue="1" operator="beginsWith" text="Not Functioning">
      <formula>LEFT(H304,LEN("Not Functioning"))="Not Functioning"</formula>
    </cfRule>
    <cfRule type="containsText" dxfId="6127" priority="2310" operator="containsText" text="Functioning">
      <formula>NOT(ISERROR(SEARCH("Functioning",H304)))</formula>
    </cfRule>
  </conditionalFormatting>
  <conditionalFormatting sqref="I304">
    <cfRule type="beginsWith" dxfId="6126" priority="2305" stopIfTrue="1" operator="beginsWith" text="Functioning At Risk">
      <formula>LEFT(I304,LEN("Functioning At Risk"))="Functioning At Risk"</formula>
    </cfRule>
    <cfRule type="beginsWith" dxfId="6125" priority="2306" stopIfTrue="1" operator="beginsWith" text="Not Functioning">
      <formula>LEFT(I304,LEN("Not Functioning"))="Not Functioning"</formula>
    </cfRule>
    <cfRule type="containsText" dxfId="6124" priority="2307" operator="containsText" text="Functioning">
      <formula>NOT(ISERROR(SEARCH("Functioning",I304)))</formula>
    </cfRule>
  </conditionalFormatting>
  <conditionalFormatting sqref="B288">
    <cfRule type="beginsWith" dxfId="6123" priority="2290" stopIfTrue="1" operator="beginsWith" text="Functioning At Risk">
      <formula>LEFT(B288,LEN("Functioning At Risk"))="Functioning At Risk"</formula>
    </cfRule>
    <cfRule type="beginsWith" dxfId="6122" priority="2291" stopIfTrue="1" operator="beginsWith" text="Not Functioning">
      <formula>LEFT(B288,LEN("Not Functioning"))="Not Functioning"</formula>
    </cfRule>
    <cfRule type="containsText" dxfId="6121" priority="2292" operator="containsText" text="Functioning">
      <formula>NOT(ISERROR(SEARCH("Functioning",B288)))</formula>
    </cfRule>
  </conditionalFormatting>
  <conditionalFormatting sqref="I348:I352 B346:B347 D336 B339 A320:B320 H322:I323 H320:I320 H318:K319 A322:B322 A348:A352 D328:D330 B343:B344 A323 D348:D351 D320:D323 D339:D343">
    <cfRule type="beginsWith" dxfId="6120" priority="2284" stopIfTrue="1" operator="beginsWith" text="Functioning At Risk">
      <formula>LEFT(A318,LEN("Functioning At Risk"))="Functioning At Risk"</formula>
    </cfRule>
    <cfRule type="beginsWith" dxfId="6119" priority="2285" stopIfTrue="1" operator="beginsWith" text="Not Functioning">
      <formula>LEFT(A318,LEN("Not Functioning"))="Not Functioning"</formula>
    </cfRule>
    <cfRule type="containsText" dxfId="6118" priority="2286" operator="containsText" text="Functioning">
      <formula>NOT(ISERROR(SEARCH("Functioning",A318)))</formula>
    </cfRule>
  </conditionalFormatting>
  <conditionalFormatting sqref="E76 E44:E45 E68">
    <cfRule type="beginsWith" dxfId="6117" priority="2110" stopIfTrue="1" operator="beginsWith" text="Functioning At Risk">
      <formula>LEFT(E44,LEN("Functioning At Risk"))="Functioning At Risk"</formula>
    </cfRule>
    <cfRule type="beginsWith" dxfId="6116" priority="2111" stopIfTrue="1" operator="beginsWith" text="Not Functioning">
      <formula>LEFT(E44,LEN("Not Functioning"))="Not Functioning"</formula>
    </cfRule>
    <cfRule type="containsText" dxfId="6115" priority="2112" operator="containsText" text="Functioning">
      <formula>NOT(ISERROR(SEARCH("Functioning",E44)))</formula>
    </cfRule>
  </conditionalFormatting>
  <conditionalFormatting sqref="D331">
    <cfRule type="beginsWith" dxfId="6114" priority="2278" stopIfTrue="1" operator="beginsWith" text="Functioning At Risk">
      <formula>LEFT(D331,LEN("Functioning At Risk"))="Functioning At Risk"</formula>
    </cfRule>
    <cfRule type="beginsWith" dxfId="6113" priority="2279" stopIfTrue="1" operator="beginsWith" text="Not Functioning">
      <formula>LEFT(D331,LEN("Not Functioning"))="Not Functioning"</formula>
    </cfRule>
    <cfRule type="containsText" dxfId="6112" priority="2280" operator="containsText" text="Functioning">
      <formula>NOT(ISERROR(SEARCH("Functioning",D331)))</formula>
    </cfRule>
  </conditionalFormatting>
  <conditionalFormatting sqref="D337">
    <cfRule type="beginsWith" dxfId="6111" priority="2275" stopIfTrue="1" operator="beginsWith" text="Functioning At Risk">
      <formula>LEFT(D337,LEN("Functioning At Risk"))="Functioning At Risk"</formula>
    </cfRule>
    <cfRule type="beginsWith" dxfId="6110" priority="2276" stopIfTrue="1" operator="beginsWith" text="Not Functioning">
      <formula>LEFT(D337,LEN("Not Functioning"))="Not Functioning"</formula>
    </cfRule>
    <cfRule type="containsText" dxfId="6109" priority="2277" operator="containsText" text="Functioning">
      <formula>NOT(ISERROR(SEARCH("Functioning",D337)))</formula>
    </cfRule>
  </conditionalFormatting>
  <conditionalFormatting sqref="D338">
    <cfRule type="beginsWith" dxfId="6108" priority="2272" stopIfTrue="1" operator="beginsWith" text="Functioning At Risk">
      <formula>LEFT(D338,LEN("Functioning At Risk"))="Functioning At Risk"</formula>
    </cfRule>
    <cfRule type="beginsWith" dxfId="6107" priority="2273" stopIfTrue="1" operator="beginsWith" text="Not Functioning">
      <formula>LEFT(D338,LEN("Not Functioning"))="Not Functioning"</formula>
    </cfRule>
    <cfRule type="containsText" dxfId="6106" priority="2274" operator="containsText" text="Functioning">
      <formula>NOT(ISERROR(SEARCH("Functioning",D338)))</formula>
    </cfRule>
  </conditionalFormatting>
  <conditionalFormatting sqref="D332:D335">
    <cfRule type="beginsWith" dxfId="6105" priority="2269" stopIfTrue="1" operator="beginsWith" text="Functioning At Risk">
      <formula>LEFT(D332,LEN("Functioning At Risk"))="Functioning At Risk"</formula>
    </cfRule>
    <cfRule type="beginsWith" dxfId="6104" priority="2270" stopIfTrue="1" operator="beginsWith" text="Not Functioning">
      <formula>LEFT(D332,LEN("Not Functioning"))="Not Functioning"</formula>
    </cfRule>
    <cfRule type="containsText" dxfId="6103" priority="2271" operator="containsText" text="Functioning">
      <formula>NOT(ISERROR(SEARCH("Functioning",D332)))</formula>
    </cfRule>
  </conditionalFormatting>
  <conditionalFormatting sqref="A344">
    <cfRule type="beginsWith" dxfId="6102" priority="2266" stopIfTrue="1" operator="beginsWith" text="Functioning At Risk">
      <formula>LEFT(A344,LEN("Functioning At Risk"))="Functioning At Risk"</formula>
    </cfRule>
    <cfRule type="beginsWith" dxfId="6101" priority="2267" stopIfTrue="1" operator="beginsWith" text="Not Functioning">
      <formula>LEFT(A344,LEN("Not Functioning"))="Not Functioning"</formula>
    </cfRule>
    <cfRule type="containsText" dxfId="6100" priority="2268" operator="containsText" text="Functioning">
      <formula>NOT(ISERROR(SEARCH("Functioning",A344)))</formula>
    </cfRule>
  </conditionalFormatting>
  <conditionalFormatting sqref="H344">
    <cfRule type="beginsWith" dxfId="6099" priority="2263" stopIfTrue="1" operator="beginsWith" text="Functioning At Risk">
      <formula>LEFT(H344,LEN("Functioning At Risk"))="Functioning At Risk"</formula>
    </cfRule>
    <cfRule type="beginsWith" dxfId="6098" priority="2264" stopIfTrue="1" operator="beginsWith" text="Not Functioning">
      <formula>LEFT(H344,LEN("Not Functioning"))="Not Functioning"</formula>
    </cfRule>
    <cfRule type="containsText" dxfId="6097" priority="2265" operator="containsText" text="Functioning">
      <formula>NOT(ISERROR(SEARCH("Functioning",H344)))</formula>
    </cfRule>
  </conditionalFormatting>
  <conditionalFormatting sqref="I344">
    <cfRule type="beginsWith" dxfId="6096" priority="2260" stopIfTrue="1" operator="beginsWith" text="Functioning At Risk">
      <formula>LEFT(I344,LEN("Functioning At Risk"))="Functioning At Risk"</formula>
    </cfRule>
    <cfRule type="beginsWith" dxfId="6095" priority="2261" stopIfTrue="1" operator="beginsWith" text="Not Functioning">
      <formula>LEFT(I344,LEN("Not Functioning"))="Not Functioning"</formula>
    </cfRule>
    <cfRule type="containsText" dxfId="6094" priority="2262" operator="containsText" text="Functioning">
      <formula>NOT(ISERROR(SEARCH("Functioning",I344)))</formula>
    </cfRule>
  </conditionalFormatting>
  <conditionalFormatting sqref="D352">
    <cfRule type="beginsWith" dxfId="6093" priority="2257" stopIfTrue="1" operator="beginsWith" text="Functioning At Risk">
      <formula>LEFT(D352,LEN("Functioning At Risk"))="Functioning At Risk"</formula>
    </cfRule>
    <cfRule type="beginsWith" dxfId="6092" priority="2258" stopIfTrue="1" operator="beginsWith" text="Not Functioning">
      <formula>LEFT(D352,LEN("Not Functioning"))="Not Functioning"</formula>
    </cfRule>
    <cfRule type="containsText" dxfId="6091" priority="2259" operator="containsText" text="Functioning">
      <formula>NOT(ISERROR(SEARCH("Functioning",D352)))</formula>
    </cfRule>
  </conditionalFormatting>
  <conditionalFormatting sqref="D353">
    <cfRule type="beginsWith" dxfId="6090" priority="2254" stopIfTrue="1" operator="beginsWith" text="Functioning At Risk">
      <formula>LEFT(D353,LEN("Functioning At Risk"))="Functioning At Risk"</formula>
    </cfRule>
    <cfRule type="beginsWith" dxfId="6089" priority="2255" stopIfTrue="1" operator="beginsWith" text="Not Functioning">
      <formula>LEFT(D353,LEN("Not Functioning"))="Not Functioning"</formula>
    </cfRule>
    <cfRule type="containsText" dxfId="6088" priority="2256" operator="containsText" text="Functioning">
      <formula>NOT(ISERROR(SEARCH("Functioning",D353)))</formula>
    </cfRule>
  </conditionalFormatting>
  <conditionalFormatting sqref="B328">
    <cfRule type="beginsWith" dxfId="6087" priority="2245" stopIfTrue="1" operator="beginsWith" text="Functioning At Risk">
      <formula>LEFT(B328,LEN("Functioning At Risk"))="Functioning At Risk"</formula>
    </cfRule>
    <cfRule type="beginsWith" dxfId="6086" priority="2246" stopIfTrue="1" operator="beginsWith" text="Not Functioning">
      <formula>LEFT(B328,LEN("Not Functioning"))="Not Functioning"</formula>
    </cfRule>
    <cfRule type="containsText" dxfId="6085" priority="2247" operator="containsText" text="Functioning">
      <formula>NOT(ISERROR(SEARCH("Functioning",B328)))</formula>
    </cfRule>
  </conditionalFormatting>
  <conditionalFormatting sqref="I388:I392 B386:B387 D376 B379 A360:B360 H362:I363 H360:I360 H358:K359 A362:B362 A388:A392 D368:D370 B383:B384 A363 D388:D391 D360:D363 D379:D383">
    <cfRule type="beginsWith" dxfId="6084" priority="2239" stopIfTrue="1" operator="beginsWith" text="Functioning At Risk">
      <formula>LEFT(A358,LEN("Functioning At Risk"))="Functioning At Risk"</formula>
    </cfRule>
    <cfRule type="beginsWith" dxfId="6083" priority="2240" stopIfTrue="1" operator="beginsWith" text="Not Functioning">
      <formula>LEFT(A358,LEN("Not Functioning"))="Not Functioning"</formula>
    </cfRule>
    <cfRule type="containsText" dxfId="6082" priority="2241" operator="containsText" text="Functioning">
      <formula>NOT(ISERROR(SEARCH("Functioning",A358)))</formula>
    </cfRule>
  </conditionalFormatting>
  <conditionalFormatting sqref="D371">
    <cfRule type="beginsWith" dxfId="6081" priority="2233" stopIfTrue="1" operator="beginsWith" text="Functioning At Risk">
      <formula>LEFT(D371,LEN("Functioning At Risk"))="Functioning At Risk"</formula>
    </cfRule>
    <cfRule type="beginsWith" dxfId="6080" priority="2234" stopIfTrue="1" operator="beginsWith" text="Not Functioning">
      <formula>LEFT(D371,LEN("Not Functioning"))="Not Functioning"</formula>
    </cfRule>
    <cfRule type="containsText" dxfId="6079" priority="2235" operator="containsText" text="Functioning">
      <formula>NOT(ISERROR(SEARCH("Functioning",D371)))</formula>
    </cfRule>
  </conditionalFormatting>
  <conditionalFormatting sqref="D377">
    <cfRule type="beginsWith" dxfId="6078" priority="2230" stopIfTrue="1" operator="beginsWith" text="Functioning At Risk">
      <formula>LEFT(D377,LEN("Functioning At Risk"))="Functioning At Risk"</formula>
    </cfRule>
    <cfRule type="beginsWith" dxfId="6077" priority="2231" stopIfTrue="1" operator="beginsWith" text="Not Functioning">
      <formula>LEFT(D377,LEN("Not Functioning"))="Not Functioning"</formula>
    </cfRule>
    <cfRule type="containsText" dxfId="6076" priority="2232" operator="containsText" text="Functioning">
      <formula>NOT(ISERROR(SEARCH("Functioning",D377)))</formula>
    </cfRule>
  </conditionalFormatting>
  <conditionalFormatting sqref="D378">
    <cfRule type="beginsWith" dxfId="6075" priority="2227" stopIfTrue="1" operator="beginsWith" text="Functioning At Risk">
      <formula>LEFT(D378,LEN("Functioning At Risk"))="Functioning At Risk"</formula>
    </cfRule>
    <cfRule type="beginsWith" dxfId="6074" priority="2228" stopIfTrue="1" operator="beginsWith" text="Not Functioning">
      <formula>LEFT(D378,LEN("Not Functioning"))="Not Functioning"</formula>
    </cfRule>
    <cfRule type="containsText" dxfId="6073" priority="2229" operator="containsText" text="Functioning">
      <formula>NOT(ISERROR(SEARCH("Functioning",D378)))</formula>
    </cfRule>
  </conditionalFormatting>
  <conditionalFormatting sqref="D372:D375">
    <cfRule type="beginsWith" dxfId="6072" priority="2224" stopIfTrue="1" operator="beginsWith" text="Functioning At Risk">
      <formula>LEFT(D372,LEN("Functioning At Risk"))="Functioning At Risk"</formula>
    </cfRule>
    <cfRule type="beginsWith" dxfId="6071" priority="2225" stopIfTrue="1" operator="beginsWith" text="Not Functioning">
      <formula>LEFT(D372,LEN("Not Functioning"))="Not Functioning"</formula>
    </cfRule>
    <cfRule type="containsText" dxfId="6070" priority="2226" operator="containsText" text="Functioning">
      <formula>NOT(ISERROR(SEARCH("Functioning",D372)))</formula>
    </cfRule>
  </conditionalFormatting>
  <conditionalFormatting sqref="A384">
    <cfRule type="beginsWith" dxfId="6069" priority="2221" stopIfTrue="1" operator="beginsWith" text="Functioning At Risk">
      <formula>LEFT(A384,LEN("Functioning At Risk"))="Functioning At Risk"</formula>
    </cfRule>
    <cfRule type="beginsWith" dxfId="6068" priority="2222" stopIfTrue="1" operator="beginsWith" text="Not Functioning">
      <formula>LEFT(A384,LEN("Not Functioning"))="Not Functioning"</formula>
    </cfRule>
    <cfRule type="containsText" dxfId="6067" priority="2223" operator="containsText" text="Functioning">
      <formula>NOT(ISERROR(SEARCH("Functioning",A384)))</formula>
    </cfRule>
  </conditionalFormatting>
  <conditionalFormatting sqref="H384">
    <cfRule type="beginsWith" dxfId="6066" priority="2218" stopIfTrue="1" operator="beginsWith" text="Functioning At Risk">
      <formula>LEFT(H384,LEN("Functioning At Risk"))="Functioning At Risk"</formula>
    </cfRule>
    <cfRule type="beginsWith" dxfId="6065" priority="2219" stopIfTrue="1" operator="beginsWith" text="Not Functioning">
      <formula>LEFT(H384,LEN("Not Functioning"))="Not Functioning"</formula>
    </cfRule>
    <cfRule type="containsText" dxfId="6064" priority="2220" operator="containsText" text="Functioning">
      <formula>NOT(ISERROR(SEARCH("Functioning",H384)))</formula>
    </cfRule>
  </conditionalFormatting>
  <conditionalFormatting sqref="I384">
    <cfRule type="beginsWith" dxfId="6063" priority="2215" stopIfTrue="1" operator="beginsWith" text="Functioning At Risk">
      <formula>LEFT(I384,LEN("Functioning At Risk"))="Functioning At Risk"</formula>
    </cfRule>
    <cfRule type="beginsWith" dxfId="6062" priority="2216" stopIfTrue="1" operator="beginsWith" text="Not Functioning">
      <formula>LEFT(I384,LEN("Not Functioning"))="Not Functioning"</formula>
    </cfRule>
    <cfRule type="containsText" dxfId="6061" priority="2217" operator="containsText" text="Functioning">
      <formula>NOT(ISERROR(SEARCH("Functioning",I384)))</formula>
    </cfRule>
  </conditionalFormatting>
  <conditionalFormatting sqref="D392">
    <cfRule type="beginsWith" dxfId="6060" priority="2212" stopIfTrue="1" operator="beginsWith" text="Functioning At Risk">
      <formula>LEFT(D392,LEN("Functioning At Risk"))="Functioning At Risk"</formula>
    </cfRule>
    <cfRule type="beginsWith" dxfId="6059" priority="2213" stopIfTrue="1" operator="beginsWith" text="Not Functioning">
      <formula>LEFT(D392,LEN("Not Functioning"))="Not Functioning"</formula>
    </cfRule>
    <cfRule type="containsText" dxfId="6058" priority="2214" operator="containsText" text="Functioning">
      <formula>NOT(ISERROR(SEARCH("Functioning",D392)))</formula>
    </cfRule>
  </conditionalFormatting>
  <conditionalFormatting sqref="D393">
    <cfRule type="beginsWith" dxfId="6057" priority="2209" stopIfTrue="1" operator="beginsWith" text="Functioning At Risk">
      <formula>LEFT(D393,LEN("Functioning At Risk"))="Functioning At Risk"</formula>
    </cfRule>
    <cfRule type="beginsWith" dxfId="6056" priority="2210" stopIfTrue="1" operator="beginsWith" text="Not Functioning">
      <formula>LEFT(D393,LEN("Not Functioning"))="Not Functioning"</formula>
    </cfRule>
    <cfRule type="containsText" dxfId="6055" priority="2211" operator="containsText" text="Functioning">
      <formula>NOT(ISERROR(SEARCH("Functioning",D393)))</formula>
    </cfRule>
  </conditionalFormatting>
  <conditionalFormatting sqref="B392">
    <cfRule type="beginsWith" dxfId="6054" priority="2206" stopIfTrue="1" operator="beginsWith" text="Functioning At Risk">
      <formula>LEFT(B392,LEN("Functioning At Risk"))="Functioning At Risk"</formula>
    </cfRule>
    <cfRule type="beginsWith" dxfId="6053" priority="2207" stopIfTrue="1" operator="beginsWith" text="Not Functioning">
      <formula>LEFT(B392,LEN("Not Functioning"))="Not Functioning"</formula>
    </cfRule>
    <cfRule type="containsText" dxfId="6052" priority="2208" operator="containsText" text="Functioning">
      <formula>NOT(ISERROR(SEARCH("Functioning",B392)))</formula>
    </cfRule>
  </conditionalFormatting>
  <conditionalFormatting sqref="B368">
    <cfRule type="beginsWith" dxfId="6051" priority="2200" stopIfTrue="1" operator="beginsWith" text="Functioning At Risk">
      <formula>LEFT(B368,LEN("Functioning At Risk"))="Functioning At Risk"</formula>
    </cfRule>
    <cfRule type="beginsWith" dxfId="6050" priority="2201" stopIfTrue="1" operator="beginsWith" text="Not Functioning">
      <formula>LEFT(B368,LEN("Not Functioning"))="Not Functioning"</formula>
    </cfRule>
    <cfRule type="containsText" dxfId="6049" priority="2202" operator="containsText" text="Functioning">
      <formula>NOT(ISERROR(SEARCH("Functioning",B368)))</formula>
    </cfRule>
  </conditionalFormatting>
  <conditionalFormatting sqref="I428:I432 B426:B427 D416 B419 A400:B400 H402:I403 H400:I400 H398:K399 A402:B402 A428:A432 D408:D410 B423:B424 A403 D428:D431 D400:D403 D419:D423">
    <cfRule type="beginsWith" dxfId="6048" priority="2194" stopIfTrue="1" operator="beginsWith" text="Functioning At Risk">
      <formula>LEFT(A398,LEN("Functioning At Risk"))="Functioning At Risk"</formula>
    </cfRule>
    <cfRule type="beginsWith" dxfId="6047" priority="2195" stopIfTrue="1" operator="beginsWith" text="Not Functioning">
      <formula>LEFT(A398,LEN("Not Functioning"))="Not Functioning"</formula>
    </cfRule>
    <cfRule type="containsText" dxfId="6046" priority="2196" operator="containsText" text="Functioning">
      <formula>NOT(ISERROR(SEARCH("Functioning",A398)))</formula>
    </cfRule>
  </conditionalFormatting>
  <conditionalFormatting sqref="D411">
    <cfRule type="beginsWith" dxfId="6045" priority="2188" stopIfTrue="1" operator="beginsWith" text="Functioning At Risk">
      <formula>LEFT(D411,LEN("Functioning At Risk"))="Functioning At Risk"</formula>
    </cfRule>
    <cfRule type="beginsWith" dxfId="6044" priority="2189" stopIfTrue="1" operator="beginsWith" text="Not Functioning">
      <formula>LEFT(D411,LEN("Not Functioning"))="Not Functioning"</formula>
    </cfRule>
    <cfRule type="containsText" dxfId="6043" priority="2190" operator="containsText" text="Functioning">
      <formula>NOT(ISERROR(SEARCH("Functioning",D411)))</formula>
    </cfRule>
  </conditionalFormatting>
  <conditionalFormatting sqref="D417">
    <cfRule type="beginsWith" dxfId="6042" priority="2185" stopIfTrue="1" operator="beginsWith" text="Functioning At Risk">
      <formula>LEFT(D417,LEN("Functioning At Risk"))="Functioning At Risk"</formula>
    </cfRule>
    <cfRule type="beginsWith" dxfId="6041" priority="2186" stopIfTrue="1" operator="beginsWith" text="Not Functioning">
      <formula>LEFT(D417,LEN("Not Functioning"))="Not Functioning"</formula>
    </cfRule>
    <cfRule type="containsText" dxfId="6040" priority="2187" operator="containsText" text="Functioning">
      <formula>NOT(ISERROR(SEARCH("Functioning",D417)))</formula>
    </cfRule>
  </conditionalFormatting>
  <conditionalFormatting sqref="D418">
    <cfRule type="beginsWith" dxfId="6039" priority="2182" stopIfTrue="1" operator="beginsWith" text="Functioning At Risk">
      <formula>LEFT(D418,LEN("Functioning At Risk"))="Functioning At Risk"</formula>
    </cfRule>
    <cfRule type="beginsWith" dxfId="6038" priority="2183" stopIfTrue="1" operator="beginsWith" text="Not Functioning">
      <formula>LEFT(D418,LEN("Not Functioning"))="Not Functioning"</formula>
    </cfRule>
    <cfRule type="containsText" dxfId="6037" priority="2184" operator="containsText" text="Functioning">
      <formula>NOT(ISERROR(SEARCH("Functioning",D418)))</formula>
    </cfRule>
  </conditionalFormatting>
  <conditionalFormatting sqref="D412:D415">
    <cfRule type="beginsWith" dxfId="6036" priority="2179" stopIfTrue="1" operator="beginsWith" text="Functioning At Risk">
      <formula>LEFT(D412,LEN("Functioning At Risk"))="Functioning At Risk"</formula>
    </cfRule>
    <cfRule type="beginsWith" dxfId="6035" priority="2180" stopIfTrue="1" operator="beginsWith" text="Not Functioning">
      <formula>LEFT(D412,LEN("Not Functioning"))="Not Functioning"</formula>
    </cfRule>
    <cfRule type="containsText" dxfId="6034" priority="2181" operator="containsText" text="Functioning">
      <formula>NOT(ISERROR(SEARCH("Functioning",D412)))</formula>
    </cfRule>
  </conditionalFormatting>
  <conditionalFormatting sqref="A424">
    <cfRule type="beginsWith" dxfId="6033" priority="2176" stopIfTrue="1" operator="beginsWith" text="Functioning At Risk">
      <formula>LEFT(A424,LEN("Functioning At Risk"))="Functioning At Risk"</formula>
    </cfRule>
    <cfRule type="beginsWith" dxfId="6032" priority="2177" stopIfTrue="1" operator="beginsWith" text="Not Functioning">
      <formula>LEFT(A424,LEN("Not Functioning"))="Not Functioning"</formula>
    </cfRule>
    <cfRule type="containsText" dxfId="6031" priority="2178" operator="containsText" text="Functioning">
      <formula>NOT(ISERROR(SEARCH("Functioning",A424)))</formula>
    </cfRule>
  </conditionalFormatting>
  <conditionalFormatting sqref="H424">
    <cfRule type="beginsWith" dxfId="6030" priority="2173" stopIfTrue="1" operator="beginsWith" text="Functioning At Risk">
      <formula>LEFT(H424,LEN("Functioning At Risk"))="Functioning At Risk"</formula>
    </cfRule>
    <cfRule type="beginsWith" dxfId="6029" priority="2174" stopIfTrue="1" operator="beginsWith" text="Not Functioning">
      <formula>LEFT(H424,LEN("Not Functioning"))="Not Functioning"</formula>
    </cfRule>
    <cfRule type="containsText" dxfId="6028" priority="2175" operator="containsText" text="Functioning">
      <formula>NOT(ISERROR(SEARCH("Functioning",H424)))</formula>
    </cfRule>
  </conditionalFormatting>
  <conditionalFormatting sqref="I424">
    <cfRule type="beginsWith" dxfId="6027" priority="2170" stopIfTrue="1" operator="beginsWith" text="Functioning At Risk">
      <formula>LEFT(I424,LEN("Functioning At Risk"))="Functioning At Risk"</formula>
    </cfRule>
    <cfRule type="beginsWith" dxfId="6026" priority="2171" stopIfTrue="1" operator="beginsWith" text="Not Functioning">
      <formula>LEFT(I424,LEN("Not Functioning"))="Not Functioning"</formula>
    </cfRule>
    <cfRule type="containsText" dxfId="6025" priority="2172" operator="containsText" text="Functioning">
      <formula>NOT(ISERROR(SEARCH("Functioning",I424)))</formula>
    </cfRule>
  </conditionalFormatting>
  <conditionalFormatting sqref="D432">
    <cfRule type="beginsWith" dxfId="6024" priority="2167" stopIfTrue="1" operator="beginsWith" text="Functioning At Risk">
      <formula>LEFT(D432,LEN("Functioning At Risk"))="Functioning At Risk"</formula>
    </cfRule>
    <cfRule type="beginsWith" dxfId="6023" priority="2168" stopIfTrue="1" operator="beginsWith" text="Not Functioning">
      <formula>LEFT(D432,LEN("Not Functioning"))="Not Functioning"</formula>
    </cfRule>
    <cfRule type="containsText" dxfId="6022" priority="2169" operator="containsText" text="Functioning">
      <formula>NOT(ISERROR(SEARCH("Functioning",D432)))</formula>
    </cfRule>
  </conditionalFormatting>
  <conditionalFormatting sqref="D433">
    <cfRule type="beginsWith" dxfId="6021" priority="2164" stopIfTrue="1" operator="beginsWith" text="Functioning At Risk">
      <formula>LEFT(D433,LEN("Functioning At Risk"))="Functioning At Risk"</formula>
    </cfRule>
    <cfRule type="beginsWith" dxfId="6020" priority="2165" stopIfTrue="1" operator="beginsWith" text="Not Functioning">
      <formula>LEFT(D433,LEN("Not Functioning"))="Not Functioning"</formula>
    </cfRule>
    <cfRule type="containsText" dxfId="6019" priority="2166" operator="containsText" text="Functioning">
      <formula>NOT(ISERROR(SEARCH("Functioning",D433)))</formula>
    </cfRule>
  </conditionalFormatting>
  <conditionalFormatting sqref="B432">
    <cfRule type="beginsWith" dxfId="6018" priority="2161" stopIfTrue="1" operator="beginsWith" text="Functioning At Risk">
      <formula>LEFT(B432,LEN("Functioning At Risk"))="Functioning At Risk"</formula>
    </cfRule>
    <cfRule type="beginsWith" dxfId="6017" priority="2162" stopIfTrue="1" operator="beginsWith" text="Not Functioning">
      <formula>LEFT(B432,LEN("Not Functioning"))="Not Functioning"</formula>
    </cfRule>
    <cfRule type="containsText" dxfId="6016" priority="2163" operator="containsText" text="Functioning">
      <formula>NOT(ISERROR(SEARCH("Functioning",B432)))</formula>
    </cfRule>
  </conditionalFormatting>
  <conditionalFormatting sqref="B408">
    <cfRule type="beginsWith" dxfId="6015" priority="2155" stopIfTrue="1" operator="beginsWith" text="Functioning At Risk">
      <formula>LEFT(B408,LEN("Functioning At Risk"))="Functioning At Risk"</formula>
    </cfRule>
    <cfRule type="beginsWith" dxfId="6014" priority="2156" stopIfTrue="1" operator="beginsWith" text="Not Functioning">
      <formula>LEFT(B408,LEN("Not Functioning"))="Not Functioning"</formula>
    </cfRule>
    <cfRule type="containsText" dxfId="6013" priority="2157" operator="containsText" text="Functioning">
      <formula>NOT(ISERROR(SEARCH("Functioning",B408)))</formula>
    </cfRule>
  </conditionalFormatting>
  <conditionalFormatting sqref="E233">
    <cfRule type="beginsWith" dxfId="6012" priority="1975" stopIfTrue="1" operator="beginsWith" text="Functioning At Risk">
      <formula>LEFT(E233,LEN("Functioning At Risk"))="Functioning At Risk"</formula>
    </cfRule>
    <cfRule type="beginsWith" dxfId="6011" priority="1976" stopIfTrue="1" operator="beginsWith" text="Not Functioning">
      <formula>LEFT(E233,LEN("Not Functioning"))="Not Functioning"</formula>
    </cfRule>
    <cfRule type="containsText" dxfId="6010" priority="1977" operator="containsText" text="Functioning">
      <formula>NOT(ISERROR(SEARCH("Functioning",E233)))</formula>
    </cfRule>
  </conditionalFormatting>
  <conditionalFormatting sqref="E154 E122:E123 E146">
    <cfRule type="beginsWith" dxfId="6009" priority="2044" stopIfTrue="1" operator="beginsWith" text="Functioning At Risk">
      <formula>LEFT(E122,LEN("Functioning At Risk"))="Functioning At Risk"</formula>
    </cfRule>
    <cfRule type="beginsWith" dxfId="6008" priority="2045" stopIfTrue="1" operator="beginsWith" text="Not Functioning">
      <formula>LEFT(E122,LEN("Not Functioning"))="Not Functioning"</formula>
    </cfRule>
    <cfRule type="containsText" dxfId="6007" priority="2046" operator="containsText" text="Functioning">
      <formula>NOT(ISERROR(SEARCH("Functioning",E122)))</formula>
    </cfRule>
  </conditionalFormatting>
  <conditionalFormatting sqref="E27:E28">
    <cfRule type="beginsWith" dxfId="6006" priority="2127" stopIfTrue="1" operator="beginsWith" text="Functioning At Risk">
      <formula>LEFT(E27,LEN("Functioning At Risk"))="Functioning At Risk"</formula>
    </cfRule>
    <cfRule type="beginsWith" dxfId="6005" priority="2128" stopIfTrue="1" operator="beginsWith" text="Not Functioning">
      <formula>LEFT(E27,LEN("Not Functioning"))="Not Functioning"</formula>
    </cfRule>
    <cfRule type="containsText" dxfId="6004" priority="2129" operator="containsText" text="Functioning">
      <formula>NOT(ISERROR(SEARCH("Functioning",E27)))</formula>
    </cfRule>
  </conditionalFormatting>
  <conditionalFormatting sqref="E37 E5:E6 E29">
    <cfRule type="beginsWith" dxfId="6003" priority="2143" stopIfTrue="1" operator="beginsWith" text="Functioning At Risk">
      <formula>LEFT(E5,LEN("Functioning At Risk"))="Functioning At Risk"</formula>
    </cfRule>
    <cfRule type="beginsWith" dxfId="6002" priority="2144" stopIfTrue="1" operator="beginsWith" text="Not Functioning">
      <formula>LEFT(E5,LEN("Not Functioning"))="Not Functioning"</formula>
    </cfRule>
    <cfRule type="containsText" dxfId="6001" priority="2145" operator="containsText" text="Functioning">
      <formula>NOT(ISERROR(SEARCH("Functioning",E5)))</formula>
    </cfRule>
  </conditionalFormatting>
  <conditionalFormatting sqref="E38">
    <cfRule type="beginsWith" dxfId="6000" priority="2140" stopIfTrue="1" operator="beginsWith" text="Functioning At Risk">
      <formula>LEFT(E38,LEN("Functioning At Risk"))="Functioning At Risk"</formula>
    </cfRule>
    <cfRule type="beginsWith" dxfId="5999" priority="2141" stopIfTrue="1" operator="beginsWith" text="Not Functioning">
      <formula>LEFT(E38,LEN("Not Functioning"))="Not Functioning"</formula>
    </cfRule>
    <cfRule type="containsText" dxfId="5998" priority="2142" operator="containsText" text="Functioning">
      <formula>NOT(ISERROR(SEARCH("Functioning",E38)))</formula>
    </cfRule>
  </conditionalFormatting>
  <conditionalFormatting sqref="E29">
    <cfRule type="expression" dxfId="5997" priority="2135">
      <formula>B1048488="Level 4 - Physicochemical"</formula>
    </cfRule>
    <cfRule type="expression" dxfId="5996" priority="2139">
      <formula>B1048488="Level 5 - Biology"</formula>
    </cfRule>
  </conditionalFormatting>
  <conditionalFormatting sqref="E31">
    <cfRule type="expression" dxfId="5995" priority="2134">
      <formula>B1048488="Level 4 - Physicochemical"</formula>
    </cfRule>
    <cfRule type="expression" dxfId="5994" priority="2138">
      <formula>B1048488="Level 5 - Biology"</formula>
    </cfRule>
  </conditionalFormatting>
  <conditionalFormatting sqref="E32">
    <cfRule type="expression" dxfId="5993" priority="2133">
      <formula>B1048488="Level 4 - Physicochemical"</formula>
    </cfRule>
    <cfRule type="expression" dxfId="5992" priority="2137">
      <formula>B1048488="Level 5 - Biology"</formula>
    </cfRule>
  </conditionalFormatting>
  <conditionalFormatting sqref="E38">
    <cfRule type="expression" dxfId="5991" priority="2136">
      <formula>B1048488="Level 5 - Biology"</formula>
    </cfRule>
  </conditionalFormatting>
  <conditionalFormatting sqref="E30">
    <cfRule type="expression" dxfId="5990" priority="2149">
      <formula>B1048489="Level 4 - Physicochemical"</formula>
    </cfRule>
    <cfRule type="expression" dxfId="5989" priority="2150">
      <formula>B1048489="Level 5 - Biology"</formula>
    </cfRule>
  </conditionalFormatting>
  <conditionalFormatting sqref="E37">
    <cfRule type="expression" dxfId="5988" priority="2151">
      <formula>B1048490="Level 5 - Biology"</formula>
    </cfRule>
  </conditionalFormatting>
  <conditionalFormatting sqref="E36">
    <cfRule type="expression" dxfId="5987" priority="2122">
      <formula>B1048418="Level 5 - Biology"</formula>
    </cfRule>
  </conditionalFormatting>
  <conditionalFormatting sqref="E33:E36">
    <cfRule type="beginsWith" dxfId="5986" priority="2119" stopIfTrue="1" operator="beginsWith" text="Functioning At Risk">
      <formula>LEFT(E33,LEN("Functioning At Risk"))="Functioning At Risk"</formula>
    </cfRule>
    <cfRule type="beginsWith" dxfId="5985" priority="2120" stopIfTrue="1" operator="beginsWith" text="Not Functioning">
      <formula>LEFT(E33,LEN("Not Functioning"))="Not Functioning"</formula>
    </cfRule>
    <cfRule type="containsText" dxfId="5984" priority="2121" operator="containsText" text="Functioning">
      <formula>NOT(ISERROR(SEARCH("Functioning",E33)))</formula>
    </cfRule>
  </conditionalFormatting>
  <conditionalFormatting sqref="E33:E35">
    <cfRule type="expression" dxfId="5983" priority="2123">
      <formula>B1048417="Level 5 - Biology"</formula>
    </cfRule>
  </conditionalFormatting>
  <conditionalFormatting sqref="E77">
    <cfRule type="beginsWith" dxfId="5982" priority="2107" stopIfTrue="1" operator="beginsWith" text="Functioning At Risk">
      <formula>LEFT(E77,LEN("Functioning At Risk"))="Functioning At Risk"</formula>
    </cfRule>
    <cfRule type="beginsWith" dxfId="5981" priority="2108" stopIfTrue="1" operator="beginsWith" text="Not Functioning">
      <formula>LEFT(E77,LEN("Not Functioning"))="Not Functioning"</formula>
    </cfRule>
    <cfRule type="containsText" dxfId="5980" priority="2109" operator="containsText" text="Functioning">
      <formula>NOT(ISERROR(SEARCH("Functioning",E77)))</formula>
    </cfRule>
  </conditionalFormatting>
  <conditionalFormatting sqref="E68">
    <cfRule type="expression" dxfId="5979" priority="2102">
      <formula>B1048528="Level 4 - Physicochemical"</formula>
    </cfRule>
    <cfRule type="expression" dxfId="5978" priority="2106">
      <formula>B1048528="Level 5 - Biology"</formula>
    </cfRule>
  </conditionalFormatting>
  <conditionalFormatting sqref="E70">
    <cfRule type="expression" dxfId="5977" priority="2101">
      <formula>B1048528="Level 4 - Physicochemical"</formula>
    </cfRule>
    <cfRule type="expression" dxfId="5976" priority="2105">
      <formula>B1048528="Level 5 - Biology"</formula>
    </cfRule>
  </conditionalFormatting>
  <conditionalFormatting sqref="E71">
    <cfRule type="expression" dxfId="5975" priority="2100">
      <formula>B1048528="Level 4 - Physicochemical"</formula>
    </cfRule>
    <cfRule type="expression" dxfId="5974" priority="2104">
      <formula>B1048528="Level 5 - Biology"</formula>
    </cfRule>
  </conditionalFormatting>
  <conditionalFormatting sqref="E77">
    <cfRule type="expression" dxfId="5973" priority="2103">
      <formula>B1048528="Level 5 - Biology"</formula>
    </cfRule>
  </conditionalFormatting>
  <conditionalFormatting sqref="E69">
    <cfRule type="expression" dxfId="5972" priority="2116">
      <formula>B1048529="Level 4 - Physicochemical"</formula>
    </cfRule>
    <cfRule type="expression" dxfId="5971" priority="2117">
      <formula>B1048529="Level 5 - Biology"</formula>
    </cfRule>
  </conditionalFormatting>
  <conditionalFormatting sqref="E76">
    <cfRule type="expression" dxfId="5970" priority="2118">
      <formula>B1048530="Level 5 - Biology"</formula>
    </cfRule>
  </conditionalFormatting>
  <conditionalFormatting sqref="E66:E67">
    <cfRule type="beginsWith" dxfId="5969" priority="2094" stopIfTrue="1" operator="beginsWith" text="Functioning At Risk">
      <formula>LEFT(E66,LEN("Functioning At Risk"))="Functioning At Risk"</formula>
    </cfRule>
    <cfRule type="beginsWith" dxfId="5968" priority="2095" stopIfTrue="1" operator="beginsWith" text="Not Functioning">
      <formula>LEFT(E66,LEN("Not Functioning"))="Not Functioning"</formula>
    </cfRule>
    <cfRule type="containsText" dxfId="5967" priority="2096" operator="containsText" text="Functioning">
      <formula>NOT(ISERROR(SEARCH("Functioning",E66)))</formula>
    </cfRule>
  </conditionalFormatting>
  <conditionalFormatting sqref="E75">
    <cfRule type="expression" dxfId="5966" priority="2089">
      <formula>B1048458="Level 5 - Biology"</formula>
    </cfRule>
  </conditionalFormatting>
  <conditionalFormatting sqref="E72:E75">
    <cfRule type="beginsWith" dxfId="5965" priority="2086" stopIfTrue="1" operator="beginsWith" text="Functioning At Risk">
      <formula>LEFT(E72,LEN("Functioning At Risk"))="Functioning At Risk"</formula>
    </cfRule>
    <cfRule type="beginsWith" dxfId="5964" priority="2087" stopIfTrue="1" operator="beginsWith" text="Not Functioning">
      <formula>LEFT(E72,LEN("Not Functioning"))="Not Functioning"</formula>
    </cfRule>
    <cfRule type="containsText" dxfId="5963" priority="2088" operator="containsText" text="Functioning">
      <formula>NOT(ISERROR(SEARCH("Functioning",E72)))</formula>
    </cfRule>
  </conditionalFormatting>
  <conditionalFormatting sqref="E72:E74">
    <cfRule type="expression" dxfId="5962" priority="2090">
      <formula>B1048457="Level 5 - Biology"</formula>
    </cfRule>
  </conditionalFormatting>
  <conditionalFormatting sqref="E115 E83:E84 E107">
    <cfRule type="beginsWith" dxfId="5961" priority="2077" stopIfTrue="1" operator="beginsWith" text="Functioning At Risk">
      <formula>LEFT(E83,LEN("Functioning At Risk"))="Functioning At Risk"</formula>
    </cfRule>
    <cfRule type="beginsWith" dxfId="5960" priority="2078" stopIfTrue="1" operator="beginsWith" text="Not Functioning">
      <formula>LEFT(E83,LEN("Not Functioning"))="Not Functioning"</formula>
    </cfRule>
    <cfRule type="containsText" dxfId="5959" priority="2079" operator="containsText" text="Functioning">
      <formula>NOT(ISERROR(SEARCH("Functioning",E83)))</formula>
    </cfRule>
  </conditionalFormatting>
  <conditionalFormatting sqref="E116">
    <cfRule type="beginsWith" dxfId="5958" priority="2074" stopIfTrue="1" operator="beginsWith" text="Functioning At Risk">
      <formula>LEFT(E116,LEN("Functioning At Risk"))="Functioning At Risk"</formula>
    </cfRule>
    <cfRule type="beginsWith" dxfId="5957" priority="2075" stopIfTrue="1" operator="beginsWith" text="Not Functioning">
      <formula>LEFT(E116,LEN("Not Functioning"))="Not Functioning"</formula>
    </cfRule>
    <cfRule type="containsText" dxfId="5956" priority="2076" operator="containsText" text="Functioning">
      <formula>NOT(ISERROR(SEARCH("Functioning",E116)))</formula>
    </cfRule>
  </conditionalFormatting>
  <conditionalFormatting sqref="E107">
    <cfRule type="expression" dxfId="5955" priority="2069">
      <formula>B3="Level 4 - Physicochemical"</formula>
    </cfRule>
    <cfRule type="expression" dxfId="5954" priority="2073">
      <formula>B3="Level 5 - Biology"</formula>
    </cfRule>
  </conditionalFormatting>
  <conditionalFormatting sqref="E109">
    <cfRule type="expression" dxfId="5953" priority="2068">
      <formula>B3="Level 4 - Physicochemical"</formula>
    </cfRule>
    <cfRule type="expression" dxfId="5952" priority="2072">
      <formula>B3="Level 5 - Biology"</formula>
    </cfRule>
  </conditionalFormatting>
  <conditionalFormatting sqref="E110">
    <cfRule type="expression" dxfId="5951" priority="2067">
      <formula>B3="Level 4 - Physicochemical"</formula>
    </cfRule>
    <cfRule type="expression" dxfId="5950" priority="2071">
      <formula>B3="Level 5 - Biology"</formula>
    </cfRule>
  </conditionalFormatting>
  <conditionalFormatting sqref="E116">
    <cfRule type="expression" dxfId="5949" priority="2070">
      <formula>B3="Level 5 - Biology"</formula>
    </cfRule>
  </conditionalFormatting>
  <conditionalFormatting sqref="E108">
    <cfRule type="expression" dxfId="5948" priority="2083">
      <formula>B4="Level 4 - Physicochemical"</formula>
    </cfRule>
    <cfRule type="expression" dxfId="5947" priority="2084">
      <formula>B4="Level 5 - Biology"</formula>
    </cfRule>
  </conditionalFormatting>
  <conditionalFormatting sqref="E115">
    <cfRule type="expression" dxfId="5946" priority="2085">
      <formula>#REF!="Level 5 - Biology"</formula>
    </cfRule>
  </conditionalFormatting>
  <conditionalFormatting sqref="E105:E106">
    <cfRule type="beginsWith" dxfId="5945" priority="2061" stopIfTrue="1" operator="beginsWith" text="Functioning At Risk">
      <formula>LEFT(E105,LEN("Functioning At Risk"))="Functioning At Risk"</formula>
    </cfRule>
    <cfRule type="beginsWith" dxfId="5944" priority="2062" stopIfTrue="1" operator="beginsWith" text="Not Functioning">
      <formula>LEFT(E105,LEN("Not Functioning"))="Not Functioning"</formula>
    </cfRule>
    <cfRule type="containsText" dxfId="5943" priority="2063" operator="containsText" text="Functioning">
      <formula>NOT(ISERROR(SEARCH("Functioning",E105)))</formula>
    </cfRule>
  </conditionalFormatting>
  <conditionalFormatting sqref="E114">
    <cfRule type="expression" dxfId="5942" priority="2056">
      <formula>B1048498="Level 5 - Biology"</formula>
    </cfRule>
  </conditionalFormatting>
  <conditionalFormatting sqref="E111:E114">
    <cfRule type="beginsWith" dxfId="5941" priority="2053" stopIfTrue="1" operator="beginsWith" text="Functioning At Risk">
      <formula>LEFT(E111,LEN("Functioning At Risk"))="Functioning At Risk"</formula>
    </cfRule>
    <cfRule type="beginsWith" dxfId="5940" priority="2054" stopIfTrue="1" operator="beginsWith" text="Not Functioning">
      <formula>LEFT(E111,LEN("Not Functioning"))="Not Functioning"</formula>
    </cfRule>
    <cfRule type="containsText" dxfId="5939" priority="2055" operator="containsText" text="Functioning">
      <formula>NOT(ISERROR(SEARCH("Functioning",E111)))</formula>
    </cfRule>
  </conditionalFormatting>
  <conditionalFormatting sqref="E111:E113">
    <cfRule type="expression" dxfId="5938" priority="2057">
      <formula>B1048497="Level 5 - Biology"</formula>
    </cfRule>
  </conditionalFormatting>
  <conditionalFormatting sqref="E155">
    <cfRule type="beginsWith" dxfId="5937" priority="2041" stopIfTrue="1" operator="beginsWith" text="Functioning At Risk">
      <formula>LEFT(E155,LEN("Functioning At Risk"))="Functioning At Risk"</formula>
    </cfRule>
    <cfRule type="beginsWith" dxfId="5936" priority="2042" stopIfTrue="1" operator="beginsWith" text="Not Functioning">
      <formula>LEFT(E155,LEN("Not Functioning"))="Not Functioning"</formula>
    </cfRule>
    <cfRule type="containsText" dxfId="5935" priority="2043" operator="containsText" text="Functioning">
      <formula>NOT(ISERROR(SEARCH("Functioning",E155)))</formula>
    </cfRule>
  </conditionalFormatting>
  <conditionalFormatting sqref="E146">
    <cfRule type="expression" dxfId="5934" priority="2036">
      <formula>B42="Level 4 - Physicochemical"</formula>
    </cfRule>
    <cfRule type="expression" dxfId="5933" priority="2040">
      <formula>B42="Level 5 - Biology"</formula>
    </cfRule>
  </conditionalFormatting>
  <conditionalFormatting sqref="E148">
    <cfRule type="expression" dxfId="5932" priority="2035">
      <formula>B42="Level 4 - Physicochemical"</formula>
    </cfRule>
    <cfRule type="expression" dxfId="5931" priority="2039">
      <formula>B42="Level 5 - Biology"</formula>
    </cfRule>
  </conditionalFormatting>
  <conditionalFormatting sqref="E149">
    <cfRule type="expression" dxfId="5930" priority="2034">
      <formula>B42="Level 4 - Physicochemical"</formula>
    </cfRule>
    <cfRule type="expression" dxfId="5929" priority="2038">
      <formula>B42="Level 5 - Biology"</formula>
    </cfRule>
  </conditionalFormatting>
  <conditionalFormatting sqref="E155">
    <cfRule type="expression" dxfId="5928" priority="2037">
      <formula>B42="Level 5 - Biology"</formula>
    </cfRule>
  </conditionalFormatting>
  <conditionalFormatting sqref="E147">
    <cfRule type="expression" dxfId="5927" priority="2050">
      <formula>B43="Level 4 - Physicochemical"</formula>
    </cfRule>
    <cfRule type="expression" dxfId="5926" priority="2051">
      <formula>B43="Level 5 - Biology"</formula>
    </cfRule>
  </conditionalFormatting>
  <conditionalFormatting sqref="E154">
    <cfRule type="expression" dxfId="5925" priority="2052">
      <formula>#REF!="Level 5 - Biology"</formula>
    </cfRule>
  </conditionalFormatting>
  <conditionalFormatting sqref="E144:E145">
    <cfRule type="beginsWith" dxfId="5924" priority="2028" stopIfTrue="1" operator="beginsWith" text="Functioning At Risk">
      <formula>LEFT(E144,LEN("Functioning At Risk"))="Functioning At Risk"</formula>
    </cfRule>
    <cfRule type="beginsWith" dxfId="5923" priority="2029" stopIfTrue="1" operator="beginsWith" text="Not Functioning">
      <formula>LEFT(E144,LEN("Not Functioning"))="Not Functioning"</formula>
    </cfRule>
    <cfRule type="containsText" dxfId="5922" priority="2030" operator="containsText" text="Functioning">
      <formula>NOT(ISERROR(SEARCH("Functioning",E144)))</formula>
    </cfRule>
  </conditionalFormatting>
  <conditionalFormatting sqref="E153">
    <cfRule type="expression" dxfId="5921" priority="2023">
      <formula>B1048538="Level 5 - Biology"</formula>
    </cfRule>
  </conditionalFormatting>
  <conditionalFormatting sqref="E150:E153">
    <cfRule type="beginsWith" dxfId="5920" priority="2020" stopIfTrue="1" operator="beginsWith" text="Functioning At Risk">
      <formula>LEFT(E150,LEN("Functioning At Risk"))="Functioning At Risk"</formula>
    </cfRule>
    <cfRule type="beginsWith" dxfId="5919" priority="2021" stopIfTrue="1" operator="beginsWith" text="Not Functioning">
      <formula>LEFT(E150,LEN("Not Functioning"))="Not Functioning"</formula>
    </cfRule>
    <cfRule type="containsText" dxfId="5918" priority="2022" operator="containsText" text="Functioning">
      <formula>NOT(ISERROR(SEARCH("Functioning",E150)))</formula>
    </cfRule>
  </conditionalFormatting>
  <conditionalFormatting sqref="E150:E152">
    <cfRule type="expression" dxfId="5917" priority="2024">
      <formula>B1048537="Level 5 - Biology"</formula>
    </cfRule>
  </conditionalFormatting>
  <conditionalFormatting sqref="E193 E161:E162 E185">
    <cfRule type="beginsWith" dxfId="5916" priority="2011" stopIfTrue="1" operator="beginsWith" text="Functioning At Risk">
      <formula>LEFT(E161,LEN("Functioning At Risk"))="Functioning At Risk"</formula>
    </cfRule>
    <cfRule type="beginsWith" dxfId="5915" priority="2012" stopIfTrue="1" operator="beginsWith" text="Not Functioning">
      <formula>LEFT(E161,LEN("Not Functioning"))="Not Functioning"</formula>
    </cfRule>
    <cfRule type="containsText" dxfId="5914" priority="2013" operator="containsText" text="Functioning">
      <formula>NOT(ISERROR(SEARCH("Functioning",E161)))</formula>
    </cfRule>
  </conditionalFormatting>
  <conditionalFormatting sqref="E194">
    <cfRule type="beginsWith" dxfId="5913" priority="2008" stopIfTrue="1" operator="beginsWith" text="Functioning At Risk">
      <formula>LEFT(E194,LEN("Functioning At Risk"))="Functioning At Risk"</formula>
    </cfRule>
    <cfRule type="beginsWith" dxfId="5912" priority="2009" stopIfTrue="1" operator="beginsWith" text="Not Functioning">
      <formula>LEFT(E194,LEN("Not Functioning"))="Not Functioning"</formula>
    </cfRule>
    <cfRule type="containsText" dxfId="5911" priority="2010" operator="containsText" text="Functioning">
      <formula>NOT(ISERROR(SEARCH("Functioning",E194)))</formula>
    </cfRule>
  </conditionalFormatting>
  <conditionalFormatting sqref="E185">
    <cfRule type="expression" dxfId="5910" priority="2003">
      <formula>B81="Level 4 - Physicochemical"</formula>
    </cfRule>
    <cfRule type="expression" dxfId="5909" priority="2007">
      <formula>B81="Level 5 - Biology"</formula>
    </cfRule>
  </conditionalFormatting>
  <conditionalFormatting sqref="E187">
    <cfRule type="expression" dxfId="5908" priority="2002">
      <formula>B81="Level 4 - Physicochemical"</formula>
    </cfRule>
    <cfRule type="expression" dxfId="5907" priority="2006">
      <formula>B81="Level 5 - Biology"</formula>
    </cfRule>
  </conditionalFormatting>
  <conditionalFormatting sqref="E188">
    <cfRule type="expression" dxfId="5906" priority="2001">
      <formula>B81="Level 4 - Physicochemical"</formula>
    </cfRule>
    <cfRule type="expression" dxfId="5905" priority="2005">
      <formula>B81="Level 5 - Biology"</formula>
    </cfRule>
  </conditionalFormatting>
  <conditionalFormatting sqref="E194">
    <cfRule type="expression" dxfId="5904" priority="2004">
      <formula>B81="Level 5 - Biology"</formula>
    </cfRule>
  </conditionalFormatting>
  <conditionalFormatting sqref="E186">
    <cfRule type="expression" dxfId="5903" priority="2017">
      <formula>B82="Level 4 - Physicochemical"</formula>
    </cfRule>
    <cfRule type="expression" dxfId="5902" priority="2018">
      <formula>B82="Level 5 - Biology"</formula>
    </cfRule>
  </conditionalFormatting>
  <conditionalFormatting sqref="E193">
    <cfRule type="expression" dxfId="5901" priority="2019">
      <formula>#REF!="Level 5 - Biology"</formula>
    </cfRule>
  </conditionalFormatting>
  <conditionalFormatting sqref="E183:E184">
    <cfRule type="beginsWith" dxfId="5900" priority="1995" stopIfTrue="1" operator="beginsWith" text="Functioning At Risk">
      <formula>LEFT(E183,LEN("Functioning At Risk"))="Functioning At Risk"</formula>
    </cfRule>
    <cfRule type="beginsWith" dxfId="5899" priority="1996" stopIfTrue="1" operator="beginsWith" text="Not Functioning">
      <formula>LEFT(E183,LEN("Not Functioning"))="Not Functioning"</formula>
    </cfRule>
    <cfRule type="containsText" dxfId="5898" priority="1997" operator="containsText" text="Functioning">
      <formula>NOT(ISERROR(SEARCH("Functioning",E183)))</formula>
    </cfRule>
  </conditionalFormatting>
  <conditionalFormatting sqref="E192">
    <cfRule type="expression" dxfId="5897" priority="1990">
      <formula>B10="Level 5 - Biology"</formula>
    </cfRule>
  </conditionalFormatting>
  <conditionalFormatting sqref="E189:E192">
    <cfRule type="beginsWith" dxfId="5896" priority="1987" stopIfTrue="1" operator="beginsWith" text="Functioning At Risk">
      <formula>LEFT(E189,LEN("Functioning At Risk"))="Functioning At Risk"</formula>
    </cfRule>
    <cfRule type="beginsWith" dxfId="5895" priority="1988" stopIfTrue="1" operator="beginsWith" text="Not Functioning">
      <formula>LEFT(E189,LEN("Not Functioning"))="Not Functioning"</formula>
    </cfRule>
    <cfRule type="containsText" dxfId="5894" priority="1989" operator="containsText" text="Functioning">
      <formula>NOT(ISERROR(SEARCH("Functioning",E189)))</formula>
    </cfRule>
  </conditionalFormatting>
  <conditionalFormatting sqref="E232 E200:E201 E224">
    <cfRule type="beginsWith" dxfId="5893" priority="1978" stopIfTrue="1" operator="beginsWith" text="Functioning At Risk">
      <formula>LEFT(E200,LEN("Functioning At Risk"))="Functioning At Risk"</formula>
    </cfRule>
    <cfRule type="beginsWith" dxfId="5892" priority="1979" stopIfTrue="1" operator="beginsWith" text="Not Functioning">
      <formula>LEFT(E200,LEN("Not Functioning"))="Not Functioning"</formula>
    </cfRule>
    <cfRule type="containsText" dxfId="5891" priority="1980" operator="containsText" text="Functioning">
      <formula>NOT(ISERROR(SEARCH("Functioning",E200)))</formula>
    </cfRule>
  </conditionalFormatting>
  <conditionalFormatting sqref="E224">
    <cfRule type="expression" dxfId="5890" priority="1970">
      <formula>B120="Level 4 - Physicochemical"</formula>
    </cfRule>
    <cfRule type="expression" dxfId="5889" priority="1974">
      <formula>B120="Level 5 - Biology"</formula>
    </cfRule>
  </conditionalFormatting>
  <conditionalFormatting sqref="E226">
    <cfRule type="expression" dxfId="5888" priority="1969">
      <formula>B120="Level 4 - Physicochemical"</formula>
    </cfRule>
    <cfRule type="expression" dxfId="5887" priority="1973">
      <formula>B120="Level 5 - Biology"</formula>
    </cfRule>
  </conditionalFormatting>
  <conditionalFormatting sqref="E227">
    <cfRule type="expression" dxfId="5886" priority="1968">
      <formula>B120="Level 4 - Physicochemical"</formula>
    </cfRule>
    <cfRule type="expression" dxfId="5885" priority="1972">
      <formula>B120="Level 5 - Biology"</formula>
    </cfRule>
  </conditionalFormatting>
  <conditionalFormatting sqref="E233">
    <cfRule type="expression" dxfId="5884" priority="1971">
      <formula>B120="Level 5 - Biology"</formula>
    </cfRule>
  </conditionalFormatting>
  <conditionalFormatting sqref="E225">
    <cfRule type="expression" dxfId="5883" priority="1984">
      <formula>B121="Level 4 - Physicochemical"</formula>
    </cfRule>
    <cfRule type="expression" dxfId="5882" priority="1985">
      <formula>B121="Level 5 - Biology"</formula>
    </cfRule>
  </conditionalFormatting>
  <conditionalFormatting sqref="E232">
    <cfRule type="expression" dxfId="5881" priority="1986">
      <formula>#REF!="Level 5 - Biology"</formula>
    </cfRule>
  </conditionalFormatting>
  <conditionalFormatting sqref="E222:E223">
    <cfRule type="beginsWith" dxfId="5880" priority="1962" stopIfTrue="1" operator="beginsWith" text="Functioning At Risk">
      <formula>LEFT(E222,LEN("Functioning At Risk"))="Functioning At Risk"</formula>
    </cfRule>
    <cfRule type="beginsWith" dxfId="5879" priority="1963" stopIfTrue="1" operator="beginsWith" text="Not Functioning">
      <formula>LEFT(E222,LEN("Not Functioning"))="Not Functioning"</formula>
    </cfRule>
    <cfRule type="containsText" dxfId="5878" priority="1964" operator="containsText" text="Functioning">
      <formula>NOT(ISERROR(SEARCH("Functioning",E222)))</formula>
    </cfRule>
  </conditionalFormatting>
  <conditionalFormatting sqref="E231">
    <cfRule type="expression" dxfId="5877" priority="1957">
      <formula>B49="Level 5 - Biology"</formula>
    </cfRule>
  </conditionalFormatting>
  <conditionalFormatting sqref="E228:E231">
    <cfRule type="beginsWith" dxfId="5876" priority="1954" stopIfTrue="1" operator="beginsWith" text="Functioning At Risk">
      <formula>LEFT(E228,LEN("Functioning At Risk"))="Functioning At Risk"</formula>
    </cfRule>
    <cfRule type="beginsWith" dxfId="5875" priority="1955" stopIfTrue="1" operator="beginsWith" text="Not Functioning">
      <formula>LEFT(E228,LEN("Not Functioning"))="Not Functioning"</formula>
    </cfRule>
    <cfRule type="containsText" dxfId="5874" priority="1956" operator="containsText" text="Functioning">
      <formula>NOT(ISERROR(SEARCH("Functioning",E228)))</formula>
    </cfRule>
  </conditionalFormatting>
  <conditionalFormatting sqref="E272 E240:E241 E264">
    <cfRule type="beginsWith" dxfId="5873" priority="1945" stopIfTrue="1" operator="beginsWith" text="Functioning At Risk">
      <formula>LEFT(E240,LEN("Functioning At Risk"))="Functioning At Risk"</formula>
    </cfRule>
    <cfRule type="beginsWith" dxfId="5872" priority="1946" stopIfTrue="1" operator="beginsWith" text="Not Functioning">
      <formula>LEFT(E240,LEN("Not Functioning"))="Not Functioning"</formula>
    </cfRule>
    <cfRule type="containsText" dxfId="5871" priority="1947" operator="containsText" text="Functioning">
      <formula>NOT(ISERROR(SEARCH("Functioning",E240)))</formula>
    </cfRule>
  </conditionalFormatting>
  <conditionalFormatting sqref="E273">
    <cfRule type="beginsWith" dxfId="5870" priority="1942" stopIfTrue="1" operator="beginsWith" text="Functioning At Risk">
      <formula>LEFT(E273,LEN("Functioning At Risk"))="Functioning At Risk"</formula>
    </cfRule>
    <cfRule type="beginsWith" dxfId="5869" priority="1943" stopIfTrue="1" operator="beginsWith" text="Not Functioning">
      <formula>LEFT(E273,LEN("Not Functioning"))="Not Functioning"</formula>
    </cfRule>
    <cfRule type="containsText" dxfId="5868" priority="1944" operator="containsText" text="Functioning">
      <formula>NOT(ISERROR(SEARCH("Functioning",E273)))</formula>
    </cfRule>
  </conditionalFormatting>
  <conditionalFormatting sqref="E264">
    <cfRule type="expression" dxfId="5867" priority="1937">
      <formula>B160="Level 4 - Physicochemical"</formula>
    </cfRule>
    <cfRule type="expression" dxfId="5866" priority="1941">
      <formula>B160="Level 5 - Biology"</formula>
    </cfRule>
  </conditionalFormatting>
  <conditionalFormatting sqref="E266">
    <cfRule type="expression" dxfId="5865" priority="1936">
      <formula>B160="Level 4 - Physicochemical"</formula>
    </cfRule>
    <cfRule type="expression" dxfId="5864" priority="1940">
      <formula>B160="Level 5 - Biology"</formula>
    </cfRule>
  </conditionalFormatting>
  <conditionalFormatting sqref="E267">
    <cfRule type="expression" dxfId="5863" priority="1935">
      <formula>B160="Level 4 - Physicochemical"</formula>
    </cfRule>
    <cfRule type="expression" dxfId="5862" priority="1939">
      <formula>B160="Level 5 - Biology"</formula>
    </cfRule>
  </conditionalFormatting>
  <conditionalFormatting sqref="E273">
    <cfRule type="expression" dxfId="5861" priority="1938">
      <formula>B160="Level 5 - Biology"</formula>
    </cfRule>
  </conditionalFormatting>
  <conditionalFormatting sqref="E265">
    <cfRule type="expression" dxfId="5860" priority="1951">
      <formula>#REF!="Level 4 - Physicochemical"</formula>
    </cfRule>
    <cfRule type="expression" dxfId="5859" priority="1952">
      <formula>#REF!="Level 5 - Biology"</formula>
    </cfRule>
  </conditionalFormatting>
  <conditionalFormatting sqref="E272">
    <cfRule type="expression" dxfId="5858" priority="1953">
      <formula>#REF!="Level 5 - Biology"</formula>
    </cfRule>
  </conditionalFormatting>
  <conditionalFormatting sqref="E262:E263">
    <cfRule type="beginsWith" dxfId="5857" priority="1929" stopIfTrue="1" operator="beginsWith" text="Functioning At Risk">
      <formula>LEFT(E262,LEN("Functioning At Risk"))="Functioning At Risk"</formula>
    </cfRule>
    <cfRule type="beginsWith" dxfId="5856" priority="1930" stopIfTrue="1" operator="beginsWith" text="Not Functioning">
      <formula>LEFT(E262,LEN("Not Functioning"))="Not Functioning"</formula>
    </cfRule>
    <cfRule type="containsText" dxfId="5855" priority="1931" operator="containsText" text="Functioning">
      <formula>NOT(ISERROR(SEARCH("Functioning",E262)))</formula>
    </cfRule>
  </conditionalFormatting>
  <conditionalFormatting sqref="E271">
    <cfRule type="expression" dxfId="5854" priority="1924">
      <formula>B90="Level 5 - Biology"</formula>
    </cfRule>
  </conditionalFormatting>
  <conditionalFormatting sqref="E268:E271">
    <cfRule type="beginsWith" dxfId="5853" priority="1921" stopIfTrue="1" operator="beginsWith" text="Functioning At Risk">
      <formula>LEFT(E268,LEN("Functioning At Risk"))="Functioning At Risk"</formula>
    </cfRule>
    <cfRule type="beginsWith" dxfId="5852" priority="1922" stopIfTrue="1" operator="beginsWith" text="Not Functioning">
      <formula>LEFT(E268,LEN("Not Functioning"))="Not Functioning"</formula>
    </cfRule>
    <cfRule type="containsText" dxfId="5851" priority="1923" operator="containsText" text="Functioning">
      <formula>NOT(ISERROR(SEARCH("Functioning",E268)))</formula>
    </cfRule>
  </conditionalFormatting>
  <conditionalFormatting sqref="E312 E280:E281 E304">
    <cfRule type="beginsWith" dxfId="5850" priority="1912" stopIfTrue="1" operator="beginsWith" text="Functioning At Risk">
      <formula>LEFT(E280,LEN("Functioning At Risk"))="Functioning At Risk"</formula>
    </cfRule>
    <cfRule type="beginsWith" dxfId="5849" priority="1913" stopIfTrue="1" operator="beginsWith" text="Not Functioning">
      <formula>LEFT(E280,LEN("Not Functioning"))="Not Functioning"</formula>
    </cfRule>
    <cfRule type="containsText" dxfId="5848" priority="1914" operator="containsText" text="Functioning">
      <formula>NOT(ISERROR(SEARCH("Functioning",E280)))</formula>
    </cfRule>
  </conditionalFormatting>
  <conditionalFormatting sqref="E313">
    <cfRule type="beginsWith" dxfId="5847" priority="1909" stopIfTrue="1" operator="beginsWith" text="Functioning At Risk">
      <formula>LEFT(E313,LEN("Functioning At Risk"))="Functioning At Risk"</formula>
    </cfRule>
    <cfRule type="beginsWith" dxfId="5846" priority="1910" stopIfTrue="1" operator="beginsWith" text="Not Functioning">
      <formula>LEFT(E313,LEN("Not Functioning"))="Not Functioning"</formula>
    </cfRule>
    <cfRule type="containsText" dxfId="5845" priority="1911" operator="containsText" text="Functioning">
      <formula>NOT(ISERROR(SEARCH("Functioning",E313)))</formula>
    </cfRule>
  </conditionalFormatting>
  <conditionalFormatting sqref="E304">
    <cfRule type="expression" dxfId="5844" priority="1904">
      <formula>#REF!="Level 4 - Physicochemical"</formula>
    </cfRule>
    <cfRule type="expression" dxfId="5843" priority="1908">
      <formula>#REF!="Level 5 - Biology"</formula>
    </cfRule>
  </conditionalFormatting>
  <conditionalFormatting sqref="E306">
    <cfRule type="expression" dxfId="5842" priority="1903">
      <formula>#REF!="Level 4 - Physicochemical"</formula>
    </cfRule>
    <cfRule type="expression" dxfId="5841" priority="1907">
      <formula>#REF!="Level 5 - Biology"</formula>
    </cfRule>
  </conditionalFormatting>
  <conditionalFormatting sqref="E307">
    <cfRule type="expression" dxfId="5840" priority="1902">
      <formula>#REF!="Level 4 - Physicochemical"</formula>
    </cfRule>
    <cfRule type="expression" dxfId="5839" priority="1906">
      <formula>#REF!="Level 5 - Biology"</formula>
    </cfRule>
  </conditionalFormatting>
  <conditionalFormatting sqref="E313">
    <cfRule type="expression" dxfId="5838" priority="1905">
      <formula>#REF!="Level 5 - Biology"</formula>
    </cfRule>
  </conditionalFormatting>
  <conditionalFormatting sqref="E305">
    <cfRule type="expression" dxfId="5837" priority="1918">
      <formula>#REF!="Level 4 - Physicochemical"</formula>
    </cfRule>
    <cfRule type="expression" dxfId="5836" priority="1919">
      <formula>#REF!="Level 5 - Biology"</formula>
    </cfRule>
  </conditionalFormatting>
  <conditionalFormatting sqref="E312">
    <cfRule type="expression" dxfId="5835" priority="1920">
      <formula>#REF!="Level 5 - Biology"</formula>
    </cfRule>
  </conditionalFormatting>
  <conditionalFormatting sqref="E302:E303">
    <cfRule type="beginsWith" dxfId="5834" priority="1896" stopIfTrue="1" operator="beginsWith" text="Functioning At Risk">
      <formula>LEFT(E302,LEN("Functioning At Risk"))="Functioning At Risk"</formula>
    </cfRule>
    <cfRule type="beginsWith" dxfId="5833" priority="1897" stopIfTrue="1" operator="beginsWith" text="Not Functioning">
      <formula>LEFT(E302,LEN("Not Functioning"))="Not Functioning"</formula>
    </cfRule>
    <cfRule type="containsText" dxfId="5832" priority="1898" operator="containsText" text="Functioning">
      <formula>NOT(ISERROR(SEARCH("Functioning",E302)))</formula>
    </cfRule>
  </conditionalFormatting>
  <conditionalFormatting sqref="E311">
    <cfRule type="expression" dxfId="5831" priority="1891">
      <formula>B130="Level 5 - Biology"</formula>
    </cfRule>
  </conditionalFormatting>
  <conditionalFormatting sqref="E308:E311">
    <cfRule type="beginsWith" dxfId="5830" priority="1888" stopIfTrue="1" operator="beginsWith" text="Functioning At Risk">
      <formula>LEFT(E308,LEN("Functioning At Risk"))="Functioning At Risk"</formula>
    </cfRule>
    <cfRule type="beginsWith" dxfId="5829" priority="1889" stopIfTrue="1" operator="beginsWith" text="Not Functioning">
      <formula>LEFT(E308,LEN("Not Functioning"))="Not Functioning"</formula>
    </cfRule>
    <cfRule type="containsText" dxfId="5828" priority="1890" operator="containsText" text="Functioning">
      <formula>NOT(ISERROR(SEARCH("Functioning",E308)))</formula>
    </cfRule>
  </conditionalFormatting>
  <conditionalFormatting sqref="E308:E310">
    <cfRule type="expression" dxfId="5827" priority="1892">
      <formula>B129="Level 5 - Biology"</formula>
    </cfRule>
  </conditionalFormatting>
  <conditionalFormatting sqref="C27">
    <cfRule type="beginsWith" dxfId="5826" priority="1711" stopIfTrue="1" operator="beginsWith" text="Functioning At Risk">
      <formula>LEFT(C27,LEN("Functioning At Risk"))="Functioning At Risk"</formula>
    </cfRule>
    <cfRule type="beginsWith" dxfId="5825" priority="1712" stopIfTrue="1" operator="beginsWith" text="Not Functioning">
      <formula>LEFT(C27,LEN("Not Functioning"))="Not Functioning"</formula>
    </cfRule>
    <cfRule type="containsText" dxfId="5824" priority="1713" operator="containsText" text="Functioning">
      <formula>NOT(ISERROR(SEARCH("Functioning",C27)))</formula>
    </cfRule>
  </conditionalFormatting>
  <conditionalFormatting sqref="E352 E320:E321 E344">
    <cfRule type="beginsWith" dxfId="5823" priority="1879" stopIfTrue="1" operator="beginsWith" text="Functioning At Risk">
      <formula>LEFT(E320,LEN("Functioning At Risk"))="Functioning At Risk"</formula>
    </cfRule>
    <cfRule type="beginsWith" dxfId="5822" priority="1880" stopIfTrue="1" operator="beginsWith" text="Not Functioning">
      <formula>LEFT(E320,LEN("Not Functioning"))="Not Functioning"</formula>
    </cfRule>
    <cfRule type="containsText" dxfId="5821" priority="1881" operator="containsText" text="Functioning">
      <formula>NOT(ISERROR(SEARCH("Functioning",E320)))</formula>
    </cfRule>
  </conditionalFormatting>
  <conditionalFormatting sqref="E353">
    <cfRule type="beginsWith" dxfId="5820" priority="1876" stopIfTrue="1" operator="beginsWith" text="Functioning At Risk">
      <formula>LEFT(E353,LEN("Functioning At Risk"))="Functioning At Risk"</formula>
    </cfRule>
    <cfRule type="beginsWith" dxfId="5819" priority="1877" stopIfTrue="1" operator="beginsWith" text="Not Functioning">
      <formula>LEFT(E353,LEN("Not Functioning"))="Not Functioning"</formula>
    </cfRule>
    <cfRule type="containsText" dxfId="5818" priority="1878" operator="containsText" text="Functioning">
      <formula>NOT(ISERROR(SEARCH("Functioning",E353)))</formula>
    </cfRule>
  </conditionalFormatting>
  <conditionalFormatting sqref="E344">
    <cfRule type="expression" dxfId="5817" priority="1871">
      <formula>#REF!="Level 4 - Physicochemical"</formula>
    </cfRule>
    <cfRule type="expression" dxfId="5816" priority="1875">
      <formula>#REF!="Level 5 - Biology"</formula>
    </cfRule>
  </conditionalFormatting>
  <conditionalFormatting sqref="E346">
    <cfRule type="expression" dxfId="5815" priority="1870">
      <formula>#REF!="Level 4 - Physicochemical"</formula>
    </cfRule>
    <cfRule type="expression" dxfId="5814" priority="1874">
      <formula>#REF!="Level 5 - Biology"</formula>
    </cfRule>
  </conditionalFormatting>
  <conditionalFormatting sqref="E347">
    <cfRule type="expression" dxfId="5813" priority="1869">
      <formula>#REF!="Level 4 - Physicochemical"</formula>
    </cfRule>
    <cfRule type="expression" dxfId="5812" priority="1873">
      <formula>#REF!="Level 5 - Biology"</formula>
    </cfRule>
  </conditionalFormatting>
  <conditionalFormatting sqref="E353">
    <cfRule type="expression" dxfId="5811" priority="1872">
      <formula>#REF!="Level 5 - Biology"</formula>
    </cfRule>
  </conditionalFormatting>
  <conditionalFormatting sqref="E345">
    <cfRule type="expression" dxfId="5810" priority="1885">
      <formula>#REF!="Level 4 - Physicochemical"</formula>
    </cfRule>
    <cfRule type="expression" dxfId="5809" priority="1886">
      <formula>#REF!="Level 5 - Biology"</formula>
    </cfRule>
  </conditionalFormatting>
  <conditionalFormatting sqref="E352">
    <cfRule type="expression" dxfId="5808" priority="1887">
      <formula>#REF!="Level 5 - Biology"</formula>
    </cfRule>
  </conditionalFormatting>
  <conditionalFormatting sqref="E342:E343">
    <cfRule type="beginsWith" dxfId="5807" priority="1863" stopIfTrue="1" operator="beginsWith" text="Functioning At Risk">
      <formula>LEFT(E342,LEN("Functioning At Risk"))="Functioning At Risk"</formula>
    </cfRule>
    <cfRule type="beginsWith" dxfId="5806" priority="1864" stopIfTrue="1" operator="beginsWith" text="Not Functioning">
      <formula>LEFT(E342,LEN("Not Functioning"))="Not Functioning"</formula>
    </cfRule>
    <cfRule type="containsText" dxfId="5805" priority="1865" operator="containsText" text="Functioning">
      <formula>NOT(ISERROR(SEARCH("Functioning",E342)))</formula>
    </cfRule>
  </conditionalFormatting>
  <conditionalFormatting sqref="E351">
    <cfRule type="expression" dxfId="5804" priority="1858">
      <formula>B170="Level 5 - Biology"</formula>
    </cfRule>
  </conditionalFormatting>
  <conditionalFormatting sqref="E348:E351">
    <cfRule type="beginsWith" dxfId="5803" priority="1855" stopIfTrue="1" operator="beginsWith" text="Functioning At Risk">
      <formula>LEFT(E348,LEN("Functioning At Risk"))="Functioning At Risk"</formula>
    </cfRule>
    <cfRule type="beginsWith" dxfId="5802" priority="1856" stopIfTrue="1" operator="beginsWith" text="Not Functioning">
      <formula>LEFT(E348,LEN("Not Functioning"))="Not Functioning"</formula>
    </cfRule>
    <cfRule type="containsText" dxfId="5801" priority="1857" operator="containsText" text="Functioning">
      <formula>NOT(ISERROR(SEARCH("Functioning",E348)))</formula>
    </cfRule>
  </conditionalFormatting>
  <conditionalFormatting sqref="E348:E350">
    <cfRule type="expression" dxfId="5800" priority="1859">
      <formula>B169="Level 5 - Biology"</formula>
    </cfRule>
  </conditionalFormatting>
  <conditionalFormatting sqref="E392 E360:E361 E384">
    <cfRule type="beginsWith" dxfId="5799" priority="1846" stopIfTrue="1" operator="beginsWith" text="Functioning At Risk">
      <formula>LEFT(E360,LEN("Functioning At Risk"))="Functioning At Risk"</formula>
    </cfRule>
    <cfRule type="beginsWith" dxfId="5798" priority="1847" stopIfTrue="1" operator="beginsWith" text="Not Functioning">
      <formula>LEFT(E360,LEN("Not Functioning"))="Not Functioning"</formula>
    </cfRule>
    <cfRule type="containsText" dxfId="5797" priority="1848" operator="containsText" text="Functioning">
      <formula>NOT(ISERROR(SEARCH("Functioning",E360)))</formula>
    </cfRule>
  </conditionalFormatting>
  <conditionalFormatting sqref="E393">
    <cfRule type="beginsWith" dxfId="5796" priority="1843" stopIfTrue="1" operator="beginsWith" text="Functioning At Risk">
      <formula>LEFT(E393,LEN("Functioning At Risk"))="Functioning At Risk"</formula>
    </cfRule>
    <cfRule type="beginsWith" dxfId="5795" priority="1844" stopIfTrue="1" operator="beginsWith" text="Not Functioning">
      <formula>LEFT(E393,LEN("Not Functioning"))="Not Functioning"</formula>
    </cfRule>
    <cfRule type="containsText" dxfId="5794" priority="1845" operator="containsText" text="Functioning">
      <formula>NOT(ISERROR(SEARCH("Functioning",E393)))</formula>
    </cfRule>
  </conditionalFormatting>
  <conditionalFormatting sqref="E384">
    <cfRule type="expression" dxfId="5793" priority="1838">
      <formula>#REF!="Level 4 - Physicochemical"</formula>
    </cfRule>
    <cfRule type="expression" dxfId="5792" priority="1842">
      <formula>#REF!="Level 5 - Biology"</formula>
    </cfRule>
  </conditionalFormatting>
  <conditionalFormatting sqref="E386">
    <cfRule type="expression" dxfId="5791" priority="1837">
      <formula>#REF!="Level 4 - Physicochemical"</formula>
    </cfRule>
    <cfRule type="expression" dxfId="5790" priority="1841">
      <formula>#REF!="Level 5 - Biology"</formula>
    </cfRule>
  </conditionalFormatting>
  <conditionalFormatting sqref="E387">
    <cfRule type="expression" dxfId="5789" priority="1836">
      <formula>#REF!="Level 4 - Physicochemical"</formula>
    </cfRule>
    <cfRule type="expression" dxfId="5788" priority="1840">
      <formula>#REF!="Level 5 - Biology"</formula>
    </cfRule>
  </conditionalFormatting>
  <conditionalFormatting sqref="E393">
    <cfRule type="expression" dxfId="5787" priority="1839">
      <formula>#REF!="Level 5 - Biology"</formula>
    </cfRule>
  </conditionalFormatting>
  <conditionalFormatting sqref="E385">
    <cfRule type="expression" dxfId="5786" priority="1852">
      <formula>#REF!="Level 4 - Physicochemical"</formula>
    </cfRule>
    <cfRule type="expression" dxfId="5785" priority="1853">
      <formula>#REF!="Level 5 - Biology"</formula>
    </cfRule>
  </conditionalFormatting>
  <conditionalFormatting sqref="E392">
    <cfRule type="expression" dxfId="5784" priority="1854">
      <formula>#REF!="Level 5 - Biology"</formula>
    </cfRule>
  </conditionalFormatting>
  <conditionalFormatting sqref="E382:E383">
    <cfRule type="beginsWith" dxfId="5783" priority="1830" stopIfTrue="1" operator="beginsWith" text="Functioning At Risk">
      <formula>LEFT(E382,LEN("Functioning At Risk"))="Functioning At Risk"</formula>
    </cfRule>
    <cfRule type="beginsWith" dxfId="5782" priority="1831" stopIfTrue="1" operator="beginsWith" text="Not Functioning">
      <formula>LEFT(E382,LEN("Not Functioning"))="Not Functioning"</formula>
    </cfRule>
    <cfRule type="containsText" dxfId="5781" priority="1832" operator="containsText" text="Functioning">
      <formula>NOT(ISERROR(SEARCH("Functioning",E382)))</formula>
    </cfRule>
  </conditionalFormatting>
  <conditionalFormatting sqref="E391">
    <cfRule type="expression" dxfId="5780" priority="1825">
      <formula>B210="Level 5 - Biology"</formula>
    </cfRule>
  </conditionalFormatting>
  <conditionalFormatting sqref="E388:E391">
    <cfRule type="beginsWith" dxfId="5779" priority="1822" stopIfTrue="1" operator="beginsWith" text="Functioning At Risk">
      <formula>LEFT(E388,LEN("Functioning At Risk"))="Functioning At Risk"</formula>
    </cfRule>
    <cfRule type="beginsWith" dxfId="5778" priority="1823" stopIfTrue="1" operator="beginsWith" text="Not Functioning">
      <formula>LEFT(E388,LEN("Not Functioning"))="Not Functioning"</formula>
    </cfRule>
    <cfRule type="containsText" dxfId="5777" priority="1824" operator="containsText" text="Functioning">
      <formula>NOT(ISERROR(SEARCH("Functioning",E388)))</formula>
    </cfRule>
  </conditionalFormatting>
  <conditionalFormatting sqref="E388:E390">
    <cfRule type="expression" dxfId="5776" priority="1826">
      <formula>B209="Level 5 - Biology"</formula>
    </cfRule>
  </conditionalFormatting>
  <conditionalFormatting sqref="C183">
    <cfRule type="beginsWith" dxfId="5775" priority="1591" stopIfTrue="1" operator="beginsWith" text="Functioning At Risk">
      <formula>LEFT(C183,LEN("Functioning At Risk"))="Functioning At Risk"</formula>
    </cfRule>
    <cfRule type="beginsWith" dxfId="5774" priority="1592" stopIfTrue="1" operator="beginsWith" text="Not Functioning">
      <formula>LEFT(C183,LEN("Not Functioning"))="Not Functioning"</formula>
    </cfRule>
    <cfRule type="containsText" dxfId="5773" priority="1593" operator="containsText" text="Functioning">
      <formula>NOT(ISERROR(SEARCH("Functioning",C183)))</formula>
    </cfRule>
  </conditionalFormatting>
  <conditionalFormatting sqref="E432 E400:E401 E424">
    <cfRule type="beginsWith" dxfId="5772" priority="1813" stopIfTrue="1" operator="beginsWith" text="Functioning At Risk">
      <formula>LEFT(E400,LEN("Functioning At Risk"))="Functioning At Risk"</formula>
    </cfRule>
    <cfRule type="beginsWith" dxfId="5771" priority="1814" stopIfTrue="1" operator="beginsWith" text="Not Functioning">
      <formula>LEFT(E400,LEN("Not Functioning"))="Not Functioning"</formula>
    </cfRule>
    <cfRule type="containsText" dxfId="5770" priority="1815" operator="containsText" text="Functioning">
      <formula>NOT(ISERROR(SEARCH("Functioning",E400)))</formula>
    </cfRule>
  </conditionalFormatting>
  <conditionalFormatting sqref="E433">
    <cfRule type="beginsWith" dxfId="5769" priority="1810" stopIfTrue="1" operator="beginsWith" text="Functioning At Risk">
      <formula>LEFT(E433,LEN("Functioning At Risk"))="Functioning At Risk"</formula>
    </cfRule>
    <cfRule type="beginsWith" dxfId="5768" priority="1811" stopIfTrue="1" operator="beginsWith" text="Not Functioning">
      <formula>LEFT(E433,LEN("Not Functioning"))="Not Functioning"</formula>
    </cfRule>
    <cfRule type="containsText" dxfId="5767" priority="1812" operator="containsText" text="Functioning">
      <formula>NOT(ISERROR(SEARCH("Functioning",E433)))</formula>
    </cfRule>
  </conditionalFormatting>
  <conditionalFormatting sqref="E424">
    <cfRule type="expression" dxfId="5766" priority="1805">
      <formula>#REF!="Level 4 - Physicochemical"</formula>
    </cfRule>
    <cfRule type="expression" dxfId="5765" priority="1809">
      <formula>#REF!="Level 5 - Biology"</formula>
    </cfRule>
  </conditionalFormatting>
  <conditionalFormatting sqref="E426">
    <cfRule type="expression" dxfId="5764" priority="1804">
      <formula>#REF!="Level 4 - Physicochemical"</formula>
    </cfRule>
    <cfRule type="expression" dxfId="5763" priority="1808">
      <formula>#REF!="Level 5 - Biology"</formula>
    </cfRule>
  </conditionalFormatting>
  <conditionalFormatting sqref="E427">
    <cfRule type="expression" dxfId="5762" priority="1803">
      <formula>#REF!="Level 4 - Physicochemical"</formula>
    </cfRule>
    <cfRule type="expression" dxfId="5761" priority="1807">
      <formula>#REF!="Level 5 - Biology"</formula>
    </cfRule>
  </conditionalFormatting>
  <conditionalFormatting sqref="E433">
    <cfRule type="expression" dxfId="5760" priority="1806">
      <formula>#REF!="Level 5 - Biology"</formula>
    </cfRule>
  </conditionalFormatting>
  <conditionalFormatting sqref="E425">
    <cfRule type="expression" dxfId="5759" priority="1819">
      <formula>#REF!="Level 4 - Physicochemical"</formula>
    </cfRule>
    <cfRule type="expression" dxfId="5758" priority="1820">
      <formula>#REF!="Level 5 - Biology"</formula>
    </cfRule>
  </conditionalFormatting>
  <conditionalFormatting sqref="E432">
    <cfRule type="expression" dxfId="5757" priority="1821">
      <formula>#REF!="Level 5 - Biology"</formula>
    </cfRule>
  </conditionalFormatting>
  <conditionalFormatting sqref="E422:E423">
    <cfRule type="beginsWith" dxfId="5756" priority="1797" stopIfTrue="1" operator="beginsWith" text="Functioning At Risk">
      <formula>LEFT(E422,LEN("Functioning At Risk"))="Functioning At Risk"</formula>
    </cfRule>
    <cfRule type="beginsWith" dxfId="5755" priority="1798" stopIfTrue="1" operator="beginsWith" text="Not Functioning">
      <formula>LEFT(E422,LEN("Not Functioning"))="Not Functioning"</formula>
    </cfRule>
    <cfRule type="containsText" dxfId="5754" priority="1799" operator="containsText" text="Functioning">
      <formula>NOT(ISERROR(SEARCH("Functioning",E422)))</formula>
    </cfRule>
  </conditionalFormatting>
  <conditionalFormatting sqref="E431">
    <cfRule type="expression" dxfId="5753" priority="1792">
      <formula>B250="Level 5 - Biology"</formula>
    </cfRule>
  </conditionalFormatting>
  <conditionalFormatting sqref="E428:E431">
    <cfRule type="beginsWith" dxfId="5752" priority="1789" stopIfTrue="1" operator="beginsWith" text="Functioning At Risk">
      <formula>LEFT(E428,LEN("Functioning At Risk"))="Functioning At Risk"</formula>
    </cfRule>
    <cfRule type="beginsWith" dxfId="5751" priority="1790" stopIfTrue="1" operator="beginsWith" text="Not Functioning">
      <formula>LEFT(E428,LEN("Not Functioning"))="Not Functioning"</formula>
    </cfRule>
    <cfRule type="containsText" dxfId="5750" priority="1791" operator="containsText" text="Functioning">
      <formula>NOT(ISERROR(SEARCH("Functioning",E428)))</formula>
    </cfRule>
  </conditionalFormatting>
  <conditionalFormatting sqref="E428:E430">
    <cfRule type="expression" dxfId="5749" priority="1793">
      <formula>B249="Level 5 - Biology"</formula>
    </cfRule>
  </conditionalFormatting>
  <conditionalFormatting sqref="B72:B74">
    <cfRule type="beginsWith" dxfId="5748" priority="1786" stopIfTrue="1" operator="beginsWith" text="Functioning At Risk">
      <formula>LEFT(B72,LEN("Functioning At Risk"))="Functioning At Risk"</formula>
    </cfRule>
    <cfRule type="beginsWith" dxfId="5747" priority="1787" stopIfTrue="1" operator="beginsWith" text="Not Functioning">
      <formula>LEFT(B72,LEN("Not Functioning"))="Not Functioning"</formula>
    </cfRule>
    <cfRule type="containsText" dxfId="5746" priority="1788" operator="containsText" text="Functioning">
      <formula>NOT(ISERROR(SEARCH("Functioning",B72)))</formula>
    </cfRule>
  </conditionalFormatting>
  <conditionalFormatting sqref="B111:B113">
    <cfRule type="beginsWith" dxfId="5745" priority="1783" stopIfTrue="1" operator="beginsWith" text="Functioning At Risk">
      <formula>LEFT(B111,LEN("Functioning At Risk"))="Functioning At Risk"</formula>
    </cfRule>
    <cfRule type="beginsWith" dxfId="5744" priority="1784" stopIfTrue="1" operator="beginsWith" text="Not Functioning">
      <formula>LEFT(B111,LEN("Not Functioning"))="Not Functioning"</formula>
    </cfRule>
    <cfRule type="containsText" dxfId="5743" priority="1785" operator="containsText" text="Functioning">
      <formula>NOT(ISERROR(SEARCH("Functioning",B111)))</formula>
    </cfRule>
  </conditionalFormatting>
  <conditionalFormatting sqref="B150:B152">
    <cfRule type="beginsWith" dxfId="5742" priority="1780" stopIfTrue="1" operator="beginsWith" text="Functioning At Risk">
      <formula>LEFT(B150,LEN("Functioning At Risk"))="Functioning At Risk"</formula>
    </cfRule>
    <cfRule type="beginsWith" dxfId="5741" priority="1781" stopIfTrue="1" operator="beginsWith" text="Not Functioning">
      <formula>LEFT(B150,LEN("Not Functioning"))="Not Functioning"</formula>
    </cfRule>
    <cfRule type="containsText" dxfId="5740" priority="1782" operator="containsText" text="Functioning">
      <formula>NOT(ISERROR(SEARCH("Functioning",B150)))</formula>
    </cfRule>
  </conditionalFormatting>
  <conditionalFormatting sqref="B189:B191">
    <cfRule type="beginsWith" dxfId="5739" priority="1777" stopIfTrue="1" operator="beginsWith" text="Functioning At Risk">
      <formula>LEFT(B189,LEN("Functioning At Risk"))="Functioning At Risk"</formula>
    </cfRule>
    <cfRule type="beginsWith" dxfId="5738" priority="1778" stopIfTrue="1" operator="beginsWith" text="Not Functioning">
      <formula>LEFT(B189,LEN("Not Functioning"))="Not Functioning"</formula>
    </cfRule>
    <cfRule type="containsText" dxfId="5737" priority="1779" operator="containsText" text="Functioning">
      <formula>NOT(ISERROR(SEARCH("Functioning",B189)))</formula>
    </cfRule>
  </conditionalFormatting>
  <conditionalFormatting sqref="B228:B230">
    <cfRule type="beginsWith" dxfId="5736" priority="1774" stopIfTrue="1" operator="beginsWith" text="Functioning At Risk">
      <formula>LEFT(B228,LEN("Functioning At Risk"))="Functioning At Risk"</formula>
    </cfRule>
    <cfRule type="beginsWith" dxfId="5735" priority="1775" stopIfTrue="1" operator="beginsWith" text="Not Functioning">
      <formula>LEFT(B228,LEN("Not Functioning"))="Not Functioning"</formula>
    </cfRule>
    <cfRule type="containsText" dxfId="5734" priority="1776" operator="containsText" text="Functioning">
      <formula>NOT(ISERROR(SEARCH("Functioning",B228)))</formula>
    </cfRule>
  </conditionalFormatting>
  <conditionalFormatting sqref="B268:B270">
    <cfRule type="beginsWith" dxfId="5733" priority="1771" stopIfTrue="1" operator="beginsWith" text="Functioning At Risk">
      <formula>LEFT(B268,LEN("Functioning At Risk"))="Functioning At Risk"</formula>
    </cfRule>
    <cfRule type="beginsWith" dxfId="5732" priority="1772" stopIfTrue="1" operator="beginsWith" text="Not Functioning">
      <formula>LEFT(B268,LEN("Not Functioning"))="Not Functioning"</formula>
    </cfRule>
    <cfRule type="containsText" dxfId="5731" priority="1773" operator="containsText" text="Functioning">
      <formula>NOT(ISERROR(SEARCH("Functioning",B268)))</formula>
    </cfRule>
  </conditionalFormatting>
  <conditionalFormatting sqref="B308:B310">
    <cfRule type="beginsWith" dxfId="5730" priority="1768" stopIfTrue="1" operator="beginsWith" text="Functioning At Risk">
      <formula>LEFT(B308,LEN("Functioning At Risk"))="Functioning At Risk"</formula>
    </cfRule>
    <cfRule type="beginsWith" dxfId="5729" priority="1769" stopIfTrue="1" operator="beginsWith" text="Not Functioning">
      <formula>LEFT(B308,LEN("Not Functioning"))="Not Functioning"</formula>
    </cfRule>
    <cfRule type="containsText" dxfId="5728" priority="1770" operator="containsText" text="Functioning">
      <formula>NOT(ISERROR(SEARCH("Functioning",B308)))</formula>
    </cfRule>
  </conditionalFormatting>
  <conditionalFormatting sqref="B348:B350">
    <cfRule type="beginsWith" dxfId="5727" priority="1765" stopIfTrue="1" operator="beginsWith" text="Functioning At Risk">
      <formula>LEFT(B348,LEN("Functioning At Risk"))="Functioning At Risk"</formula>
    </cfRule>
    <cfRule type="beginsWith" dxfId="5726" priority="1766" stopIfTrue="1" operator="beginsWith" text="Not Functioning">
      <formula>LEFT(B348,LEN("Not Functioning"))="Not Functioning"</formula>
    </cfRule>
    <cfRule type="containsText" dxfId="5725" priority="1767" operator="containsText" text="Functioning">
      <formula>NOT(ISERROR(SEARCH("Functioning",B348)))</formula>
    </cfRule>
  </conditionalFormatting>
  <conditionalFormatting sqref="B388:B390">
    <cfRule type="beginsWith" dxfId="5724" priority="1762" stopIfTrue="1" operator="beginsWith" text="Functioning At Risk">
      <formula>LEFT(B388,LEN("Functioning At Risk"))="Functioning At Risk"</formula>
    </cfRule>
    <cfRule type="beginsWith" dxfId="5723" priority="1763" stopIfTrue="1" operator="beginsWith" text="Not Functioning">
      <formula>LEFT(B388,LEN("Not Functioning"))="Not Functioning"</formula>
    </cfRule>
    <cfRule type="containsText" dxfId="5722" priority="1764" operator="containsText" text="Functioning">
      <formula>NOT(ISERROR(SEARCH("Functioning",B388)))</formula>
    </cfRule>
  </conditionalFormatting>
  <conditionalFormatting sqref="B428:B430">
    <cfRule type="beginsWith" dxfId="5721" priority="1759" stopIfTrue="1" operator="beginsWith" text="Functioning At Risk">
      <formula>LEFT(B428,LEN("Functioning At Risk"))="Functioning At Risk"</formula>
    </cfRule>
    <cfRule type="beginsWith" dxfId="5720" priority="1760" stopIfTrue="1" operator="beginsWith" text="Not Functioning">
      <formula>LEFT(B428,LEN("Not Functioning"))="Not Functioning"</formula>
    </cfRule>
    <cfRule type="containsText" dxfId="5719" priority="1761" operator="containsText" text="Functioning">
      <formula>NOT(ISERROR(SEARCH("Functioning",B428)))</formula>
    </cfRule>
  </conditionalFormatting>
  <conditionalFormatting sqref="C13:C15 C30:C31 C24:C25 C36 C28 C5:C8 C33:C34">
    <cfRule type="beginsWith" dxfId="5718" priority="1726" stopIfTrue="1" operator="beginsWith" text="Functioning At Risk">
      <formula>LEFT(C5,LEN("Functioning At Risk"))="Functioning At Risk"</formula>
    </cfRule>
    <cfRule type="beginsWith" dxfId="5717" priority="1727" stopIfTrue="1" operator="beginsWith" text="Not Functioning">
      <formula>LEFT(C5,LEN("Not Functioning"))="Not Functioning"</formula>
    </cfRule>
    <cfRule type="containsText" dxfId="5716" priority="1728" operator="containsText" text="Functioning">
      <formula>NOT(ISERROR(SEARCH("Functioning",C5)))</formula>
    </cfRule>
  </conditionalFormatting>
  <conditionalFormatting sqref="C16">
    <cfRule type="beginsWith" dxfId="5715" priority="1723" stopIfTrue="1" operator="beginsWith" text="Functioning At Risk">
      <formula>LEFT(C16,LEN("Functioning At Risk"))="Functioning At Risk"</formula>
    </cfRule>
    <cfRule type="beginsWith" dxfId="5714" priority="1724" stopIfTrue="1" operator="beginsWith" text="Not Functioning">
      <formula>LEFT(C16,LEN("Not Functioning"))="Not Functioning"</formula>
    </cfRule>
    <cfRule type="containsText" dxfId="5713" priority="1725" operator="containsText" text="Functioning">
      <formula>NOT(ISERROR(SEARCH("Functioning",C16)))</formula>
    </cfRule>
  </conditionalFormatting>
  <conditionalFormatting sqref="C23">
    <cfRule type="beginsWith" dxfId="5712" priority="1720" stopIfTrue="1" operator="beginsWith" text="Functioning At Risk">
      <formula>LEFT(C23,LEN("Functioning At Risk"))="Functioning At Risk"</formula>
    </cfRule>
    <cfRule type="beginsWith" dxfId="5711" priority="1721" stopIfTrue="1" operator="beginsWith" text="Not Functioning">
      <formula>LEFT(C23,LEN("Not Functioning"))="Not Functioning"</formula>
    </cfRule>
    <cfRule type="containsText" dxfId="5710" priority="1722" operator="containsText" text="Functioning">
      <formula>NOT(ISERROR(SEARCH("Functioning",C23)))</formula>
    </cfRule>
  </conditionalFormatting>
  <conditionalFormatting sqref="C17:C20">
    <cfRule type="beginsWith" dxfId="5709" priority="1717" stopIfTrue="1" operator="beginsWith" text="Functioning At Risk">
      <formula>LEFT(C17,LEN("Functioning At Risk"))="Functioning At Risk"</formula>
    </cfRule>
    <cfRule type="beginsWith" dxfId="5708" priority="1718" stopIfTrue="1" operator="beginsWith" text="Not Functioning">
      <formula>LEFT(C17,LEN("Not Functioning"))="Not Functioning"</formula>
    </cfRule>
    <cfRule type="containsText" dxfId="5707" priority="1719" operator="containsText" text="Functioning">
      <formula>NOT(ISERROR(SEARCH("Functioning",C17)))</formula>
    </cfRule>
  </conditionalFormatting>
  <conditionalFormatting sqref="C26">
    <cfRule type="beginsWith" dxfId="5706" priority="1714" stopIfTrue="1" operator="beginsWith" text="Functioning At Risk">
      <formula>LEFT(C26,LEN("Functioning At Risk"))="Functioning At Risk"</formula>
    </cfRule>
    <cfRule type="beginsWith" dxfId="5705" priority="1715" stopIfTrue="1" operator="beginsWith" text="Not Functioning">
      <formula>LEFT(C26,LEN("Not Functioning"))="Not Functioning"</formula>
    </cfRule>
    <cfRule type="containsText" dxfId="5704" priority="1716" operator="containsText" text="Functioning">
      <formula>NOT(ISERROR(SEARCH("Functioning",C26)))</formula>
    </cfRule>
  </conditionalFormatting>
  <conditionalFormatting sqref="C38">
    <cfRule type="beginsWith" dxfId="5703" priority="1705" stopIfTrue="1" operator="beginsWith" text="Functioning At Risk">
      <formula>LEFT(C38,LEN("Functioning At Risk"))="Functioning At Risk"</formula>
    </cfRule>
    <cfRule type="beginsWith" dxfId="5702" priority="1706" stopIfTrue="1" operator="beginsWith" text="Not Functioning">
      <formula>LEFT(C38,LEN("Not Functioning"))="Not Functioning"</formula>
    </cfRule>
    <cfRule type="containsText" dxfId="5701" priority="1707" operator="containsText" text="Functioning">
      <formula>NOT(ISERROR(SEARCH("Functioning",C38)))</formula>
    </cfRule>
  </conditionalFormatting>
  <conditionalFormatting sqref="C37">
    <cfRule type="beginsWith" dxfId="5700" priority="1708" stopIfTrue="1" operator="beginsWith" text="Functioning At Risk">
      <formula>LEFT(C37,LEN("Functioning At Risk"))="Functioning At Risk"</formula>
    </cfRule>
    <cfRule type="beginsWith" dxfId="5699" priority="1709" stopIfTrue="1" operator="beginsWith" text="Not Functioning">
      <formula>LEFT(C37,LEN("Not Functioning"))="Not Functioning"</formula>
    </cfRule>
    <cfRule type="containsText" dxfId="5698" priority="1710" operator="containsText" text="Functioning">
      <formula>NOT(ISERROR(SEARCH("Functioning",C37)))</formula>
    </cfRule>
  </conditionalFormatting>
  <conditionalFormatting sqref="C35">
    <cfRule type="beginsWith" dxfId="5697" priority="1702" stopIfTrue="1" operator="beginsWith" text="Functioning At Risk">
      <formula>LEFT(C35,LEN("Functioning At Risk"))="Functioning At Risk"</formula>
    </cfRule>
    <cfRule type="beginsWith" dxfId="5696" priority="1703" stopIfTrue="1" operator="beginsWith" text="Not Functioning">
      <formula>LEFT(C35,LEN("Not Functioning"))="Not Functioning"</formula>
    </cfRule>
    <cfRule type="containsText" dxfId="5695" priority="1704" operator="containsText" text="Functioning">
      <formula>NOT(ISERROR(SEARCH("Functioning",C35)))</formula>
    </cfRule>
  </conditionalFormatting>
  <conditionalFormatting sqref="C21:C22">
    <cfRule type="beginsWith" dxfId="5694" priority="1699" stopIfTrue="1" operator="beginsWith" text="Functioning At Risk">
      <formula>LEFT(C21,LEN("Functioning At Risk"))="Functioning At Risk"</formula>
    </cfRule>
    <cfRule type="beginsWith" dxfId="5693" priority="1700" stopIfTrue="1" operator="beginsWith" text="Not Functioning">
      <formula>LEFT(C21,LEN("Not Functioning"))="Not Functioning"</formula>
    </cfRule>
    <cfRule type="containsText" dxfId="5692" priority="1701" operator="containsText" text="Functioning">
      <formula>NOT(ISERROR(SEARCH("Functioning",C21)))</formula>
    </cfRule>
  </conditionalFormatting>
  <conditionalFormatting sqref="C52:C54 C69:C70 C63:C64 C75 C67 C44:C47 C72:C73">
    <cfRule type="beginsWith" dxfId="5691" priority="1696" stopIfTrue="1" operator="beginsWith" text="Functioning At Risk">
      <formula>LEFT(C44,LEN("Functioning At Risk"))="Functioning At Risk"</formula>
    </cfRule>
    <cfRule type="beginsWith" dxfId="5690" priority="1697" stopIfTrue="1" operator="beginsWith" text="Not Functioning">
      <formula>LEFT(C44,LEN("Not Functioning"))="Not Functioning"</formula>
    </cfRule>
    <cfRule type="containsText" dxfId="5689" priority="1698" operator="containsText" text="Functioning">
      <formula>NOT(ISERROR(SEARCH("Functioning",C44)))</formula>
    </cfRule>
  </conditionalFormatting>
  <conditionalFormatting sqref="C55">
    <cfRule type="beginsWith" dxfId="5688" priority="1693" stopIfTrue="1" operator="beginsWith" text="Functioning At Risk">
      <formula>LEFT(C55,LEN("Functioning At Risk"))="Functioning At Risk"</formula>
    </cfRule>
    <cfRule type="beginsWith" dxfId="5687" priority="1694" stopIfTrue="1" operator="beginsWith" text="Not Functioning">
      <formula>LEFT(C55,LEN("Not Functioning"))="Not Functioning"</formula>
    </cfRule>
    <cfRule type="containsText" dxfId="5686" priority="1695" operator="containsText" text="Functioning">
      <formula>NOT(ISERROR(SEARCH("Functioning",C55)))</formula>
    </cfRule>
  </conditionalFormatting>
  <conditionalFormatting sqref="C62">
    <cfRule type="beginsWith" dxfId="5685" priority="1690" stopIfTrue="1" operator="beginsWith" text="Functioning At Risk">
      <formula>LEFT(C62,LEN("Functioning At Risk"))="Functioning At Risk"</formula>
    </cfRule>
    <cfRule type="beginsWith" dxfId="5684" priority="1691" stopIfTrue="1" operator="beginsWith" text="Not Functioning">
      <formula>LEFT(C62,LEN("Not Functioning"))="Not Functioning"</formula>
    </cfRule>
    <cfRule type="containsText" dxfId="5683" priority="1692" operator="containsText" text="Functioning">
      <formula>NOT(ISERROR(SEARCH("Functioning",C62)))</formula>
    </cfRule>
  </conditionalFormatting>
  <conditionalFormatting sqref="C56:C59">
    <cfRule type="beginsWith" dxfId="5682" priority="1687" stopIfTrue="1" operator="beginsWith" text="Functioning At Risk">
      <formula>LEFT(C56,LEN("Functioning At Risk"))="Functioning At Risk"</formula>
    </cfRule>
    <cfRule type="beginsWith" dxfId="5681" priority="1688" stopIfTrue="1" operator="beginsWith" text="Not Functioning">
      <formula>LEFT(C56,LEN("Not Functioning"))="Not Functioning"</formula>
    </cfRule>
    <cfRule type="containsText" dxfId="5680" priority="1689" operator="containsText" text="Functioning">
      <formula>NOT(ISERROR(SEARCH("Functioning",C56)))</formula>
    </cfRule>
  </conditionalFormatting>
  <conditionalFormatting sqref="C65">
    <cfRule type="beginsWith" dxfId="5679" priority="1684" stopIfTrue="1" operator="beginsWith" text="Functioning At Risk">
      <formula>LEFT(C65,LEN("Functioning At Risk"))="Functioning At Risk"</formula>
    </cfRule>
    <cfRule type="beginsWith" dxfId="5678" priority="1685" stopIfTrue="1" operator="beginsWith" text="Not Functioning">
      <formula>LEFT(C65,LEN("Not Functioning"))="Not Functioning"</formula>
    </cfRule>
    <cfRule type="containsText" dxfId="5677" priority="1686" operator="containsText" text="Functioning">
      <formula>NOT(ISERROR(SEARCH("Functioning",C65)))</formula>
    </cfRule>
  </conditionalFormatting>
  <conditionalFormatting sqref="C66">
    <cfRule type="beginsWith" dxfId="5676" priority="1681" stopIfTrue="1" operator="beginsWith" text="Functioning At Risk">
      <formula>LEFT(C66,LEN("Functioning At Risk"))="Functioning At Risk"</formula>
    </cfRule>
    <cfRule type="beginsWith" dxfId="5675" priority="1682" stopIfTrue="1" operator="beginsWith" text="Not Functioning">
      <formula>LEFT(C66,LEN("Not Functioning"))="Not Functioning"</formula>
    </cfRule>
    <cfRule type="containsText" dxfId="5674" priority="1683" operator="containsText" text="Functioning">
      <formula>NOT(ISERROR(SEARCH("Functioning",C66)))</formula>
    </cfRule>
  </conditionalFormatting>
  <conditionalFormatting sqref="C77">
    <cfRule type="beginsWith" dxfId="5673" priority="1675" stopIfTrue="1" operator="beginsWith" text="Functioning At Risk">
      <formula>LEFT(C77,LEN("Functioning At Risk"))="Functioning At Risk"</formula>
    </cfRule>
    <cfRule type="beginsWith" dxfId="5672" priority="1676" stopIfTrue="1" operator="beginsWith" text="Not Functioning">
      <formula>LEFT(C77,LEN("Not Functioning"))="Not Functioning"</formula>
    </cfRule>
    <cfRule type="containsText" dxfId="5671" priority="1677" operator="containsText" text="Functioning">
      <formula>NOT(ISERROR(SEARCH("Functioning",C77)))</formula>
    </cfRule>
  </conditionalFormatting>
  <conditionalFormatting sqref="C76">
    <cfRule type="beginsWith" dxfId="5670" priority="1678" stopIfTrue="1" operator="beginsWith" text="Functioning At Risk">
      <formula>LEFT(C76,LEN("Functioning At Risk"))="Functioning At Risk"</formula>
    </cfRule>
    <cfRule type="beginsWith" dxfId="5669" priority="1679" stopIfTrue="1" operator="beginsWith" text="Not Functioning">
      <formula>LEFT(C76,LEN("Not Functioning"))="Not Functioning"</formula>
    </cfRule>
    <cfRule type="containsText" dxfId="5668" priority="1680" operator="containsText" text="Functioning">
      <formula>NOT(ISERROR(SEARCH("Functioning",C76)))</formula>
    </cfRule>
  </conditionalFormatting>
  <conditionalFormatting sqref="C74">
    <cfRule type="beginsWith" dxfId="5667" priority="1672" stopIfTrue="1" operator="beginsWith" text="Functioning At Risk">
      <formula>LEFT(C74,LEN("Functioning At Risk"))="Functioning At Risk"</formula>
    </cfRule>
    <cfRule type="beginsWith" dxfId="5666" priority="1673" stopIfTrue="1" operator="beginsWith" text="Not Functioning">
      <formula>LEFT(C74,LEN("Not Functioning"))="Not Functioning"</formula>
    </cfRule>
    <cfRule type="containsText" dxfId="5665" priority="1674" operator="containsText" text="Functioning">
      <formula>NOT(ISERROR(SEARCH("Functioning",C74)))</formula>
    </cfRule>
  </conditionalFormatting>
  <conditionalFormatting sqref="C60:C61">
    <cfRule type="beginsWith" dxfId="5664" priority="1669" stopIfTrue="1" operator="beginsWith" text="Functioning At Risk">
      <formula>LEFT(C60,LEN("Functioning At Risk"))="Functioning At Risk"</formula>
    </cfRule>
    <cfRule type="beginsWith" dxfId="5663" priority="1670" stopIfTrue="1" operator="beginsWith" text="Not Functioning">
      <formula>LEFT(C60,LEN("Not Functioning"))="Not Functioning"</formula>
    </cfRule>
    <cfRule type="containsText" dxfId="5662" priority="1671" operator="containsText" text="Functioning">
      <formula>NOT(ISERROR(SEARCH("Functioning",C60)))</formula>
    </cfRule>
  </conditionalFormatting>
  <conditionalFormatting sqref="C91:C93 C108:C109 C102:C103 C114 C106 C83:C86 C111:C112">
    <cfRule type="beginsWith" dxfId="5661" priority="1666" stopIfTrue="1" operator="beginsWith" text="Functioning At Risk">
      <formula>LEFT(C83,LEN("Functioning At Risk"))="Functioning At Risk"</formula>
    </cfRule>
    <cfRule type="beginsWith" dxfId="5660" priority="1667" stopIfTrue="1" operator="beginsWith" text="Not Functioning">
      <formula>LEFT(C83,LEN("Not Functioning"))="Not Functioning"</formula>
    </cfRule>
    <cfRule type="containsText" dxfId="5659" priority="1668" operator="containsText" text="Functioning">
      <formula>NOT(ISERROR(SEARCH("Functioning",C83)))</formula>
    </cfRule>
  </conditionalFormatting>
  <conditionalFormatting sqref="C94">
    <cfRule type="beginsWith" dxfId="5658" priority="1663" stopIfTrue="1" operator="beginsWith" text="Functioning At Risk">
      <formula>LEFT(C94,LEN("Functioning At Risk"))="Functioning At Risk"</formula>
    </cfRule>
    <cfRule type="beginsWith" dxfId="5657" priority="1664" stopIfTrue="1" operator="beginsWith" text="Not Functioning">
      <formula>LEFT(C94,LEN("Not Functioning"))="Not Functioning"</formula>
    </cfRule>
    <cfRule type="containsText" dxfId="5656" priority="1665" operator="containsText" text="Functioning">
      <formula>NOT(ISERROR(SEARCH("Functioning",C94)))</formula>
    </cfRule>
  </conditionalFormatting>
  <conditionalFormatting sqref="C101">
    <cfRule type="beginsWith" dxfId="5655" priority="1660" stopIfTrue="1" operator="beginsWith" text="Functioning At Risk">
      <formula>LEFT(C101,LEN("Functioning At Risk"))="Functioning At Risk"</formula>
    </cfRule>
    <cfRule type="beginsWith" dxfId="5654" priority="1661" stopIfTrue="1" operator="beginsWith" text="Not Functioning">
      <formula>LEFT(C101,LEN("Not Functioning"))="Not Functioning"</formula>
    </cfRule>
    <cfRule type="containsText" dxfId="5653" priority="1662" operator="containsText" text="Functioning">
      <formula>NOT(ISERROR(SEARCH("Functioning",C101)))</formula>
    </cfRule>
  </conditionalFormatting>
  <conditionalFormatting sqref="C95:C98">
    <cfRule type="beginsWith" dxfId="5652" priority="1657" stopIfTrue="1" operator="beginsWith" text="Functioning At Risk">
      <formula>LEFT(C95,LEN("Functioning At Risk"))="Functioning At Risk"</formula>
    </cfRule>
    <cfRule type="beginsWith" dxfId="5651" priority="1658" stopIfTrue="1" operator="beginsWith" text="Not Functioning">
      <formula>LEFT(C95,LEN("Not Functioning"))="Not Functioning"</formula>
    </cfRule>
    <cfRule type="containsText" dxfId="5650" priority="1659" operator="containsText" text="Functioning">
      <formula>NOT(ISERROR(SEARCH("Functioning",C95)))</formula>
    </cfRule>
  </conditionalFormatting>
  <conditionalFormatting sqref="C104">
    <cfRule type="beginsWith" dxfId="5649" priority="1654" stopIfTrue="1" operator="beginsWith" text="Functioning At Risk">
      <formula>LEFT(C104,LEN("Functioning At Risk"))="Functioning At Risk"</formula>
    </cfRule>
    <cfRule type="beginsWith" dxfId="5648" priority="1655" stopIfTrue="1" operator="beginsWith" text="Not Functioning">
      <formula>LEFT(C104,LEN("Not Functioning"))="Not Functioning"</formula>
    </cfRule>
    <cfRule type="containsText" dxfId="5647" priority="1656" operator="containsText" text="Functioning">
      <formula>NOT(ISERROR(SEARCH("Functioning",C104)))</formula>
    </cfRule>
  </conditionalFormatting>
  <conditionalFormatting sqref="C105">
    <cfRule type="beginsWith" dxfId="5646" priority="1651" stopIfTrue="1" operator="beginsWith" text="Functioning At Risk">
      <formula>LEFT(C105,LEN("Functioning At Risk"))="Functioning At Risk"</formula>
    </cfRule>
    <cfRule type="beginsWith" dxfId="5645" priority="1652" stopIfTrue="1" operator="beginsWith" text="Not Functioning">
      <formula>LEFT(C105,LEN("Not Functioning"))="Not Functioning"</formula>
    </cfRule>
    <cfRule type="containsText" dxfId="5644" priority="1653" operator="containsText" text="Functioning">
      <formula>NOT(ISERROR(SEARCH("Functioning",C105)))</formula>
    </cfRule>
  </conditionalFormatting>
  <conditionalFormatting sqref="C116">
    <cfRule type="beginsWith" dxfId="5643" priority="1645" stopIfTrue="1" operator="beginsWith" text="Functioning At Risk">
      <formula>LEFT(C116,LEN("Functioning At Risk"))="Functioning At Risk"</formula>
    </cfRule>
    <cfRule type="beginsWith" dxfId="5642" priority="1646" stopIfTrue="1" operator="beginsWith" text="Not Functioning">
      <formula>LEFT(C116,LEN("Not Functioning"))="Not Functioning"</formula>
    </cfRule>
    <cfRule type="containsText" dxfId="5641" priority="1647" operator="containsText" text="Functioning">
      <formula>NOT(ISERROR(SEARCH("Functioning",C116)))</formula>
    </cfRule>
  </conditionalFormatting>
  <conditionalFormatting sqref="C115">
    <cfRule type="beginsWith" dxfId="5640" priority="1648" stopIfTrue="1" operator="beginsWith" text="Functioning At Risk">
      <formula>LEFT(C115,LEN("Functioning At Risk"))="Functioning At Risk"</formula>
    </cfRule>
    <cfRule type="beginsWith" dxfId="5639" priority="1649" stopIfTrue="1" operator="beginsWith" text="Not Functioning">
      <formula>LEFT(C115,LEN("Not Functioning"))="Not Functioning"</formula>
    </cfRule>
    <cfRule type="containsText" dxfId="5638" priority="1650" operator="containsText" text="Functioning">
      <formula>NOT(ISERROR(SEARCH("Functioning",C115)))</formula>
    </cfRule>
  </conditionalFormatting>
  <conditionalFormatting sqref="C113">
    <cfRule type="beginsWith" dxfId="5637" priority="1642" stopIfTrue="1" operator="beginsWith" text="Functioning At Risk">
      <formula>LEFT(C113,LEN("Functioning At Risk"))="Functioning At Risk"</formula>
    </cfRule>
    <cfRule type="beginsWith" dxfId="5636" priority="1643" stopIfTrue="1" operator="beginsWith" text="Not Functioning">
      <formula>LEFT(C113,LEN("Not Functioning"))="Not Functioning"</formula>
    </cfRule>
    <cfRule type="containsText" dxfId="5635" priority="1644" operator="containsText" text="Functioning">
      <formula>NOT(ISERROR(SEARCH("Functioning",C113)))</formula>
    </cfRule>
  </conditionalFormatting>
  <conditionalFormatting sqref="C99:C100">
    <cfRule type="beginsWith" dxfId="5634" priority="1639" stopIfTrue="1" operator="beginsWith" text="Functioning At Risk">
      <formula>LEFT(C99,LEN("Functioning At Risk"))="Functioning At Risk"</formula>
    </cfRule>
    <cfRule type="beginsWith" dxfId="5633" priority="1640" stopIfTrue="1" operator="beginsWith" text="Not Functioning">
      <formula>LEFT(C99,LEN("Not Functioning"))="Not Functioning"</formula>
    </cfRule>
    <cfRule type="containsText" dxfId="5632" priority="1641" operator="containsText" text="Functioning">
      <formula>NOT(ISERROR(SEARCH("Functioning",C99)))</formula>
    </cfRule>
  </conditionalFormatting>
  <conditionalFormatting sqref="C130:C132 C147:C148 C141:C142 C153 C145 C122:C125 C150:C151">
    <cfRule type="beginsWith" dxfId="5631" priority="1636" stopIfTrue="1" operator="beginsWith" text="Functioning At Risk">
      <formula>LEFT(C122,LEN("Functioning At Risk"))="Functioning At Risk"</formula>
    </cfRule>
    <cfRule type="beginsWith" dxfId="5630" priority="1637" stopIfTrue="1" operator="beginsWith" text="Not Functioning">
      <formula>LEFT(C122,LEN("Not Functioning"))="Not Functioning"</formula>
    </cfRule>
    <cfRule type="containsText" dxfId="5629" priority="1638" operator="containsText" text="Functioning">
      <formula>NOT(ISERROR(SEARCH("Functioning",C122)))</formula>
    </cfRule>
  </conditionalFormatting>
  <conditionalFormatting sqref="C133">
    <cfRule type="beginsWith" dxfId="5628" priority="1633" stopIfTrue="1" operator="beginsWith" text="Functioning At Risk">
      <formula>LEFT(C133,LEN("Functioning At Risk"))="Functioning At Risk"</formula>
    </cfRule>
    <cfRule type="beginsWith" dxfId="5627" priority="1634" stopIfTrue="1" operator="beginsWith" text="Not Functioning">
      <formula>LEFT(C133,LEN("Not Functioning"))="Not Functioning"</formula>
    </cfRule>
    <cfRule type="containsText" dxfId="5626" priority="1635" operator="containsText" text="Functioning">
      <formula>NOT(ISERROR(SEARCH("Functioning",C133)))</formula>
    </cfRule>
  </conditionalFormatting>
  <conditionalFormatting sqref="C140">
    <cfRule type="beginsWith" dxfId="5625" priority="1630" stopIfTrue="1" operator="beginsWith" text="Functioning At Risk">
      <formula>LEFT(C140,LEN("Functioning At Risk"))="Functioning At Risk"</formula>
    </cfRule>
    <cfRule type="beginsWith" dxfId="5624" priority="1631" stopIfTrue="1" operator="beginsWith" text="Not Functioning">
      <formula>LEFT(C140,LEN("Not Functioning"))="Not Functioning"</formula>
    </cfRule>
    <cfRule type="containsText" dxfId="5623" priority="1632" operator="containsText" text="Functioning">
      <formula>NOT(ISERROR(SEARCH("Functioning",C140)))</formula>
    </cfRule>
  </conditionalFormatting>
  <conditionalFormatting sqref="C134:C137">
    <cfRule type="beginsWith" dxfId="5622" priority="1627" stopIfTrue="1" operator="beginsWith" text="Functioning At Risk">
      <formula>LEFT(C134,LEN("Functioning At Risk"))="Functioning At Risk"</formula>
    </cfRule>
    <cfRule type="beginsWith" dxfId="5621" priority="1628" stopIfTrue="1" operator="beginsWith" text="Not Functioning">
      <formula>LEFT(C134,LEN("Not Functioning"))="Not Functioning"</formula>
    </cfRule>
    <cfRule type="containsText" dxfId="5620" priority="1629" operator="containsText" text="Functioning">
      <formula>NOT(ISERROR(SEARCH("Functioning",C134)))</formula>
    </cfRule>
  </conditionalFormatting>
  <conditionalFormatting sqref="C143">
    <cfRule type="beginsWith" dxfId="5619" priority="1624" stopIfTrue="1" operator="beginsWith" text="Functioning At Risk">
      <formula>LEFT(C143,LEN("Functioning At Risk"))="Functioning At Risk"</formula>
    </cfRule>
    <cfRule type="beginsWith" dxfId="5618" priority="1625" stopIfTrue="1" operator="beginsWith" text="Not Functioning">
      <formula>LEFT(C143,LEN("Not Functioning"))="Not Functioning"</formula>
    </cfRule>
    <cfRule type="containsText" dxfId="5617" priority="1626" operator="containsText" text="Functioning">
      <formula>NOT(ISERROR(SEARCH("Functioning",C143)))</formula>
    </cfRule>
  </conditionalFormatting>
  <conditionalFormatting sqref="C144">
    <cfRule type="beginsWith" dxfId="5616" priority="1621" stopIfTrue="1" operator="beginsWith" text="Functioning At Risk">
      <formula>LEFT(C144,LEN("Functioning At Risk"))="Functioning At Risk"</formula>
    </cfRule>
    <cfRule type="beginsWith" dxfId="5615" priority="1622" stopIfTrue="1" operator="beginsWith" text="Not Functioning">
      <formula>LEFT(C144,LEN("Not Functioning"))="Not Functioning"</formula>
    </cfRule>
    <cfRule type="containsText" dxfId="5614" priority="1623" operator="containsText" text="Functioning">
      <formula>NOT(ISERROR(SEARCH("Functioning",C144)))</formula>
    </cfRule>
  </conditionalFormatting>
  <conditionalFormatting sqref="C155">
    <cfRule type="beginsWith" dxfId="5613" priority="1615" stopIfTrue="1" operator="beginsWith" text="Functioning At Risk">
      <formula>LEFT(C155,LEN("Functioning At Risk"))="Functioning At Risk"</formula>
    </cfRule>
    <cfRule type="beginsWith" dxfId="5612" priority="1616" stopIfTrue="1" operator="beginsWith" text="Not Functioning">
      <formula>LEFT(C155,LEN("Not Functioning"))="Not Functioning"</formula>
    </cfRule>
    <cfRule type="containsText" dxfId="5611" priority="1617" operator="containsText" text="Functioning">
      <formula>NOT(ISERROR(SEARCH("Functioning",C155)))</formula>
    </cfRule>
  </conditionalFormatting>
  <conditionalFormatting sqref="C154">
    <cfRule type="beginsWith" dxfId="5610" priority="1618" stopIfTrue="1" operator="beginsWith" text="Functioning At Risk">
      <formula>LEFT(C154,LEN("Functioning At Risk"))="Functioning At Risk"</formula>
    </cfRule>
    <cfRule type="beginsWith" dxfId="5609" priority="1619" stopIfTrue="1" operator="beginsWith" text="Not Functioning">
      <formula>LEFT(C154,LEN("Not Functioning"))="Not Functioning"</formula>
    </cfRule>
    <cfRule type="containsText" dxfId="5608" priority="1620" operator="containsText" text="Functioning">
      <formula>NOT(ISERROR(SEARCH("Functioning",C154)))</formula>
    </cfRule>
  </conditionalFormatting>
  <conditionalFormatting sqref="C152">
    <cfRule type="beginsWith" dxfId="5607" priority="1612" stopIfTrue="1" operator="beginsWith" text="Functioning At Risk">
      <formula>LEFT(C152,LEN("Functioning At Risk"))="Functioning At Risk"</formula>
    </cfRule>
    <cfRule type="beginsWith" dxfId="5606" priority="1613" stopIfTrue="1" operator="beginsWith" text="Not Functioning">
      <formula>LEFT(C152,LEN("Not Functioning"))="Not Functioning"</formula>
    </cfRule>
    <cfRule type="containsText" dxfId="5605" priority="1614" operator="containsText" text="Functioning">
      <formula>NOT(ISERROR(SEARCH("Functioning",C152)))</formula>
    </cfRule>
  </conditionalFormatting>
  <conditionalFormatting sqref="C138:C139">
    <cfRule type="beginsWith" dxfId="5604" priority="1609" stopIfTrue="1" operator="beginsWith" text="Functioning At Risk">
      <formula>LEFT(C138,LEN("Functioning At Risk"))="Functioning At Risk"</formula>
    </cfRule>
    <cfRule type="beginsWith" dxfId="5603" priority="1610" stopIfTrue="1" operator="beginsWith" text="Not Functioning">
      <formula>LEFT(C138,LEN("Not Functioning"))="Not Functioning"</formula>
    </cfRule>
    <cfRule type="containsText" dxfId="5602" priority="1611" operator="containsText" text="Functioning">
      <formula>NOT(ISERROR(SEARCH("Functioning",C138)))</formula>
    </cfRule>
  </conditionalFormatting>
  <conditionalFormatting sqref="C169:C171 C186:C187 C180:C181 C192 C184 C161:C164 C189:C190">
    <cfRule type="beginsWith" dxfId="5601" priority="1606" stopIfTrue="1" operator="beginsWith" text="Functioning At Risk">
      <formula>LEFT(C161,LEN("Functioning At Risk"))="Functioning At Risk"</formula>
    </cfRule>
    <cfRule type="beginsWith" dxfId="5600" priority="1607" stopIfTrue="1" operator="beginsWith" text="Not Functioning">
      <formula>LEFT(C161,LEN("Not Functioning"))="Not Functioning"</formula>
    </cfRule>
    <cfRule type="containsText" dxfId="5599" priority="1608" operator="containsText" text="Functioning">
      <formula>NOT(ISERROR(SEARCH("Functioning",C161)))</formula>
    </cfRule>
  </conditionalFormatting>
  <conditionalFormatting sqref="C172">
    <cfRule type="beginsWith" dxfId="5598" priority="1603" stopIfTrue="1" operator="beginsWith" text="Functioning At Risk">
      <formula>LEFT(C172,LEN("Functioning At Risk"))="Functioning At Risk"</formula>
    </cfRule>
    <cfRule type="beginsWith" dxfId="5597" priority="1604" stopIfTrue="1" operator="beginsWith" text="Not Functioning">
      <formula>LEFT(C172,LEN("Not Functioning"))="Not Functioning"</formula>
    </cfRule>
    <cfRule type="containsText" dxfId="5596" priority="1605" operator="containsText" text="Functioning">
      <formula>NOT(ISERROR(SEARCH("Functioning",C172)))</formula>
    </cfRule>
  </conditionalFormatting>
  <conditionalFormatting sqref="C179">
    <cfRule type="beginsWith" dxfId="5595" priority="1600" stopIfTrue="1" operator="beginsWith" text="Functioning At Risk">
      <formula>LEFT(C179,LEN("Functioning At Risk"))="Functioning At Risk"</formula>
    </cfRule>
    <cfRule type="beginsWith" dxfId="5594" priority="1601" stopIfTrue="1" operator="beginsWith" text="Not Functioning">
      <formula>LEFT(C179,LEN("Not Functioning"))="Not Functioning"</formula>
    </cfRule>
    <cfRule type="containsText" dxfId="5593" priority="1602" operator="containsText" text="Functioning">
      <formula>NOT(ISERROR(SEARCH("Functioning",C179)))</formula>
    </cfRule>
  </conditionalFormatting>
  <conditionalFormatting sqref="C173:C176">
    <cfRule type="beginsWith" dxfId="5592" priority="1597" stopIfTrue="1" operator="beginsWith" text="Functioning At Risk">
      <formula>LEFT(C173,LEN("Functioning At Risk"))="Functioning At Risk"</formula>
    </cfRule>
    <cfRule type="beginsWith" dxfId="5591" priority="1598" stopIfTrue="1" operator="beginsWith" text="Not Functioning">
      <formula>LEFT(C173,LEN("Not Functioning"))="Not Functioning"</formula>
    </cfRule>
    <cfRule type="containsText" dxfId="5590" priority="1599" operator="containsText" text="Functioning">
      <formula>NOT(ISERROR(SEARCH("Functioning",C173)))</formula>
    </cfRule>
  </conditionalFormatting>
  <conditionalFormatting sqref="C182">
    <cfRule type="beginsWith" dxfId="5589" priority="1594" stopIfTrue="1" operator="beginsWith" text="Functioning At Risk">
      <formula>LEFT(C182,LEN("Functioning At Risk"))="Functioning At Risk"</formula>
    </cfRule>
    <cfRule type="beginsWith" dxfId="5588" priority="1595" stopIfTrue="1" operator="beginsWith" text="Not Functioning">
      <formula>LEFT(C182,LEN("Not Functioning"))="Not Functioning"</formula>
    </cfRule>
    <cfRule type="containsText" dxfId="5587" priority="1596" operator="containsText" text="Functioning">
      <formula>NOT(ISERROR(SEARCH("Functioning",C182)))</formula>
    </cfRule>
  </conditionalFormatting>
  <conditionalFormatting sqref="C194">
    <cfRule type="beginsWith" dxfId="5586" priority="1585" stopIfTrue="1" operator="beginsWith" text="Functioning At Risk">
      <formula>LEFT(C194,LEN("Functioning At Risk"))="Functioning At Risk"</formula>
    </cfRule>
    <cfRule type="beginsWith" dxfId="5585" priority="1586" stopIfTrue="1" operator="beginsWith" text="Not Functioning">
      <formula>LEFT(C194,LEN("Not Functioning"))="Not Functioning"</formula>
    </cfRule>
    <cfRule type="containsText" dxfId="5584" priority="1587" operator="containsText" text="Functioning">
      <formula>NOT(ISERROR(SEARCH("Functioning",C194)))</formula>
    </cfRule>
  </conditionalFormatting>
  <conditionalFormatting sqref="C193">
    <cfRule type="beginsWith" dxfId="5583" priority="1588" stopIfTrue="1" operator="beginsWith" text="Functioning At Risk">
      <formula>LEFT(C193,LEN("Functioning At Risk"))="Functioning At Risk"</formula>
    </cfRule>
    <cfRule type="beginsWith" dxfId="5582" priority="1589" stopIfTrue="1" operator="beginsWith" text="Not Functioning">
      <formula>LEFT(C193,LEN("Not Functioning"))="Not Functioning"</formula>
    </cfRule>
    <cfRule type="containsText" dxfId="5581" priority="1590" operator="containsText" text="Functioning">
      <formula>NOT(ISERROR(SEARCH("Functioning",C193)))</formula>
    </cfRule>
  </conditionalFormatting>
  <conditionalFormatting sqref="C191">
    <cfRule type="beginsWith" dxfId="5580" priority="1582" stopIfTrue="1" operator="beginsWith" text="Functioning At Risk">
      <formula>LEFT(C191,LEN("Functioning At Risk"))="Functioning At Risk"</formula>
    </cfRule>
    <cfRule type="beginsWith" dxfId="5579" priority="1583" stopIfTrue="1" operator="beginsWith" text="Not Functioning">
      <formula>LEFT(C191,LEN("Not Functioning"))="Not Functioning"</formula>
    </cfRule>
    <cfRule type="containsText" dxfId="5578" priority="1584" operator="containsText" text="Functioning">
      <formula>NOT(ISERROR(SEARCH("Functioning",C191)))</formula>
    </cfRule>
  </conditionalFormatting>
  <conditionalFormatting sqref="C177:C178">
    <cfRule type="beginsWith" dxfId="5577" priority="1579" stopIfTrue="1" operator="beginsWith" text="Functioning At Risk">
      <formula>LEFT(C177,LEN("Functioning At Risk"))="Functioning At Risk"</formula>
    </cfRule>
    <cfRule type="beginsWith" dxfId="5576" priority="1580" stopIfTrue="1" operator="beginsWith" text="Not Functioning">
      <formula>LEFT(C177,LEN("Not Functioning"))="Not Functioning"</formula>
    </cfRule>
    <cfRule type="containsText" dxfId="5575" priority="1581" operator="containsText" text="Functioning">
      <formula>NOT(ISERROR(SEARCH("Functioning",C177)))</formula>
    </cfRule>
  </conditionalFormatting>
  <conditionalFormatting sqref="C208:C210 C225:C226 C219:C220 C231 C223 C200:C203 C228:C229">
    <cfRule type="beginsWith" dxfId="5574" priority="1576" stopIfTrue="1" operator="beginsWith" text="Functioning At Risk">
      <formula>LEFT(C200,LEN("Functioning At Risk"))="Functioning At Risk"</formula>
    </cfRule>
    <cfRule type="beginsWith" dxfId="5573" priority="1577" stopIfTrue="1" operator="beginsWith" text="Not Functioning">
      <formula>LEFT(C200,LEN("Not Functioning"))="Not Functioning"</formula>
    </cfRule>
    <cfRule type="containsText" dxfId="5572" priority="1578" operator="containsText" text="Functioning">
      <formula>NOT(ISERROR(SEARCH("Functioning",C200)))</formula>
    </cfRule>
  </conditionalFormatting>
  <conditionalFormatting sqref="C211">
    <cfRule type="beginsWith" dxfId="5571" priority="1573" stopIfTrue="1" operator="beginsWith" text="Functioning At Risk">
      <formula>LEFT(C211,LEN("Functioning At Risk"))="Functioning At Risk"</formula>
    </cfRule>
    <cfRule type="beginsWith" dxfId="5570" priority="1574" stopIfTrue="1" operator="beginsWith" text="Not Functioning">
      <formula>LEFT(C211,LEN("Not Functioning"))="Not Functioning"</formula>
    </cfRule>
    <cfRule type="containsText" dxfId="5569" priority="1575" operator="containsText" text="Functioning">
      <formula>NOT(ISERROR(SEARCH("Functioning",C211)))</formula>
    </cfRule>
  </conditionalFormatting>
  <conditionalFormatting sqref="C218">
    <cfRule type="beginsWith" dxfId="5568" priority="1570" stopIfTrue="1" operator="beginsWith" text="Functioning At Risk">
      <formula>LEFT(C218,LEN("Functioning At Risk"))="Functioning At Risk"</formula>
    </cfRule>
    <cfRule type="beginsWith" dxfId="5567" priority="1571" stopIfTrue="1" operator="beginsWith" text="Not Functioning">
      <formula>LEFT(C218,LEN("Not Functioning"))="Not Functioning"</formula>
    </cfRule>
    <cfRule type="containsText" dxfId="5566" priority="1572" operator="containsText" text="Functioning">
      <formula>NOT(ISERROR(SEARCH("Functioning",C218)))</formula>
    </cfRule>
  </conditionalFormatting>
  <conditionalFormatting sqref="C212:C215">
    <cfRule type="beginsWith" dxfId="5565" priority="1567" stopIfTrue="1" operator="beginsWith" text="Functioning At Risk">
      <formula>LEFT(C212,LEN("Functioning At Risk"))="Functioning At Risk"</formula>
    </cfRule>
    <cfRule type="beginsWith" dxfId="5564" priority="1568" stopIfTrue="1" operator="beginsWith" text="Not Functioning">
      <formula>LEFT(C212,LEN("Not Functioning"))="Not Functioning"</formula>
    </cfRule>
    <cfRule type="containsText" dxfId="5563" priority="1569" operator="containsText" text="Functioning">
      <formula>NOT(ISERROR(SEARCH("Functioning",C212)))</formula>
    </cfRule>
  </conditionalFormatting>
  <conditionalFormatting sqref="C221">
    <cfRule type="beginsWith" dxfId="5562" priority="1564" stopIfTrue="1" operator="beginsWith" text="Functioning At Risk">
      <formula>LEFT(C221,LEN("Functioning At Risk"))="Functioning At Risk"</formula>
    </cfRule>
    <cfRule type="beginsWith" dxfId="5561" priority="1565" stopIfTrue="1" operator="beginsWith" text="Not Functioning">
      <formula>LEFT(C221,LEN("Not Functioning"))="Not Functioning"</formula>
    </cfRule>
    <cfRule type="containsText" dxfId="5560" priority="1566" operator="containsText" text="Functioning">
      <formula>NOT(ISERROR(SEARCH("Functioning",C221)))</formula>
    </cfRule>
  </conditionalFormatting>
  <conditionalFormatting sqref="C222">
    <cfRule type="beginsWith" dxfId="5559" priority="1561" stopIfTrue="1" operator="beginsWith" text="Functioning At Risk">
      <formula>LEFT(C222,LEN("Functioning At Risk"))="Functioning At Risk"</formula>
    </cfRule>
    <cfRule type="beginsWith" dxfId="5558" priority="1562" stopIfTrue="1" operator="beginsWith" text="Not Functioning">
      <formula>LEFT(C222,LEN("Not Functioning"))="Not Functioning"</formula>
    </cfRule>
    <cfRule type="containsText" dxfId="5557" priority="1563" operator="containsText" text="Functioning">
      <formula>NOT(ISERROR(SEARCH("Functioning",C222)))</formula>
    </cfRule>
  </conditionalFormatting>
  <conditionalFormatting sqref="C233">
    <cfRule type="beginsWith" dxfId="5556" priority="1555" stopIfTrue="1" operator="beginsWith" text="Functioning At Risk">
      <formula>LEFT(C233,LEN("Functioning At Risk"))="Functioning At Risk"</formula>
    </cfRule>
    <cfRule type="beginsWith" dxfId="5555" priority="1556" stopIfTrue="1" operator="beginsWith" text="Not Functioning">
      <formula>LEFT(C233,LEN("Not Functioning"))="Not Functioning"</formula>
    </cfRule>
    <cfRule type="containsText" dxfId="5554" priority="1557" operator="containsText" text="Functioning">
      <formula>NOT(ISERROR(SEARCH("Functioning",C233)))</formula>
    </cfRule>
  </conditionalFormatting>
  <conditionalFormatting sqref="C232">
    <cfRule type="beginsWith" dxfId="5553" priority="1558" stopIfTrue="1" operator="beginsWith" text="Functioning At Risk">
      <formula>LEFT(C232,LEN("Functioning At Risk"))="Functioning At Risk"</formula>
    </cfRule>
    <cfRule type="beginsWith" dxfId="5552" priority="1559" stopIfTrue="1" operator="beginsWith" text="Not Functioning">
      <formula>LEFT(C232,LEN("Not Functioning"))="Not Functioning"</formula>
    </cfRule>
    <cfRule type="containsText" dxfId="5551" priority="1560" operator="containsText" text="Functioning">
      <formula>NOT(ISERROR(SEARCH("Functioning",C232)))</formula>
    </cfRule>
  </conditionalFormatting>
  <conditionalFormatting sqref="C230">
    <cfRule type="beginsWith" dxfId="5550" priority="1552" stopIfTrue="1" operator="beginsWith" text="Functioning At Risk">
      <formula>LEFT(C230,LEN("Functioning At Risk"))="Functioning At Risk"</formula>
    </cfRule>
    <cfRule type="beginsWith" dxfId="5549" priority="1553" stopIfTrue="1" operator="beginsWith" text="Not Functioning">
      <formula>LEFT(C230,LEN("Not Functioning"))="Not Functioning"</formula>
    </cfRule>
    <cfRule type="containsText" dxfId="5548" priority="1554" operator="containsText" text="Functioning">
      <formula>NOT(ISERROR(SEARCH("Functioning",C230)))</formula>
    </cfRule>
  </conditionalFormatting>
  <conditionalFormatting sqref="C216:C217">
    <cfRule type="beginsWith" dxfId="5547" priority="1549" stopIfTrue="1" operator="beginsWith" text="Functioning At Risk">
      <formula>LEFT(C216,LEN("Functioning At Risk"))="Functioning At Risk"</formula>
    </cfRule>
    <cfRule type="beginsWith" dxfId="5546" priority="1550" stopIfTrue="1" operator="beginsWith" text="Not Functioning">
      <formula>LEFT(C216,LEN("Not Functioning"))="Not Functioning"</formula>
    </cfRule>
    <cfRule type="containsText" dxfId="5545" priority="1551" operator="containsText" text="Functioning">
      <formula>NOT(ISERROR(SEARCH("Functioning",C216)))</formula>
    </cfRule>
  </conditionalFormatting>
  <conditionalFormatting sqref="C248:C250 C265:C266 C259:C260 C271 C263 C240:C243 C268:C269">
    <cfRule type="beginsWith" dxfId="5544" priority="1546" stopIfTrue="1" operator="beginsWith" text="Functioning At Risk">
      <formula>LEFT(C240,LEN("Functioning At Risk"))="Functioning At Risk"</formula>
    </cfRule>
    <cfRule type="beginsWith" dxfId="5543" priority="1547" stopIfTrue="1" operator="beginsWith" text="Not Functioning">
      <formula>LEFT(C240,LEN("Not Functioning"))="Not Functioning"</formula>
    </cfRule>
    <cfRule type="containsText" dxfId="5542" priority="1548" operator="containsText" text="Functioning">
      <formula>NOT(ISERROR(SEARCH("Functioning",C240)))</formula>
    </cfRule>
  </conditionalFormatting>
  <conditionalFormatting sqref="C251">
    <cfRule type="beginsWith" dxfId="5541" priority="1543" stopIfTrue="1" operator="beginsWith" text="Functioning At Risk">
      <formula>LEFT(C251,LEN("Functioning At Risk"))="Functioning At Risk"</formula>
    </cfRule>
    <cfRule type="beginsWith" dxfId="5540" priority="1544" stopIfTrue="1" operator="beginsWith" text="Not Functioning">
      <formula>LEFT(C251,LEN("Not Functioning"))="Not Functioning"</formula>
    </cfRule>
    <cfRule type="containsText" dxfId="5539" priority="1545" operator="containsText" text="Functioning">
      <formula>NOT(ISERROR(SEARCH("Functioning",C251)))</formula>
    </cfRule>
  </conditionalFormatting>
  <conditionalFormatting sqref="C258">
    <cfRule type="beginsWith" dxfId="5538" priority="1540" stopIfTrue="1" operator="beginsWith" text="Functioning At Risk">
      <formula>LEFT(C258,LEN("Functioning At Risk"))="Functioning At Risk"</formula>
    </cfRule>
    <cfRule type="beginsWith" dxfId="5537" priority="1541" stopIfTrue="1" operator="beginsWith" text="Not Functioning">
      <formula>LEFT(C258,LEN("Not Functioning"))="Not Functioning"</formula>
    </cfRule>
    <cfRule type="containsText" dxfId="5536" priority="1542" operator="containsText" text="Functioning">
      <formula>NOT(ISERROR(SEARCH("Functioning",C258)))</formula>
    </cfRule>
  </conditionalFormatting>
  <conditionalFormatting sqref="C252:C255">
    <cfRule type="beginsWith" dxfId="5535" priority="1537" stopIfTrue="1" operator="beginsWith" text="Functioning At Risk">
      <formula>LEFT(C252,LEN("Functioning At Risk"))="Functioning At Risk"</formula>
    </cfRule>
    <cfRule type="beginsWith" dxfId="5534" priority="1538" stopIfTrue="1" operator="beginsWith" text="Not Functioning">
      <formula>LEFT(C252,LEN("Not Functioning"))="Not Functioning"</formula>
    </cfRule>
    <cfRule type="containsText" dxfId="5533" priority="1539" operator="containsText" text="Functioning">
      <formula>NOT(ISERROR(SEARCH("Functioning",C252)))</formula>
    </cfRule>
  </conditionalFormatting>
  <conditionalFormatting sqref="C261">
    <cfRule type="beginsWith" dxfId="5532" priority="1534" stopIfTrue="1" operator="beginsWith" text="Functioning At Risk">
      <formula>LEFT(C261,LEN("Functioning At Risk"))="Functioning At Risk"</formula>
    </cfRule>
    <cfRule type="beginsWith" dxfId="5531" priority="1535" stopIfTrue="1" operator="beginsWith" text="Not Functioning">
      <formula>LEFT(C261,LEN("Not Functioning"))="Not Functioning"</formula>
    </cfRule>
    <cfRule type="containsText" dxfId="5530" priority="1536" operator="containsText" text="Functioning">
      <formula>NOT(ISERROR(SEARCH("Functioning",C261)))</formula>
    </cfRule>
  </conditionalFormatting>
  <conditionalFormatting sqref="C262">
    <cfRule type="beginsWith" dxfId="5529" priority="1531" stopIfTrue="1" operator="beginsWith" text="Functioning At Risk">
      <formula>LEFT(C262,LEN("Functioning At Risk"))="Functioning At Risk"</formula>
    </cfRule>
    <cfRule type="beginsWith" dxfId="5528" priority="1532" stopIfTrue="1" operator="beginsWith" text="Not Functioning">
      <formula>LEFT(C262,LEN("Not Functioning"))="Not Functioning"</formula>
    </cfRule>
    <cfRule type="containsText" dxfId="5527" priority="1533" operator="containsText" text="Functioning">
      <formula>NOT(ISERROR(SEARCH("Functioning",C262)))</formula>
    </cfRule>
  </conditionalFormatting>
  <conditionalFormatting sqref="C273">
    <cfRule type="beginsWith" dxfId="5526" priority="1525" stopIfTrue="1" operator="beginsWith" text="Functioning At Risk">
      <formula>LEFT(C273,LEN("Functioning At Risk"))="Functioning At Risk"</formula>
    </cfRule>
    <cfRule type="beginsWith" dxfId="5525" priority="1526" stopIfTrue="1" operator="beginsWith" text="Not Functioning">
      <formula>LEFT(C273,LEN("Not Functioning"))="Not Functioning"</formula>
    </cfRule>
    <cfRule type="containsText" dxfId="5524" priority="1527" operator="containsText" text="Functioning">
      <formula>NOT(ISERROR(SEARCH("Functioning",C273)))</formula>
    </cfRule>
  </conditionalFormatting>
  <conditionalFormatting sqref="C272">
    <cfRule type="beginsWith" dxfId="5523" priority="1528" stopIfTrue="1" operator="beginsWith" text="Functioning At Risk">
      <formula>LEFT(C272,LEN("Functioning At Risk"))="Functioning At Risk"</formula>
    </cfRule>
    <cfRule type="beginsWith" dxfId="5522" priority="1529" stopIfTrue="1" operator="beginsWith" text="Not Functioning">
      <formula>LEFT(C272,LEN("Not Functioning"))="Not Functioning"</formula>
    </cfRule>
    <cfRule type="containsText" dxfId="5521" priority="1530" operator="containsText" text="Functioning">
      <formula>NOT(ISERROR(SEARCH("Functioning",C272)))</formula>
    </cfRule>
  </conditionalFormatting>
  <conditionalFormatting sqref="C270">
    <cfRule type="beginsWith" dxfId="5520" priority="1522" stopIfTrue="1" operator="beginsWith" text="Functioning At Risk">
      <formula>LEFT(C270,LEN("Functioning At Risk"))="Functioning At Risk"</formula>
    </cfRule>
    <cfRule type="beginsWith" dxfId="5519" priority="1523" stopIfTrue="1" operator="beginsWith" text="Not Functioning">
      <formula>LEFT(C270,LEN("Not Functioning"))="Not Functioning"</formula>
    </cfRule>
    <cfRule type="containsText" dxfId="5518" priority="1524" operator="containsText" text="Functioning">
      <formula>NOT(ISERROR(SEARCH("Functioning",C270)))</formula>
    </cfRule>
  </conditionalFormatting>
  <conditionalFormatting sqref="C256:C257">
    <cfRule type="beginsWith" dxfId="5517" priority="1519" stopIfTrue="1" operator="beginsWith" text="Functioning At Risk">
      <formula>LEFT(C256,LEN("Functioning At Risk"))="Functioning At Risk"</formula>
    </cfRule>
    <cfRule type="beginsWith" dxfId="5516" priority="1520" stopIfTrue="1" operator="beginsWith" text="Not Functioning">
      <formula>LEFT(C256,LEN("Not Functioning"))="Not Functioning"</formula>
    </cfRule>
    <cfRule type="containsText" dxfId="5515" priority="1521" operator="containsText" text="Functioning">
      <formula>NOT(ISERROR(SEARCH("Functioning",C256)))</formula>
    </cfRule>
  </conditionalFormatting>
  <conditionalFormatting sqref="C288:C290 C305:C306 C299:C300 C311 C303 C280:C283 C308:C309">
    <cfRule type="beginsWith" dxfId="5514" priority="1516" stopIfTrue="1" operator="beginsWith" text="Functioning At Risk">
      <formula>LEFT(C280,LEN("Functioning At Risk"))="Functioning At Risk"</formula>
    </cfRule>
    <cfRule type="beginsWith" dxfId="5513" priority="1517" stopIfTrue="1" operator="beginsWith" text="Not Functioning">
      <formula>LEFT(C280,LEN("Not Functioning"))="Not Functioning"</formula>
    </cfRule>
    <cfRule type="containsText" dxfId="5512" priority="1518" operator="containsText" text="Functioning">
      <formula>NOT(ISERROR(SEARCH("Functioning",C280)))</formula>
    </cfRule>
  </conditionalFormatting>
  <conditionalFormatting sqref="C291">
    <cfRule type="beginsWith" dxfId="5511" priority="1513" stopIfTrue="1" operator="beginsWith" text="Functioning At Risk">
      <formula>LEFT(C291,LEN("Functioning At Risk"))="Functioning At Risk"</formula>
    </cfRule>
    <cfRule type="beginsWith" dxfId="5510" priority="1514" stopIfTrue="1" operator="beginsWith" text="Not Functioning">
      <formula>LEFT(C291,LEN("Not Functioning"))="Not Functioning"</formula>
    </cfRule>
    <cfRule type="containsText" dxfId="5509" priority="1515" operator="containsText" text="Functioning">
      <formula>NOT(ISERROR(SEARCH("Functioning",C291)))</formula>
    </cfRule>
  </conditionalFormatting>
  <conditionalFormatting sqref="C298">
    <cfRule type="beginsWith" dxfId="5508" priority="1510" stopIfTrue="1" operator="beginsWith" text="Functioning At Risk">
      <formula>LEFT(C298,LEN("Functioning At Risk"))="Functioning At Risk"</formula>
    </cfRule>
    <cfRule type="beginsWith" dxfId="5507" priority="1511" stopIfTrue="1" operator="beginsWith" text="Not Functioning">
      <formula>LEFT(C298,LEN("Not Functioning"))="Not Functioning"</formula>
    </cfRule>
    <cfRule type="containsText" dxfId="5506" priority="1512" operator="containsText" text="Functioning">
      <formula>NOT(ISERROR(SEARCH("Functioning",C298)))</formula>
    </cfRule>
  </conditionalFormatting>
  <conditionalFormatting sqref="C292:C295">
    <cfRule type="beginsWith" dxfId="5505" priority="1507" stopIfTrue="1" operator="beginsWith" text="Functioning At Risk">
      <formula>LEFT(C292,LEN("Functioning At Risk"))="Functioning At Risk"</formula>
    </cfRule>
    <cfRule type="beginsWith" dxfId="5504" priority="1508" stopIfTrue="1" operator="beginsWith" text="Not Functioning">
      <formula>LEFT(C292,LEN("Not Functioning"))="Not Functioning"</formula>
    </cfRule>
    <cfRule type="containsText" dxfId="5503" priority="1509" operator="containsText" text="Functioning">
      <formula>NOT(ISERROR(SEARCH("Functioning",C292)))</formula>
    </cfRule>
  </conditionalFormatting>
  <conditionalFormatting sqref="C301">
    <cfRule type="beginsWith" dxfId="5502" priority="1504" stopIfTrue="1" operator="beginsWith" text="Functioning At Risk">
      <formula>LEFT(C301,LEN("Functioning At Risk"))="Functioning At Risk"</formula>
    </cfRule>
    <cfRule type="beginsWith" dxfId="5501" priority="1505" stopIfTrue="1" operator="beginsWith" text="Not Functioning">
      <formula>LEFT(C301,LEN("Not Functioning"))="Not Functioning"</formula>
    </cfRule>
    <cfRule type="containsText" dxfId="5500" priority="1506" operator="containsText" text="Functioning">
      <formula>NOT(ISERROR(SEARCH("Functioning",C301)))</formula>
    </cfRule>
  </conditionalFormatting>
  <conditionalFormatting sqref="C302">
    <cfRule type="beginsWith" dxfId="5499" priority="1501" stopIfTrue="1" operator="beginsWith" text="Functioning At Risk">
      <formula>LEFT(C302,LEN("Functioning At Risk"))="Functioning At Risk"</formula>
    </cfRule>
    <cfRule type="beginsWith" dxfId="5498" priority="1502" stopIfTrue="1" operator="beginsWith" text="Not Functioning">
      <formula>LEFT(C302,LEN("Not Functioning"))="Not Functioning"</formula>
    </cfRule>
    <cfRule type="containsText" dxfId="5497" priority="1503" operator="containsText" text="Functioning">
      <formula>NOT(ISERROR(SEARCH("Functioning",C302)))</formula>
    </cfRule>
  </conditionalFormatting>
  <conditionalFormatting sqref="C313">
    <cfRule type="beginsWith" dxfId="5496" priority="1495" stopIfTrue="1" operator="beginsWith" text="Functioning At Risk">
      <formula>LEFT(C313,LEN("Functioning At Risk"))="Functioning At Risk"</formula>
    </cfRule>
    <cfRule type="beginsWith" dxfId="5495" priority="1496" stopIfTrue="1" operator="beginsWith" text="Not Functioning">
      <formula>LEFT(C313,LEN("Not Functioning"))="Not Functioning"</formula>
    </cfRule>
    <cfRule type="containsText" dxfId="5494" priority="1497" operator="containsText" text="Functioning">
      <formula>NOT(ISERROR(SEARCH("Functioning",C313)))</formula>
    </cfRule>
  </conditionalFormatting>
  <conditionalFormatting sqref="C312">
    <cfRule type="beginsWith" dxfId="5493" priority="1498" stopIfTrue="1" operator="beginsWith" text="Functioning At Risk">
      <formula>LEFT(C312,LEN("Functioning At Risk"))="Functioning At Risk"</formula>
    </cfRule>
    <cfRule type="beginsWith" dxfId="5492" priority="1499" stopIfTrue="1" operator="beginsWith" text="Not Functioning">
      <formula>LEFT(C312,LEN("Not Functioning"))="Not Functioning"</formula>
    </cfRule>
    <cfRule type="containsText" dxfId="5491" priority="1500" operator="containsText" text="Functioning">
      <formula>NOT(ISERROR(SEARCH("Functioning",C312)))</formula>
    </cfRule>
  </conditionalFormatting>
  <conditionalFormatting sqref="C310">
    <cfRule type="beginsWith" dxfId="5490" priority="1492" stopIfTrue="1" operator="beginsWith" text="Functioning At Risk">
      <formula>LEFT(C310,LEN("Functioning At Risk"))="Functioning At Risk"</formula>
    </cfRule>
    <cfRule type="beginsWith" dxfId="5489" priority="1493" stopIfTrue="1" operator="beginsWith" text="Not Functioning">
      <formula>LEFT(C310,LEN("Not Functioning"))="Not Functioning"</formula>
    </cfRule>
    <cfRule type="containsText" dxfId="5488" priority="1494" operator="containsText" text="Functioning">
      <formula>NOT(ISERROR(SEARCH("Functioning",C310)))</formula>
    </cfRule>
  </conditionalFormatting>
  <conditionalFormatting sqref="C296:C297">
    <cfRule type="beginsWith" dxfId="5487" priority="1489" stopIfTrue="1" operator="beginsWith" text="Functioning At Risk">
      <formula>LEFT(C296,LEN("Functioning At Risk"))="Functioning At Risk"</formula>
    </cfRule>
    <cfRule type="beginsWith" dxfId="5486" priority="1490" stopIfTrue="1" operator="beginsWith" text="Not Functioning">
      <formula>LEFT(C296,LEN("Not Functioning"))="Not Functioning"</formula>
    </cfRule>
    <cfRule type="containsText" dxfId="5485" priority="1491" operator="containsText" text="Functioning">
      <formula>NOT(ISERROR(SEARCH("Functioning",C296)))</formula>
    </cfRule>
  </conditionalFormatting>
  <conditionalFormatting sqref="C328:C330 C345:C346 C339:C340 C351 C343 C320:C323 C348:C349">
    <cfRule type="beginsWith" dxfId="5484" priority="1486" stopIfTrue="1" operator="beginsWith" text="Functioning At Risk">
      <formula>LEFT(C320,LEN("Functioning At Risk"))="Functioning At Risk"</formula>
    </cfRule>
    <cfRule type="beginsWith" dxfId="5483" priority="1487" stopIfTrue="1" operator="beginsWith" text="Not Functioning">
      <formula>LEFT(C320,LEN("Not Functioning"))="Not Functioning"</formula>
    </cfRule>
    <cfRule type="containsText" dxfId="5482" priority="1488" operator="containsText" text="Functioning">
      <formula>NOT(ISERROR(SEARCH("Functioning",C320)))</formula>
    </cfRule>
  </conditionalFormatting>
  <conditionalFormatting sqref="C331">
    <cfRule type="beginsWith" dxfId="5481" priority="1483" stopIfTrue="1" operator="beginsWith" text="Functioning At Risk">
      <formula>LEFT(C331,LEN("Functioning At Risk"))="Functioning At Risk"</formula>
    </cfRule>
    <cfRule type="beginsWith" dxfId="5480" priority="1484" stopIfTrue="1" operator="beginsWith" text="Not Functioning">
      <formula>LEFT(C331,LEN("Not Functioning"))="Not Functioning"</formula>
    </cfRule>
    <cfRule type="containsText" dxfId="5479" priority="1485" operator="containsText" text="Functioning">
      <formula>NOT(ISERROR(SEARCH("Functioning",C331)))</formula>
    </cfRule>
  </conditionalFormatting>
  <conditionalFormatting sqref="C338">
    <cfRule type="beginsWith" dxfId="5478" priority="1480" stopIfTrue="1" operator="beginsWith" text="Functioning At Risk">
      <formula>LEFT(C338,LEN("Functioning At Risk"))="Functioning At Risk"</formula>
    </cfRule>
    <cfRule type="beginsWith" dxfId="5477" priority="1481" stopIfTrue="1" operator="beginsWith" text="Not Functioning">
      <formula>LEFT(C338,LEN("Not Functioning"))="Not Functioning"</formula>
    </cfRule>
    <cfRule type="containsText" dxfId="5476" priority="1482" operator="containsText" text="Functioning">
      <formula>NOT(ISERROR(SEARCH("Functioning",C338)))</formula>
    </cfRule>
  </conditionalFormatting>
  <conditionalFormatting sqref="C332:C335">
    <cfRule type="beginsWith" dxfId="5475" priority="1477" stopIfTrue="1" operator="beginsWith" text="Functioning At Risk">
      <formula>LEFT(C332,LEN("Functioning At Risk"))="Functioning At Risk"</formula>
    </cfRule>
    <cfRule type="beginsWith" dxfId="5474" priority="1478" stopIfTrue="1" operator="beginsWith" text="Not Functioning">
      <formula>LEFT(C332,LEN("Not Functioning"))="Not Functioning"</formula>
    </cfRule>
    <cfRule type="containsText" dxfId="5473" priority="1479" operator="containsText" text="Functioning">
      <formula>NOT(ISERROR(SEARCH("Functioning",C332)))</formula>
    </cfRule>
  </conditionalFormatting>
  <conditionalFormatting sqref="C341">
    <cfRule type="beginsWith" dxfId="5472" priority="1474" stopIfTrue="1" operator="beginsWith" text="Functioning At Risk">
      <formula>LEFT(C341,LEN("Functioning At Risk"))="Functioning At Risk"</formula>
    </cfRule>
    <cfRule type="beginsWith" dxfId="5471" priority="1475" stopIfTrue="1" operator="beginsWith" text="Not Functioning">
      <formula>LEFT(C341,LEN("Not Functioning"))="Not Functioning"</formula>
    </cfRule>
    <cfRule type="containsText" dxfId="5470" priority="1476" operator="containsText" text="Functioning">
      <formula>NOT(ISERROR(SEARCH("Functioning",C341)))</formula>
    </cfRule>
  </conditionalFormatting>
  <conditionalFormatting sqref="C342">
    <cfRule type="beginsWith" dxfId="5469" priority="1471" stopIfTrue="1" operator="beginsWith" text="Functioning At Risk">
      <formula>LEFT(C342,LEN("Functioning At Risk"))="Functioning At Risk"</formula>
    </cfRule>
    <cfRule type="beginsWith" dxfId="5468" priority="1472" stopIfTrue="1" operator="beginsWith" text="Not Functioning">
      <formula>LEFT(C342,LEN("Not Functioning"))="Not Functioning"</formula>
    </cfRule>
    <cfRule type="containsText" dxfId="5467" priority="1473" operator="containsText" text="Functioning">
      <formula>NOT(ISERROR(SEARCH("Functioning",C342)))</formula>
    </cfRule>
  </conditionalFormatting>
  <conditionalFormatting sqref="C353">
    <cfRule type="beginsWith" dxfId="5466" priority="1465" stopIfTrue="1" operator="beginsWith" text="Functioning At Risk">
      <formula>LEFT(C353,LEN("Functioning At Risk"))="Functioning At Risk"</formula>
    </cfRule>
    <cfRule type="beginsWith" dxfId="5465" priority="1466" stopIfTrue="1" operator="beginsWith" text="Not Functioning">
      <formula>LEFT(C353,LEN("Not Functioning"))="Not Functioning"</formula>
    </cfRule>
    <cfRule type="containsText" dxfId="5464" priority="1467" operator="containsText" text="Functioning">
      <formula>NOT(ISERROR(SEARCH("Functioning",C353)))</formula>
    </cfRule>
  </conditionalFormatting>
  <conditionalFormatting sqref="C352">
    <cfRule type="beginsWith" dxfId="5463" priority="1468" stopIfTrue="1" operator="beginsWith" text="Functioning At Risk">
      <formula>LEFT(C352,LEN("Functioning At Risk"))="Functioning At Risk"</formula>
    </cfRule>
    <cfRule type="beginsWith" dxfId="5462" priority="1469" stopIfTrue="1" operator="beginsWith" text="Not Functioning">
      <formula>LEFT(C352,LEN("Not Functioning"))="Not Functioning"</formula>
    </cfRule>
    <cfRule type="containsText" dxfId="5461" priority="1470" operator="containsText" text="Functioning">
      <formula>NOT(ISERROR(SEARCH("Functioning",C352)))</formula>
    </cfRule>
  </conditionalFormatting>
  <conditionalFormatting sqref="C350">
    <cfRule type="beginsWith" dxfId="5460" priority="1462" stopIfTrue="1" operator="beginsWith" text="Functioning At Risk">
      <formula>LEFT(C350,LEN("Functioning At Risk"))="Functioning At Risk"</formula>
    </cfRule>
    <cfRule type="beginsWith" dxfId="5459" priority="1463" stopIfTrue="1" operator="beginsWith" text="Not Functioning">
      <formula>LEFT(C350,LEN("Not Functioning"))="Not Functioning"</formula>
    </cfRule>
    <cfRule type="containsText" dxfId="5458" priority="1464" operator="containsText" text="Functioning">
      <formula>NOT(ISERROR(SEARCH("Functioning",C350)))</formula>
    </cfRule>
  </conditionalFormatting>
  <conditionalFormatting sqref="C336:C337">
    <cfRule type="beginsWith" dxfId="5457" priority="1459" stopIfTrue="1" operator="beginsWith" text="Functioning At Risk">
      <formula>LEFT(C336,LEN("Functioning At Risk"))="Functioning At Risk"</formula>
    </cfRule>
    <cfRule type="beginsWith" dxfId="5456" priority="1460" stopIfTrue="1" operator="beginsWith" text="Not Functioning">
      <formula>LEFT(C336,LEN("Not Functioning"))="Not Functioning"</formula>
    </cfRule>
    <cfRule type="containsText" dxfId="5455" priority="1461" operator="containsText" text="Functioning">
      <formula>NOT(ISERROR(SEARCH("Functioning",C336)))</formula>
    </cfRule>
  </conditionalFormatting>
  <conditionalFormatting sqref="C368:C370 C385:C386 C379:C380 C391 C383 C360:C363 C388:C389">
    <cfRule type="beginsWith" dxfId="5454" priority="1456" stopIfTrue="1" operator="beginsWith" text="Functioning At Risk">
      <formula>LEFT(C360,LEN("Functioning At Risk"))="Functioning At Risk"</formula>
    </cfRule>
    <cfRule type="beginsWith" dxfId="5453" priority="1457" stopIfTrue="1" operator="beginsWith" text="Not Functioning">
      <formula>LEFT(C360,LEN("Not Functioning"))="Not Functioning"</formula>
    </cfRule>
    <cfRule type="containsText" dxfId="5452" priority="1458" operator="containsText" text="Functioning">
      <formula>NOT(ISERROR(SEARCH("Functioning",C360)))</formula>
    </cfRule>
  </conditionalFormatting>
  <conditionalFormatting sqref="C371">
    <cfRule type="beginsWith" dxfId="5451" priority="1453" stopIfTrue="1" operator="beginsWith" text="Functioning At Risk">
      <formula>LEFT(C371,LEN("Functioning At Risk"))="Functioning At Risk"</formula>
    </cfRule>
    <cfRule type="beginsWith" dxfId="5450" priority="1454" stopIfTrue="1" operator="beginsWith" text="Not Functioning">
      <formula>LEFT(C371,LEN("Not Functioning"))="Not Functioning"</formula>
    </cfRule>
    <cfRule type="containsText" dxfId="5449" priority="1455" operator="containsText" text="Functioning">
      <formula>NOT(ISERROR(SEARCH("Functioning",C371)))</formula>
    </cfRule>
  </conditionalFormatting>
  <conditionalFormatting sqref="C378">
    <cfRule type="beginsWith" dxfId="5448" priority="1450" stopIfTrue="1" operator="beginsWith" text="Functioning At Risk">
      <formula>LEFT(C378,LEN("Functioning At Risk"))="Functioning At Risk"</formula>
    </cfRule>
    <cfRule type="beginsWith" dxfId="5447" priority="1451" stopIfTrue="1" operator="beginsWith" text="Not Functioning">
      <formula>LEFT(C378,LEN("Not Functioning"))="Not Functioning"</formula>
    </cfRule>
    <cfRule type="containsText" dxfId="5446" priority="1452" operator="containsText" text="Functioning">
      <formula>NOT(ISERROR(SEARCH("Functioning",C378)))</formula>
    </cfRule>
  </conditionalFormatting>
  <conditionalFormatting sqref="C372:C375">
    <cfRule type="beginsWith" dxfId="5445" priority="1447" stopIfTrue="1" operator="beginsWith" text="Functioning At Risk">
      <formula>LEFT(C372,LEN("Functioning At Risk"))="Functioning At Risk"</formula>
    </cfRule>
    <cfRule type="beginsWith" dxfId="5444" priority="1448" stopIfTrue="1" operator="beginsWith" text="Not Functioning">
      <formula>LEFT(C372,LEN("Not Functioning"))="Not Functioning"</formula>
    </cfRule>
    <cfRule type="containsText" dxfId="5443" priority="1449" operator="containsText" text="Functioning">
      <formula>NOT(ISERROR(SEARCH("Functioning",C372)))</formula>
    </cfRule>
  </conditionalFormatting>
  <conditionalFormatting sqref="C381">
    <cfRule type="beginsWith" dxfId="5442" priority="1444" stopIfTrue="1" operator="beginsWith" text="Functioning At Risk">
      <formula>LEFT(C381,LEN("Functioning At Risk"))="Functioning At Risk"</formula>
    </cfRule>
    <cfRule type="beginsWith" dxfId="5441" priority="1445" stopIfTrue="1" operator="beginsWith" text="Not Functioning">
      <formula>LEFT(C381,LEN("Not Functioning"))="Not Functioning"</formula>
    </cfRule>
    <cfRule type="containsText" dxfId="5440" priority="1446" operator="containsText" text="Functioning">
      <formula>NOT(ISERROR(SEARCH("Functioning",C381)))</formula>
    </cfRule>
  </conditionalFormatting>
  <conditionalFormatting sqref="C382">
    <cfRule type="beginsWith" dxfId="5439" priority="1441" stopIfTrue="1" operator="beginsWith" text="Functioning At Risk">
      <formula>LEFT(C382,LEN("Functioning At Risk"))="Functioning At Risk"</formula>
    </cfRule>
    <cfRule type="beginsWith" dxfId="5438" priority="1442" stopIfTrue="1" operator="beginsWith" text="Not Functioning">
      <formula>LEFT(C382,LEN("Not Functioning"))="Not Functioning"</formula>
    </cfRule>
    <cfRule type="containsText" dxfId="5437" priority="1443" operator="containsText" text="Functioning">
      <formula>NOT(ISERROR(SEARCH("Functioning",C382)))</formula>
    </cfRule>
  </conditionalFormatting>
  <conditionalFormatting sqref="C393">
    <cfRule type="beginsWith" dxfId="5436" priority="1435" stopIfTrue="1" operator="beginsWith" text="Functioning At Risk">
      <formula>LEFT(C393,LEN("Functioning At Risk"))="Functioning At Risk"</formula>
    </cfRule>
    <cfRule type="beginsWith" dxfId="5435" priority="1436" stopIfTrue="1" operator="beginsWith" text="Not Functioning">
      <formula>LEFT(C393,LEN("Not Functioning"))="Not Functioning"</formula>
    </cfRule>
    <cfRule type="containsText" dxfId="5434" priority="1437" operator="containsText" text="Functioning">
      <formula>NOT(ISERROR(SEARCH("Functioning",C393)))</formula>
    </cfRule>
  </conditionalFormatting>
  <conditionalFormatting sqref="C392">
    <cfRule type="beginsWith" dxfId="5433" priority="1438" stopIfTrue="1" operator="beginsWith" text="Functioning At Risk">
      <formula>LEFT(C392,LEN("Functioning At Risk"))="Functioning At Risk"</formula>
    </cfRule>
    <cfRule type="beginsWith" dxfId="5432" priority="1439" stopIfTrue="1" operator="beginsWith" text="Not Functioning">
      <formula>LEFT(C392,LEN("Not Functioning"))="Not Functioning"</formula>
    </cfRule>
    <cfRule type="containsText" dxfId="5431" priority="1440" operator="containsText" text="Functioning">
      <formula>NOT(ISERROR(SEARCH("Functioning",C392)))</formula>
    </cfRule>
  </conditionalFormatting>
  <conditionalFormatting sqref="C390">
    <cfRule type="beginsWith" dxfId="5430" priority="1432" stopIfTrue="1" operator="beginsWith" text="Functioning At Risk">
      <formula>LEFT(C390,LEN("Functioning At Risk"))="Functioning At Risk"</formula>
    </cfRule>
    <cfRule type="beginsWith" dxfId="5429" priority="1433" stopIfTrue="1" operator="beginsWith" text="Not Functioning">
      <formula>LEFT(C390,LEN("Not Functioning"))="Not Functioning"</formula>
    </cfRule>
    <cfRule type="containsText" dxfId="5428" priority="1434" operator="containsText" text="Functioning">
      <formula>NOT(ISERROR(SEARCH("Functioning",C390)))</formula>
    </cfRule>
  </conditionalFormatting>
  <conditionalFormatting sqref="C376:C377">
    <cfRule type="beginsWith" dxfId="5427" priority="1429" stopIfTrue="1" operator="beginsWith" text="Functioning At Risk">
      <formula>LEFT(C376,LEN("Functioning At Risk"))="Functioning At Risk"</formula>
    </cfRule>
    <cfRule type="beginsWith" dxfId="5426" priority="1430" stopIfTrue="1" operator="beginsWith" text="Not Functioning">
      <formula>LEFT(C376,LEN("Not Functioning"))="Not Functioning"</formula>
    </cfRule>
    <cfRule type="containsText" dxfId="5425" priority="1431" operator="containsText" text="Functioning">
      <formula>NOT(ISERROR(SEARCH("Functioning",C376)))</formula>
    </cfRule>
  </conditionalFormatting>
  <conditionalFormatting sqref="C408:C410 C425:C426 C419:C420 C431 C423 C400:C403 C428:C429">
    <cfRule type="beginsWith" dxfId="5424" priority="1426" stopIfTrue="1" operator="beginsWith" text="Functioning At Risk">
      <formula>LEFT(C400,LEN("Functioning At Risk"))="Functioning At Risk"</formula>
    </cfRule>
    <cfRule type="beginsWith" dxfId="5423" priority="1427" stopIfTrue="1" operator="beginsWith" text="Not Functioning">
      <formula>LEFT(C400,LEN("Not Functioning"))="Not Functioning"</formula>
    </cfRule>
    <cfRule type="containsText" dxfId="5422" priority="1428" operator="containsText" text="Functioning">
      <formula>NOT(ISERROR(SEARCH("Functioning",C400)))</formula>
    </cfRule>
  </conditionalFormatting>
  <conditionalFormatting sqref="C411">
    <cfRule type="beginsWith" dxfId="5421" priority="1423" stopIfTrue="1" operator="beginsWith" text="Functioning At Risk">
      <formula>LEFT(C411,LEN("Functioning At Risk"))="Functioning At Risk"</formula>
    </cfRule>
    <cfRule type="beginsWith" dxfId="5420" priority="1424" stopIfTrue="1" operator="beginsWith" text="Not Functioning">
      <formula>LEFT(C411,LEN("Not Functioning"))="Not Functioning"</formula>
    </cfRule>
    <cfRule type="containsText" dxfId="5419" priority="1425" operator="containsText" text="Functioning">
      <formula>NOT(ISERROR(SEARCH("Functioning",C411)))</formula>
    </cfRule>
  </conditionalFormatting>
  <conditionalFormatting sqref="C418">
    <cfRule type="beginsWith" dxfId="5418" priority="1420" stopIfTrue="1" operator="beginsWith" text="Functioning At Risk">
      <formula>LEFT(C418,LEN("Functioning At Risk"))="Functioning At Risk"</formula>
    </cfRule>
    <cfRule type="beginsWith" dxfId="5417" priority="1421" stopIfTrue="1" operator="beginsWith" text="Not Functioning">
      <formula>LEFT(C418,LEN("Not Functioning"))="Not Functioning"</formula>
    </cfRule>
    <cfRule type="containsText" dxfId="5416" priority="1422" operator="containsText" text="Functioning">
      <formula>NOT(ISERROR(SEARCH("Functioning",C418)))</formula>
    </cfRule>
  </conditionalFormatting>
  <conditionalFormatting sqref="C412:C415">
    <cfRule type="beginsWith" dxfId="5415" priority="1417" stopIfTrue="1" operator="beginsWith" text="Functioning At Risk">
      <formula>LEFT(C412,LEN("Functioning At Risk"))="Functioning At Risk"</formula>
    </cfRule>
    <cfRule type="beginsWith" dxfId="5414" priority="1418" stopIfTrue="1" operator="beginsWith" text="Not Functioning">
      <formula>LEFT(C412,LEN("Not Functioning"))="Not Functioning"</formula>
    </cfRule>
    <cfRule type="containsText" dxfId="5413" priority="1419" operator="containsText" text="Functioning">
      <formula>NOT(ISERROR(SEARCH("Functioning",C412)))</formula>
    </cfRule>
  </conditionalFormatting>
  <conditionalFormatting sqref="C421">
    <cfRule type="beginsWith" dxfId="5412" priority="1414" stopIfTrue="1" operator="beginsWith" text="Functioning At Risk">
      <formula>LEFT(C421,LEN("Functioning At Risk"))="Functioning At Risk"</formula>
    </cfRule>
    <cfRule type="beginsWith" dxfId="5411" priority="1415" stopIfTrue="1" operator="beginsWith" text="Not Functioning">
      <formula>LEFT(C421,LEN("Not Functioning"))="Not Functioning"</formula>
    </cfRule>
    <cfRule type="containsText" dxfId="5410" priority="1416" operator="containsText" text="Functioning">
      <formula>NOT(ISERROR(SEARCH("Functioning",C421)))</formula>
    </cfRule>
  </conditionalFormatting>
  <conditionalFormatting sqref="C422">
    <cfRule type="beginsWith" dxfId="5409" priority="1411" stopIfTrue="1" operator="beginsWith" text="Functioning At Risk">
      <formula>LEFT(C422,LEN("Functioning At Risk"))="Functioning At Risk"</formula>
    </cfRule>
    <cfRule type="beginsWith" dxfId="5408" priority="1412" stopIfTrue="1" operator="beginsWith" text="Not Functioning">
      <formula>LEFT(C422,LEN("Not Functioning"))="Not Functioning"</formula>
    </cfRule>
    <cfRule type="containsText" dxfId="5407" priority="1413" operator="containsText" text="Functioning">
      <formula>NOT(ISERROR(SEARCH("Functioning",C422)))</formula>
    </cfRule>
  </conditionalFormatting>
  <conditionalFormatting sqref="C433">
    <cfRule type="beginsWith" dxfId="5406" priority="1405" stopIfTrue="1" operator="beginsWith" text="Functioning At Risk">
      <formula>LEFT(C433,LEN("Functioning At Risk"))="Functioning At Risk"</formula>
    </cfRule>
    <cfRule type="beginsWith" dxfId="5405" priority="1406" stopIfTrue="1" operator="beginsWith" text="Not Functioning">
      <formula>LEFT(C433,LEN("Not Functioning"))="Not Functioning"</formula>
    </cfRule>
    <cfRule type="containsText" dxfId="5404" priority="1407" operator="containsText" text="Functioning">
      <formula>NOT(ISERROR(SEARCH("Functioning",C433)))</formula>
    </cfRule>
  </conditionalFormatting>
  <conditionalFormatting sqref="C432">
    <cfRule type="beginsWith" dxfId="5403" priority="1408" stopIfTrue="1" operator="beginsWith" text="Functioning At Risk">
      <formula>LEFT(C432,LEN("Functioning At Risk"))="Functioning At Risk"</formula>
    </cfRule>
    <cfRule type="beginsWith" dxfId="5402" priority="1409" stopIfTrue="1" operator="beginsWith" text="Not Functioning">
      <formula>LEFT(C432,LEN("Not Functioning"))="Not Functioning"</formula>
    </cfRule>
    <cfRule type="containsText" dxfId="5401" priority="1410" operator="containsText" text="Functioning">
      <formula>NOT(ISERROR(SEARCH("Functioning",C432)))</formula>
    </cfRule>
  </conditionalFormatting>
  <conditionalFormatting sqref="C430">
    <cfRule type="beginsWith" dxfId="5400" priority="1402" stopIfTrue="1" operator="beginsWith" text="Functioning At Risk">
      <formula>LEFT(C430,LEN("Functioning At Risk"))="Functioning At Risk"</formula>
    </cfRule>
    <cfRule type="beginsWith" dxfId="5399" priority="1403" stopIfTrue="1" operator="beginsWith" text="Not Functioning">
      <formula>LEFT(C430,LEN("Not Functioning"))="Not Functioning"</formula>
    </cfRule>
    <cfRule type="containsText" dxfId="5398" priority="1404" operator="containsText" text="Functioning">
      <formula>NOT(ISERROR(SEARCH("Functioning",C430)))</formula>
    </cfRule>
  </conditionalFormatting>
  <conditionalFormatting sqref="C416:C417">
    <cfRule type="beginsWith" dxfId="5397" priority="1399" stopIfTrue="1" operator="beginsWith" text="Functioning At Risk">
      <formula>LEFT(C416,LEN("Functioning At Risk"))="Functioning At Risk"</formula>
    </cfRule>
    <cfRule type="beginsWith" dxfId="5396" priority="1400" stopIfTrue="1" operator="beginsWith" text="Not Functioning">
      <formula>LEFT(C416,LEN("Not Functioning"))="Not Functioning"</formula>
    </cfRule>
    <cfRule type="containsText" dxfId="5395" priority="1401" operator="containsText" text="Functioning">
      <formula>NOT(ISERROR(SEARCH("Functioning",C416)))</formula>
    </cfRule>
  </conditionalFormatting>
  <conditionalFormatting sqref="E24">
    <cfRule type="beginsWith" dxfId="5394" priority="1252" stopIfTrue="1" operator="beginsWith" text="Functioning At Risk">
      <formula>LEFT(E24,LEN("Functioning At Risk"))="Functioning At Risk"</formula>
    </cfRule>
    <cfRule type="beginsWith" dxfId="5393" priority="1253" stopIfTrue="1" operator="beginsWith" text="Not Functioning">
      <formula>LEFT(E24,LEN("Not Functioning"))="Not Functioning"</formula>
    </cfRule>
    <cfRule type="containsText" dxfId="5392" priority="1254" operator="containsText" text="Functioning">
      <formula>NOT(ISERROR(SEARCH("Functioning",E24)))</formula>
    </cfRule>
  </conditionalFormatting>
  <conditionalFormatting sqref="E26">
    <cfRule type="beginsWith" dxfId="5391" priority="1246" stopIfTrue="1" operator="beginsWith" text="Functioning At Risk">
      <formula>LEFT(E26,LEN("Functioning At Risk"))="Functioning At Risk"</formula>
    </cfRule>
    <cfRule type="beginsWith" dxfId="5390" priority="1247" stopIfTrue="1" operator="beginsWith" text="Not Functioning">
      <formula>LEFT(E26,LEN("Not Functioning"))="Not Functioning"</formula>
    </cfRule>
    <cfRule type="containsText" dxfId="5389" priority="1248" operator="containsText" text="Functioning">
      <formula>NOT(ISERROR(SEARCH("Functioning",E26)))</formula>
    </cfRule>
  </conditionalFormatting>
  <conditionalFormatting sqref="E63">
    <cfRule type="beginsWith" dxfId="5388" priority="1243" stopIfTrue="1" operator="beginsWith" text="Functioning At Risk">
      <formula>LEFT(E63,LEN("Functioning At Risk"))="Functioning At Risk"</formula>
    </cfRule>
    <cfRule type="beginsWith" dxfId="5387" priority="1244" stopIfTrue="1" operator="beginsWith" text="Not Functioning">
      <formula>LEFT(E63,LEN("Not Functioning"))="Not Functioning"</formula>
    </cfRule>
    <cfRule type="containsText" dxfId="5386" priority="1245" operator="containsText" text="Functioning">
      <formula>NOT(ISERROR(SEARCH("Functioning",E63)))</formula>
    </cfRule>
  </conditionalFormatting>
  <conditionalFormatting sqref="E65">
    <cfRule type="beginsWith" dxfId="5385" priority="1237" stopIfTrue="1" operator="beginsWith" text="Functioning At Risk">
      <formula>LEFT(E65,LEN("Functioning At Risk"))="Functioning At Risk"</formula>
    </cfRule>
    <cfRule type="beginsWith" dxfId="5384" priority="1238" stopIfTrue="1" operator="beginsWith" text="Not Functioning">
      <formula>LEFT(E65,LEN("Not Functioning"))="Not Functioning"</formula>
    </cfRule>
    <cfRule type="containsText" dxfId="5383" priority="1239" operator="containsText" text="Functioning">
      <formula>NOT(ISERROR(SEARCH("Functioning",E65)))</formula>
    </cfRule>
  </conditionalFormatting>
  <conditionalFormatting sqref="E102">
    <cfRule type="beginsWith" dxfId="5382" priority="1234" stopIfTrue="1" operator="beginsWith" text="Functioning At Risk">
      <formula>LEFT(E102,LEN("Functioning At Risk"))="Functioning At Risk"</formula>
    </cfRule>
    <cfRule type="beginsWith" dxfId="5381" priority="1235" stopIfTrue="1" operator="beginsWith" text="Not Functioning">
      <formula>LEFT(E102,LEN("Not Functioning"))="Not Functioning"</formula>
    </cfRule>
    <cfRule type="containsText" dxfId="5380" priority="1236" operator="containsText" text="Functioning">
      <formula>NOT(ISERROR(SEARCH("Functioning",E102)))</formula>
    </cfRule>
  </conditionalFormatting>
  <conditionalFormatting sqref="E104">
    <cfRule type="beginsWith" dxfId="5379" priority="1228" stopIfTrue="1" operator="beginsWith" text="Functioning At Risk">
      <formula>LEFT(E104,LEN("Functioning At Risk"))="Functioning At Risk"</formula>
    </cfRule>
    <cfRule type="beginsWith" dxfId="5378" priority="1229" stopIfTrue="1" operator="beginsWith" text="Not Functioning">
      <formula>LEFT(E104,LEN("Not Functioning"))="Not Functioning"</formula>
    </cfRule>
    <cfRule type="containsText" dxfId="5377" priority="1230" operator="containsText" text="Functioning">
      <formula>NOT(ISERROR(SEARCH("Functioning",E104)))</formula>
    </cfRule>
  </conditionalFormatting>
  <conditionalFormatting sqref="E141">
    <cfRule type="beginsWith" dxfId="5376" priority="1225" stopIfTrue="1" operator="beginsWith" text="Functioning At Risk">
      <formula>LEFT(E141,LEN("Functioning At Risk"))="Functioning At Risk"</formula>
    </cfRule>
    <cfRule type="beginsWith" dxfId="5375" priority="1226" stopIfTrue="1" operator="beginsWith" text="Not Functioning">
      <formula>LEFT(E141,LEN("Not Functioning"))="Not Functioning"</formula>
    </cfRule>
    <cfRule type="containsText" dxfId="5374" priority="1227" operator="containsText" text="Functioning">
      <formula>NOT(ISERROR(SEARCH("Functioning",E141)))</formula>
    </cfRule>
  </conditionalFormatting>
  <conditionalFormatting sqref="E143">
    <cfRule type="beginsWith" dxfId="5373" priority="1219" stopIfTrue="1" operator="beginsWith" text="Functioning At Risk">
      <formula>LEFT(E143,LEN("Functioning At Risk"))="Functioning At Risk"</formula>
    </cfRule>
    <cfRule type="beginsWith" dxfId="5372" priority="1220" stopIfTrue="1" operator="beginsWith" text="Not Functioning">
      <formula>LEFT(E143,LEN("Not Functioning"))="Not Functioning"</formula>
    </cfRule>
    <cfRule type="containsText" dxfId="5371" priority="1221" operator="containsText" text="Functioning">
      <formula>NOT(ISERROR(SEARCH("Functioning",E143)))</formula>
    </cfRule>
  </conditionalFormatting>
  <conditionalFormatting sqref="E180">
    <cfRule type="beginsWith" dxfId="5370" priority="1216" stopIfTrue="1" operator="beginsWith" text="Functioning At Risk">
      <formula>LEFT(E180,LEN("Functioning At Risk"))="Functioning At Risk"</formula>
    </cfRule>
    <cfRule type="beginsWith" dxfId="5369" priority="1217" stopIfTrue="1" operator="beginsWith" text="Not Functioning">
      <formula>LEFT(E180,LEN("Not Functioning"))="Not Functioning"</formula>
    </cfRule>
    <cfRule type="containsText" dxfId="5368" priority="1218" operator="containsText" text="Functioning">
      <formula>NOT(ISERROR(SEARCH("Functioning",E180)))</formula>
    </cfRule>
  </conditionalFormatting>
  <conditionalFormatting sqref="E182">
    <cfRule type="beginsWith" dxfId="5367" priority="1210" stopIfTrue="1" operator="beginsWith" text="Functioning At Risk">
      <formula>LEFT(E182,LEN("Functioning At Risk"))="Functioning At Risk"</formula>
    </cfRule>
    <cfRule type="beginsWith" dxfId="5366" priority="1211" stopIfTrue="1" operator="beginsWith" text="Not Functioning">
      <formula>LEFT(E182,LEN("Not Functioning"))="Not Functioning"</formula>
    </cfRule>
    <cfRule type="containsText" dxfId="5365" priority="1212" operator="containsText" text="Functioning">
      <formula>NOT(ISERROR(SEARCH("Functioning",E182)))</formula>
    </cfRule>
  </conditionalFormatting>
  <conditionalFormatting sqref="E219">
    <cfRule type="beginsWith" dxfId="5364" priority="1207" stopIfTrue="1" operator="beginsWith" text="Functioning At Risk">
      <formula>LEFT(E219,LEN("Functioning At Risk"))="Functioning At Risk"</formula>
    </cfRule>
    <cfRule type="beginsWith" dxfId="5363" priority="1208" stopIfTrue="1" operator="beginsWith" text="Not Functioning">
      <formula>LEFT(E219,LEN("Not Functioning"))="Not Functioning"</formula>
    </cfRule>
    <cfRule type="containsText" dxfId="5362" priority="1209" operator="containsText" text="Functioning">
      <formula>NOT(ISERROR(SEARCH("Functioning",E219)))</formula>
    </cfRule>
  </conditionalFormatting>
  <conditionalFormatting sqref="E221">
    <cfRule type="beginsWith" dxfId="5361" priority="1201" stopIfTrue="1" operator="beginsWith" text="Functioning At Risk">
      <formula>LEFT(E221,LEN("Functioning At Risk"))="Functioning At Risk"</formula>
    </cfRule>
    <cfRule type="beginsWith" dxfId="5360" priority="1202" stopIfTrue="1" operator="beginsWith" text="Not Functioning">
      <formula>LEFT(E221,LEN("Not Functioning"))="Not Functioning"</formula>
    </cfRule>
    <cfRule type="containsText" dxfId="5359" priority="1203" operator="containsText" text="Functioning">
      <formula>NOT(ISERROR(SEARCH("Functioning",E221)))</formula>
    </cfRule>
  </conditionalFormatting>
  <conditionalFormatting sqref="E259">
    <cfRule type="beginsWith" dxfId="5358" priority="1198" stopIfTrue="1" operator="beginsWith" text="Functioning At Risk">
      <formula>LEFT(E259,LEN("Functioning At Risk"))="Functioning At Risk"</formula>
    </cfRule>
    <cfRule type="beginsWith" dxfId="5357" priority="1199" stopIfTrue="1" operator="beginsWith" text="Not Functioning">
      <formula>LEFT(E259,LEN("Not Functioning"))="Not Functioning"</formula>
    </cfRule>
    <cfRule type="containsText" dxfId="5356" priority="1200" operator="containsText" text="Functioning">
      <formula>NOT(ISERROR(SEARCH("Functioning",E259)))</formula>
    </cfRule>
  </conditionalFormatting>
  <conditionalFormatting sqref="E261">
    <cfRule type="beginsWith" dxfId="5355" priority="1192" stopIfTrue="1" operator="beginsWith" text="Functioning At Risk">
      <formula>LEFT(E261,LEN("Functioning At Risk"))="Functioning At Risk"</formula>
    </cfRule>
    <cfRule type="beginsWith" dxfId="5354" priority="1193" stopIfTrue="1" operator="beginsWith" text="Not Functioning">
      <formula>LEFT(E261,LEN("Not Functioning"))="Not Functioning"</formula>
    </cfRule>
    <cfRule type="containsText" dxfId="5353" priority="1194" operator="containsText" text="Functioning">
      <formula>NOT(ISERROR(SEARCH("Functioning",E261)))</formula>
    </cfRule>
  </conditionalFormatting>
  <conditionalFormatting sqref="E299">
    <cfRule type="beginsWith" dxfId="5352" priority="1189" stopIfTrue="1" operator="beginsWith" text="Functioning At Risk">
      <formula>LEFT(E299,LEN("Functioning At Risk"))="Functioning At Risk"</formula>
    </cfRule>
    <cfRule type="beginsWith" dxfId="5351" priority="1190" stopIfTrue="1" operator="beginsWith" text="Not Functioning">
      <formula>LEFT(E299,LEN("Not Functioning"))="Not Functioning"</formula>
    </cfRule>
    <cfRule type="containsText" dxfId="5350" priority="1191" operator="containsText" text="Functioning">
      <formula>NOT(ISERROR(SEARCH("Functioning",E299)))</formula>
    </cfRule>
  </conditionalFormatting>
  <conditionalFormatting sqref="E301">
    <cfRule type="beginsWith" dxfId="5349" priority="1183" stopIfTrue="1" operator="beginsWith" text="Functioning At Risk">
      <formula>LEFT(E301,LEN("Functioning At Risk"))="Functioning At Risk"</formula>
    </cfRule>
    <cfRule type="beginsWith" dxfId="5348" priority="1184" stopIfTrue="1" operator="beginsWith" text="Not Functioning">
      <formula>LEFT(E301,LEN("Not Functioning"))="Not Functioning"</formula>
    </cfRule>
    <cfRule type="containsText" dxfId="5347" priority="1185" operator="containsText" text="Functioning">
      <formula>NOT(ISERROR(SEARCH("Functioning",E301)))</formula>
    </cfRule>
  </conditionalFormatting>
  <conditionalFormatting sqref="E339">
    <cfRule type="beginsWith" dxfId="5346" priority="1180" stopIfTrue="1" operator="beginsWith" text="Functioning At Risk">
      <formula>LEFT(E339,LEN("Functioning At Risk"))="Functioning At Risk"</formula>
    </cfRule>
    <cfRule type="beginsWith" dxfId="5345" priority="1181" stopIfTrue="1" operator="beginsWith" text="Not Functioning">
      <formula>LEFT(E339,LEN("Not Functioning"))="Not Functioning"</formula>
    </cfRule>
    <cfRule type="containsText" dxfId="5344" priority="1182" operator="containsText" text="Functioning">
      <formula>NOT(ISERROR(SEARCH("Functioning",E339)))</formula>
    </cfRule>
  </conditionalFormatting>
  <conditionalFormatting sqref="E341">
    <cfRule type="beginsWith" dxfId="5343" priority="1174" stopIfTrue="1" operator="beginsWith" text="Functioning At Risk">
      <formula>LEFT(E341,LEN("Functioning At Risk"))="Functioning At Risk"</formula>
    </cfRule>
    <cfRule type="beginsWith" dxfId="5342" priority="1175" stopIfTrue="1" operator="beginsWith" text="Not Functioning">
      <formula>LEFT(E341,LEN("Not Functioning"))="Not Functioning"</formula>
    </cfRule>
    <cfRule type="containsText" dxfId="5341" priority="1176" operator="containsText" text="Functioning">
      <formula>NOT(ISERROR(SEARCH("Functioning",E341)))</formula>
    </cfRule>
  </conditionalFormatting>
  <conditionalFormatting sqref="E379">
    <cfRule type="beginsWith" dxfId="5340" priority="1171" stopIfTrue="1" operator="beginsWith" text="Functioning At Risk">
      <formula>LEFT(E379,LEN("Functioning At Risk"))="Functioning At Risk"</formula>
    </cfRule>
    <cfRule type="beginsWith" dxfId="5339" priority="1172" stopIfTrue="1" operator="beginsWith" text="Not Functioning">
      <formula>LEFT(E379,LEN("Not Functioning"))="Not Functioning"</formula>
    </cfRule>
    <cfRule type="containsText" dxfId="5338" priority="1173" operator="containsText" text="Functioning">
      <formula>NOT(ISERROR(SEARCH("Functioning",E379)))</formula>
    </cfRule>
  </conditionalFormatting>
  <conditionalFormatting sqref="E381">
    <cfRule type="beginsWith" dxfId="5337" priority="1165" stopIfTrue="1" operator="beginsWith" text="Functioning At Risk">
      <formula>LEFT(E381,LEN("Functioning At Risk"))="Functioning At Risk"</formula>
    </cfRule>
    <cfRule type="beginsWith" dxfId="5336" priority="1166" stopIfTrue="1" operator="beginsWith" text="Not Functioning">
      <formula>LEFT(E381,LEN("Not Functioning"))="Not Functioning"</formula>
    </cfRule>
    <cfRule type="containsText" dxfId="5335" priority="1167" operator="containsText" text="Functioning">
      <formula>NOT(ISERROR(SEARCH("Functioning",E381)))</formula>
    </cfRule>
  </conditionalFormatting>
  <conditionalFormatting sqref="E419">
    <cfRule type="beginsWith" dxfId="5334" priority="1162" stopIfTrue="1" operator="beginsWith" text="Functioning At Risk">
      <formula>LEFT(E419,LEN("Functioning At Risk"))="Functioning At Risk"</formula>
    </cfRule>
    <cfRule type="beginsWith" dxfId="5333" priority="1163" stopIfTrue="1" operator="beginsWith" text="Not Functioning">
      <formula>LEFT(E419,LEN("Not Functioning"))="Not Functioning"</formula>
    </cfRule>
    <cfRule type="containsText" dxfId="5332" priority="1164" operator="containsText" text="Functioning">
      <formula>NOT(ISERROR(SEARCH("Functioning",E419)))</formula>
    </cfRule>
  </conditionalFormatting>
  <conditionalFormatting sqref="E421">
    <cfRule type="beginsWith" dxfId="5331" priority="1156" stopIfTrue="1" operator="beginsWith" text="Functioning At Risk">
      <formula>LEFT(E421,LEN("Functioning At Risk"))="Functioning At Risk"</formula>
    </cfRule>
    <cfRule type="beginsWith" dxfId="5330" priority="1157" stopIfTrue="1" operator="beginsWith" text="Not Functioning">
      <formula>LEFT(E421,LEN("Not Functioning"))="Not Functioning"</formula>
    </cfRule>
    <cfRule type="containsText" dxfId="5329" priority="1158" operator="containsText" text="Functioning">
      <formula>NOT(ISERROR(SEARCH("Functioning",E421)))</formula>
    </cfRule>
  </conditionalFormatting>
  <conditionalFormatting sqref="E380">
    <cfRule type="beginsWith" dxfId="5328" priority="961" stopIfTrue="1" operator="beginsWith" text="Functioning At Risk">
      <formula>LEFT(E380,LEN("Functioning At Risk"))="Functioning At Risk"</formula>
    </cfRule>
    <cfRule type="beginsWith" dxfId="5327" priority="962" stopIfTrue="1" operator="beginsWith" text="Not Functioning">
      <formula>LEFT(E380,LEN("Not Functioning"))="Not Functioning"</formula>
    </cfRule>
    <cfRule type="containsText" dxfId="5326" priority="963" operator="containsText" text="Functioning">
      <formula>NOT(ISERROR(SEARCH("Functioning",E380)))</formula>
    </cfRule>
  </conditionalFormatting>
  <conditionalFormatting sqref="E340">
    <cfRule type="beginsWith" dxfId="5325" priority="955" stopIfTrue="1" operator="beginsWith" text="Functioning At Risk">
      <formula>LEFT(E340,LEN("Functioning At Risk"))="Functioning At Risk"</formula>
    </cfRule>
    <cfRule type="beginsWith" dxfId="5324" priority="956" stopIfTrue="1" operator="beginsWith" text="Not Functioning">
      <formula>LEFT(E340,LEN("Not Functioning"))="Not Functioning"</formula>
    </cfRule>
    <cfRule type="containsText" dxfId="5323" priority="957" operator="containsText" text="Functioning">
      <formula>NOT(ISERROR(SEARCH("Functioning",E340)))</formula>
    </cfRule>
  </conditionalFormatting>
  <conditionalFormatting sqref="E220">
    <cfRule type="beginsWith" dxfId="5322" priority="937" stopIfTrue="1" operator="beginsWith" text="Functioning At Risk">
      <formula>LEFT(E220,LEN("Functioning At Risk"))="Functioning At Risk"</formula>
    </cfRule>
    <cfRule type="beginsWith" dxfId="5321" priority="938" stopIfTrue="1" operator="beginsWith" text="Not Functioning">
      <formula>LEFT(E220,LEN("Not Functioning"))="Not Functioning"</formula>
    </cfRule>
    <cfRule type="containsText" dxfId="5320" priority="939" operator="containsText" text="Functioning">
      <formula>NOT(ISERROR(SEARCH("Functioning",E220)))</formula>
    </cfRule>
  </conditionalFormatting>
  <conditionalFormatting sqref="E181">
    <cfRule type="beginsWith" dxfId="5319" priority="931" stopIfTrue="1" operator="beginsWith" text="Functioning At Risk">
      <formula>LEFT(E181,LEN("Functioning At Risk"))="Functioning At Risk"</formula>
    </cfRule>
    <cfRule type="beginsWith" dxfId="5318" priority="932" stopIfTrue="1" operator="beginsWith" text="Not Functioning">
      <formula>LEFT(E181,LEN("Not Functioning"))="Not Functioning"</formula>
    </cfRule>
    <cfRule type="containsText" dxfId="5317" priority="933" operator="containsText" text="Functioning">
      <formula>NOT(ISERROR(SEARCH("Functioning",E181)))</formula>
    </cfRule>
  </conditionalFormatting>
  <conditionalFormatting sqref="E64">
    <cfRule type="beginsWith" dxfId="5316" priority="913" stopIfTrue="1" operator="beginsWith" text="Functioning At Risk">
      <formula>LEFT(E64,LEN("Functioning At Risk"))="Functioning At Risk"</formula>
    </cfRule>
    <cfRule type="beginsWith" dxfId="5315" priority="914" stopIfTrue="1" operator="beginsWith" text="Not Functioning">
      <formula>LEFT(E64,LEN("Not Functioning"))="Not Functioning"</formula>
    </cfRule>
    <cfRule type="containsText" dxfId="5314" priority="915" operator="containsText" text="Functioning">
      <formula>NOT(ISERROR(SEARCH("Functioning",E64)))</formula>
    </cfRule>
  </conditionalFormatting>
  <conditionalFormatting sqref="E25">
    <cfRule type="beginsWith" dxfId="5313" priority="907" stopIfTrue="1" operator="beginsWith" text="Functioning At Risk">
      <formula>LEFT(E25,LEN("Functioning At Risk"))="Functioning At Risk"</formula>
    </cfRule>
    <cfRule type="beginsWith" dxfId="5312" priority="908" stopIfTrue="1" operator="beginsWith" text="Not Functioning">
      <formula>LEFT(E25,LEN("Not Functioning"))="Not Functioning"</formula>
    </cfRule>
    <cfRule type="containsText" dxfId="5311" priority="909" operator="containsText" text="Functioning">
      <formula>NOT(ISERROR(SEARCH("Functioning",E25)))</formula>
    </cfRule>
  </conditionalFormatting>
  <conditionalFormatting sqref="E420">
    <cfRule type="beginsWith" dxfId="5310" priority="967" stopIfTrue="1" operator="beginsWith" text="Functioning At Risk">
      <formula>LEFT(E420,LEN("Functioning At Risk"))="Functioning At Risk"</formula>
    </cfRule>
    <cfRule type="beginsWith" dxfId="5309" priority="968" stopIfTrue="1" operator="beginsWith" text="Not Functioning">
      <formula>LEFT(E420,LEN("Not Functioning"))="Not Functioning"</formula>
    </cfRule>
    <cfRule type="containsText" dxfId="5308" priority="969" operator="containsText" text="Functioning">
      <formula>NOT(ISERROR(SEARCH("Functioning",E420)))</formula>
    </cfRule>
  </conditionalFormatting>
  <conditionalFormatting sqref="E300">
    <cfRule type="beginsWith" dxfId="5307" priority="949" stopIfTrue="1" operator="beginsWith" text="Functioning At Risk">
      <formula>LEFT(E300,LEN("Functioning At Risk"))="Functioning At Risk"</formula>
    </cfRule>
    <cfRule type="beginsWith" dxfId="5306" priority="950" stopIfTrue="1" operator="beginsWith" text="Not Functioning">
      <formula>LEFT(E300,LEN("Not Functioning"))="Not Functioning"</formula>
    </cfRule>
    <cfRule type="containsText" dxfId="5305" priority="951" operator="containsText" text="Functioning">
      <formula>NOT(ISERROR(SEARCH("Functioning",E300)))</formula>
    </cfRule>
  </conditionalFormatting>
  <conditionalFormatting sqref="E260">
    <cfRule type="beginsWith" dxfId="5304" priority="943" stopIfTrue="1" operator="beginsWith" text="Functioning At Risk">
      <formula>LEFT(E260,LEN("Functioning At Risk"))="Functioning At Risk"</formula>
    </cfRule>
    <cfRule type="beginsWith" dxfId="5303" priority="944" stopIfTrue="1" operator="beginsWith" text="Not Functioning">
      <formula>LEFT(E260,LEN("Not Functioning"))="Not Functioning"</formula>
    </cfRule>
    <cfRule type="containsText" dxfId="5302" priority="945" operator="containsText" text="Functioning">
      <formula>NOT(ISERROR(SEARCH("Functioning",E260)))</formula>
    </cfRule>
  </conditionalFormatting>
  <conditionalFormatting sqref="E142">
    <cfRule type="beginsWith" dxfId="5301" priority="925" stopIfTrue="1" operator="beginsWith" text="Functioning At Risk">
      <formula>LEFT(E142,LEN("Functioning At Risk"))="Functioning At Risk"</formula>
    </cfRule>
    <cfRule type="beginsWith" dxfId="5300" priority="926" stopIfTrue="1" operator="beginsWith" text="Not Functioning">
      <formula>LEFT(E142,LEN("Not Functioning"))="Not Functioning"</formula>
    </cfRule>
    <cfRule type="containsText" dxfId="5299" priority="927" operator="containsText" text="Functioning">
      <formula>NOT(ISERROR(SEARCH("Functioning",E142)))</formula>
    </cfRule>
  </conditionalFormatting>
  <conditionalFormatting sqref="E103">
    <cfRule type="beginsWith" dxfId="5298" priority="919" stopIfTrue="1" operator="beginsWith" text="Functioning At Risk">
      <formula>LEFT(E103,LEN("Functioning At Risk"))="Functioning At Risk"</formula>
    </cfRule>
    <cfRule type="beginsWith" dxfId="5297" priority="920" stopIfTrue="1" operator="beginsWith" text="Not Functioning">
      <formula>LEFT(E103,LEN("Not Functioning"))="Not Functioning"</formula>
    </cfRule>
    <cfRule type="containsText" dxfId="5296" priority="921" operator="containsText" text="Functioning">
      <formula>NOT(ISERROR(SEARCH("Functioning",E103)))</formula>
    </cfRule>
  </conditionalFormatting>
  <conditionalFormatting sqref="E189:E191">
    <cfRule type="expression" dxfId="5295" priority="7767">
      <formula>B9="Level 5 - Biology"</formula>
    </cfRule>
  </conditionalFormatting>
  <conditionalFormatting sqref="E228:E230">
    <cfRule type="expression" dxfId="5294" priority="7774">
      <formula>B48="Level 5 - Biology"</formula>
    </cfRule>
  </conditionalFormatting>
  <conditionalFormatting sqref="E268:E270">
    <cfRule type="expression" dxfId="5293" priority="7781">
      <formula>B88="Level 5 - Biology"</formula>
    </cfRule>
  </conditionalFormatting>
  <conditionalFormatting sqref="C404:D406">
    <cfRule type="beginsWith" dxfId="5292" priority="895" stopIfTrue="1" operator="beginsWith" text="Functioning At Risk">
      <formula>LEFT(C404,LEN("Functioning At Risk"))="Functioning At Risk"</formula>
    </cfRule>
    <cfRule type="beginsWith" dxfId="5291" priority="896" stopIfTrue="1" operator="beginsWith" text="Not Functioning">
      <formula>LEFT(C404,LEN("Not Functioning"))="Not Functioning"</formula>
    </cfRule>
    <cfRule type="containsText" dxfId="5290" priority="897" operator="containsText" text="Functioning">
      <formula>NOT(ISERROR(SEARCH("Functioning",C404)))</formula>
    </cfRule>
  </conditionalFormatting>
  <conditionalFormatting sqref="B404">
    <cfRule type="beginsWith" dxfId="5289" priority="892" stopIfTrue="1" operator="beginsWith" text="Functioning At Risk">
      <formula>LEFT(B404,LEN("Functioning At Risk"))="Functioning At Risk"</formula>
    </cfRule>
    <cfRule type="beginsWith" dxfId="5288" priority="893" stopIfTrue="1" operator="beginsWith" text="Not Functioning">
      <formula>LEFT(B404,LEN("Not Functioning"))="Not Functioning"</formula>
    </cfRule>
    <cfRule type="containsText" dxfId="5287" priority="894" operator="containsText" text="Functioning">
      <formula>NOT(ISERROR(SEARCH("Functioning",B404)))</formula>
    </cfRule>
  </conditionalFormatting>
  <conditionalFormatting sqref="E405">
    <cfRule type="beginsWith" dxfId="5286" priority="889" stopIfTrue="1" operator="beginsWith" text="Functioning At Risk">
      <formula>LEFT(E405,LEN("Functioning At Risk"))="Functioning At Risk"</formula>
    </cfRule>
    <cfRule type="beginsWith" dxfId="5285" priority="890" stopIfTrue="1" operator="beginsWith" text="Not Functioning">
      <formula>LEFT(E405,LEN("Not Functioning"))="Not Functioning"</formula>
    </cfRule>
    <cfRule type="containsText" dxfId="5284" priority="891" operator="containsText" text="Functioning">
      <formula>NOT(ISERROR(SEARCH("Functioning",E405)))</formula>
    </cfRule>
  </conditionalFormatting>
  <conditionalFormatting sqref="E404">
    <cfRule type="beginsWith" dxfId="5283" priority="886" stopIfTrue="1" operator="beginsWith" text="Functioning At Risk">
      <formula>LEFT(E404,LEN("Functioning At Risk"))="Functioning At Risk"</formula>
    </cfRule>
    <cfRule type="beginsWith" dxfId="5282" priority="887" stopIfTrue="1" operator="beginsWith" text="Not Functioning">
      <formula>LEFT(E404,LEN("Not Functioning"))="Not Functioning"</formula>
    </cfRule>
    <cfRule type="containsText" dxfId="5281" priority="888" operator="containsText" text="Functioning">
      <formula>NOT(ISERROR(SEARCH("Functioning",E404)))</formula>
    </cfRule>
  </conditionalFormatting>
  <conditionalFormatting sqref="E404">
    <cfRule type="expression" dxfId="5280" priority="885" stopIfTrue="1">
      <formula>ISBLANK($B$13)</formula>
    </cfRule>
  </conditionalFormatting>
  <conditionalFormatting sqref="E406:E407">
    <cfRule type="beginsWith" dxfId="5279" priority="882" stopIfTrue="1" operator="beginsWith" text="Functioning At Risk">
      <formula>LEFT(E406,LEN("Functioning At Risk"))="Functioning At Risk"</formula>
    </cfRule>
    <cfRule type="beginsWith" dxfId="5278" priority="883" stopIfTrue="1" operator="beginsWith" text="Not Functioning">
      <formula>LEFT(E406,LEN("Not Functioning"))="Not Functioning"</formula>
    </cfRule>
    <cfRule type="containsText" dxfId="5277" priority="884" operator="containsText" text="Functioning">
      <formula>NOT(ISERROR(SEARCH("Functioning",E406)))</formula>
    </cfRule>
  </conditionalFormatting>
  <conditionalFormatting sqref="C364:D366">
    <cfRule type="beginsWith" dxfId="5276" priority="876" stopIfTrue="1" operator="beginsWith" text="Functioning At Risk">
      <formula>LEFT(C364,LEN("Functioning At Risk"))="Functioning At Risk"</formula>
    </cfRule>
    <cfRule type="beginsWith" dxfId="5275" priority="877" stopIfTrue="1" operator="beginsWith" text="Not Functioning">
      <formula>LEFT(C364,LEN("Not Functioning"))="Not Functioning"</formula>
    </cfRule>
    <cfRule type="containsText" dxfId="5274" priority="878" operator="containsText" text="Functioning">
      <formula>NOT(ISERROR(SEARCH("Functioning",C364)))</formula>
    </cfRule>
  </conditionalFormatting>
  <conditionalFormatting sqref="B364">
    <cfRule type="beginsWith" dxfId="5273" priority="873" stopIfTrue="1" operator="beginsWith" text="Functioning At Risk">
      <formula>LEFT(B364,LEN("Functioning At Risk"))="Functioning At Risk"</formula>
    </cfRule>
    <cfRule type="beginsWith" dxfId="5272" priority="874" stopIfTrue="1" operator="beginsWith" text="Not Functioning">
      <formula>LEFT(B364,LEN("Not Functioning"))="Not Functioning"</formula>
    </cfRule>
    <cfRule type="containsText" dxfId="5271" priority="875" operator="containsText" text="Functioning">
      <formula>NOT(ISERROR(SEARCH("Functioning",B364)))</formula>
    </cfRule>
  </conditionalFormatting>
  <conditionalFormatting sqref="E365">
    <cfRule type="beginsWith" dxfId="5270" priority="870" stopIfTrue="1" operator="beginsWith" text="Functioning At Risk">
      <formula>LEFT(E365,LEN("Functioning At Risk"))="Functioning At Risk"</formula>
    </cfRule>
    <cfRule type="beginsWith" dxfId="5269" priority="871" stopIfTrue="1" operator="beginsWith" text="Not Functioning">
      <formula>LEFT(E365,LEN("Not Functioning"))="Not Functioning"</formula>
    </cfRule>
    <cfRule type="containsText" dxfId="5268" priority="872" operator="containsText" text="Functioning">
      <formula>NOT(ISERROR(SEARCH("Functioning",E365)))</formula>
    </cfRule>
  </conditionalFormatting>
  <conditionalFormatting sqref="E364">
    <cfRule type="beginsWith" dxfId="5267" priority="867" stopIfTrue="1" operator="beginsWith" text="Functioning At Risk">
      <formula>LEFT(E364,LEN("Functioning At Risk"))="Functioning At Risk"</formula>
    </cfRule>
    <cfRule type="beginsWith" dxfId="5266" priority="868" stopIfTrue="1" operator="beginsWith" text="Not Functioning">
      <formula>LEFT(E364,LEN("Not Functioning"))="Not Functioning"</formula>
    </cfRule>
    <cfRule type="containsText" dxfId="5265" priority="869" operator="containsText" text="Functioning">
      <formula>NOT(ISERROR(SEARCH("Functioning",E364)))</formula>
    </cfRule>
  </conditionalFormatting>
  <conditionalFormatting sqref="E364">
    <cfRule type="expression" dxfId="5264" priority="866" stopIfTrue="1">
      <formula>ISBLANK($B$13)</formula>
    </cfRule>
  </conditionalFormatting>
  <conditionalFormatting sqref="E366:E367">
    <cfRule type="beginsWith" dxfId="5263" priority="863" stopIfTrue="1" operator="beginsWith" text="Functioning At Risk">
      <formula>LEFT(E366,LEN("Functioning At Risk"))="Functioning At Risk"</formula>
    </cfRule>
    <cfRule type="beginsWith" dxfId="5262" priority="864" stopIfTrue="1" operator="beginsWith" text="Not Functioning">
      <formula>LEFT(E366,LEN("Not Functioning"))="Not Functioning"</formula>
    </cfRule>
    <cfRule type="containsText" dxfId="5261" priority="865" operator="containsText" text="Functioning">
      <formula>NOT(ISERROR(SEARCH("Functioning",E366)))</formula>
    </cfRule>
  </conditionalFormatting>
  <conditionalFormatting sqref="C324:D326">
    <cfRule type="beginsWith" dxfId="5260" priority="857" stopIfTrue="1" operator="beginsWith" text="Functioning At Risk">
      <formula>LEFT(C324,LEN("Functioning At Risk"))="Functioning At Risk"</formula>
    </cfRule>
    <cfRule type="beginsWith" dxfId="5259" priority="858" stopIfTrue="1" operator="beginsWith" text="Not Functioning">
      <formula>LEFT(C324,LEN("Not Functioning"))="Not Functioning"</formula>
    </cfRule>
    <cfRule type="containsText" dxfId="5258" priority="859" operator="containsText" text="Functioning">
      <formula>NOT(ISERROR(SEARCH("Functioning",C324)))</formula>
    </cfRule>
  </conditionalFormatting>
  <conditionalFormatting sqref="B324">
    <cfRule type="beginsWith" dxfId="5257" priority="854" stopIfTrue="1" operator="beginsWith" text="Functioning At Risk">
      <formula>LEFT(B324,LEN("Functioning At Risk"))="Functioning At Risk"</formula>
    </cfRule>
    <cfRule type="beginsWith" dxfId="5256" priority="855" stopIfTrue="1" operator="beginsWith" text="Not Functioning">
      <formula>LEFT(B324,LEN("Not Functioning"))="Not Functioning"</formula>
    </cfRule>
    <cfRule type="containsText" dxfId="5255" priority="856" operator="containsText" text="Functioning">
      <formula>NOT(ISERROR(SEARCH("Functioning",B324)))</formula>
    </cfRule>
  </conditionalFormatting>
  <conditionalFormatting sqref="E325">
    <cfRule type="beginsWith" dxfId="5254" priority="851" stopIfTrue="1" operator="beginsWith" text="Functioning At Risk">
      <formula>LEFT(E325,LEN("Functioning At Risk"))="Functioning At Risk"</formula>
    </cfRule>
    <cfRule type="beginsWith" dxfId="5253" priority="852" stopIfTrue="1" operator="beginsWith" text="Not Functioning">
      <formula>LEFT(E325,LEN("Not Functioning"))="Not Functioning"</formula>
    </cfRule>
    <cfRule type="containsText" dxfId="5252" priority="853" operator="containsText" text="Functioning">
      <formula>NOT(ISERROR(SEARCH("Functioning",E325)))</formula>
    </cfRule>
  </conditionalFormatting>
  <conditionalFormatting sqref="E324">
    <cfRule type="beginsWith" dxfId="5251" priority="848" stopIfTrue="1" operator="beginsWith" text="Functioning At Risk">
      <formula>LEFT(E324,LEN("Functioning At Risk"))="Functioning At Risk"</formula>
    </cfRule>
    <cfRule type="beginsWith" dxfId="5250" priority="849" stopIfTrue="1" operator="beginsWith" text="Not Functioning">
      <formula>LEFT(E324,LEN("Not Functioning"))="Not Functioning"</formula>
    </cfRule>
    <cfRule type="containsText" dxfId="5249" priority="850" operator="containsText" text="Functioning">
      <formula>NOT(ISERROR(SEARCH("Functioning",E324)))</formula>
    </cfRule>
  </conditionalFormatting>
  <conditionalFormatting sqref="E324">
    <cfRule type="expression" dxfId="5248" priority="847" stopIfTrue="1">
      <formula>ISBLANK($B$13)</formula>
    </cfRule>
  </conditionalFormatting>
  <conditionalFormatting sqref="E326:E327">
    <cfRule type="beginsWith" dxfId="5247" priority="844" stopIfTrue="1" operator="beginsWith" text="Functioning At Risk">
      <formula>LEFT(E326,LEN("Functioning At Risk"))="Functioning At Risk"</formula>
    </cfRule>
    <cfRule type="beginsWith" dxfId="5246" priority="845" stopIfTrue="1" operator="beginsWith" text="Not Functioning">
      <formula>LEFT(E326,LEN("Not Functioning"))="Not Functioning"</formula>
    </cfRule>
    <cfRule type="containsText" dxfId="5245" priority="846" operator="containsText" text="Functioning">
      <formula>NOT(ISERROR(SEARCH("Functioning",E326)))</formula>
    </cfRule>
  </conditionalFormatting>
  <conditionalFormatting sqref="C284:D286">
    <cfRule type="beginsWith" dxfId="5244" priority="838" stopIfTrue="1" operator="beginsWith" text="Functioning At Risk">
      <formula>LEFT(C284,LEN("Functioning At Risk"))="Functioning At Risk"</formula>
    </cfRule>
    <cfRule type="beginsWith" dxfId="5243" priority="839" stopIfTrue="1" operator="beginsWith" text="Not Functioning">
      <formula>LEFT(C284,LEN("Not Functioning"))="Not Functioning"</formula>
    </cfRule>
    <cfRule type="containsText" dxfId="5242" priority="840" operator="containsText" text="Functioning">
      <formula>NOT(ISERROR(SEARCH("Functioning",C284)))</formula>
    </cfRule>
  </conditionalFormatting>
  <conditionalFormatting sqref="B284">
    <cfRule type="beginsWith" dxfId="5241" priority="835" stopIfTrue="1" operator="beginsWith" text="Functioning At Risk">
      <formula>LEFT(B284,LEN("Functioning At Risk"))="Functioning At Risk"</formula>
    </cfRule>
    <cfRule type="beginsWith" dxfId="5240" priority="836" stopIfTrue="1" operator="beginsWith" text="Not Functioning">
      <formula>LEFT(B284,LEN("Not Functioning"))="Not Functioning"</formula>
    </cfRule>
    <cfRule type="containsText" dxfId="5239" priority="837" operator="containsText" text="Functioning">
      <formula>NOT(ISERROR(SEARCH("Functioning",B284)))</formula>
    </cfRule>
  </conditionalFormatting>
  <conditionalFormatting sqref="E285">
    <cfRule type="beginsWith" dxfId="5238" priority="832" stopIfTrue="1" operator="beginsWith" text="Functioning At Risk">
      <formula>LEFT(E285,LEN("Functioning At Risk"))="Functioning At Risk"</formula>
    </cfRule>
    <cfRule type="beginsWith" dxfId="5237" priority="833" stopIfTrue="1" operator="beginsWith" text="Not Functioning">
      <formula>LEFT(E285,LEN("Not Functioning"))="Not Functioning"</formula>
    </cfRule>
    <cfRule type="containsText" dxfId="5236" priority="834" operator="containsText" text="Functioning">
      <formula>NOT(ISERROR(SEARCH("Functioning",E285)))</formula>
    </cfRule>
  </conditionalFormatting>
  <conditionalFormatting sqref="E284">
    <cfRule type="beginsWith" dxfId="5235" priority="829" stopIfTrue="1" operator="beginsWith" text="Functioning At Risk">
      <formula>LEFT(E284,LEN("Functioning At Risk"))="Functioning At Risk"</formula>
    </cfRule>
    <cfRule type="beginsWith" dxfId="5234" priority="830" stopIfTrue="1" operator="beginsWith" text="Not Functioning">
      <formula>LEFT(E284,LEN("Not Functioning"))="Not Functioning"</formula>
    </cfRule>
    <cfRule type="containsText" dxfId="5233" priority="831" operator="containsText" text="Functioning">
      <formula>NOT(ISERROR(SEARCH("Functioning",E284)))</formula>
    </cfRule>
  </conditionalFormatting>
  <conditionalFormatting sqref="E284">
    <cfRule type="expression" dxfId="5232" priority="828" stopIfTrue="1">
      <formula>ISBLANK($B$13)</formula>
    </cfRule>
  </conditionalFormatting>
  <conditionalFormatting sqref="E286:E287">
    <cfRule type="beginsWith" dxfId="5231" priority="825" stopIfTrue="1" operator="beginsWith" text="Functioning At Risk">
      <formula>LEFT(E286,LEN("Functioning At Risk"))="Functioning At Risk"</formula>
    </cfRule>
    <cfRule type="beginsWith" dxfId="5230" priority="826" stopIfTrue="1" operator="beginsWith" text="Not Functioning">
      <formula>LEFT(E286,LEN("Not Functioning"))="Not Functioning"</formula>
    </cfRule>
    <cfRule type="containsText" dxfId="5229" priority="827" operator="containsText" text="Functioning">
      <formula>NOT(ISERROR(SEARCH("Functioning",E286)))</formula>
    </cfRule>
  </conditionalFormatting>
  <conditionalFormatting sqref="C244:D246">
    <cfRule type="beginsWith" dxfId="5228" priority="819" stopIfTrue="1" operator="beginsWith" text="Functioning At Risk">
      <formula>LEFT(C244,LEN("Functioning At Risk"))="Functioning At Risk"</formula>
    </cfRule>
    <cfRule type="beginsWith" dxfId="5227" priority="820" stopIfTrue="1" operator="beginsWith" text="Not Functioning">
      <formula>LEFT(C244,LEN("Not Functioning"))="Not Functioning"</formula>
    </cfRule>
    <cfRule type="containsText" dxfId="5226" priority="821" operator="containsText" text="Functioning">
      <formula>NOT(ISERROR(SEARCH("Functioning",C244)))</formula>
    </cfRule>
  </conditionalFormatting>
  <conditionalFormatting sqref="B244">
    <cfRule type="beginsWith" dxfId="5225" priority="816" stopIfTrue="1" operator="beginsWith" text="Functioning At Risk">
      <formula>LEFT(B244,LEN("Functioning At Risk"))="Functioning At Risk"</formula>
    </cfRule>
    <cfRule type="beginsWith" dxfId="5224" priority="817" stopIfTrue="1" operator="beginsWith" text="Not Functioning">
      <formula>LEFT(B244,LEN("Not Functioning"))="Not Functioning"</formula>
    </cfRule>
    <cfRule type="containsText" dxfId="5223" priority="818" operator="containsText" text="Functioning">
      <formula>NOT(ISERROR(SEARCH("Functioning",B244)))</formula>
    </cfRule>
  </conditionalFormatting>
  <conditionalFormatting sqref="E245">
    <cfRule type="beginsWith" dxfId="5222" priority="813" stopIfTrue="1" operator="beginsWith" text="Functioning At Risk">
      <formula>LEFT(E245,LEN("Functioning At Risk"))="Functioning At Risk"</formula>
    </cfRule>
    <cfRule type="beginsWith" dxfId="5221" priority="814" stopIfTrue="1" operator="beginsWith" text="Not Functioning">
      <formula>LEFT(E245,LEN("Not Functioning"))="Not Functioning"</formula>
    </cfRule>
    <cfRule type="containsText" dxfId="5220" priority="815" operator="containsText" text="Functioning">
      <formula>NOT(ISERROR(SEARCH("Functioning",E245)))</formula>
    </cfRule>
  </conditionalFormatting>
  <conditionalFormatting sqref="E244">
    <cfRule type="beginsWith" dxfId="5219" priority="810" stopIfTrue="1" operator="beginsWith" text="Functioning At Risk">
      <formula>LEFT(E244,LEN("Functioning At Risk"))="Functioning At Risk"</formula>
    </cfRule>
    <cfRule type="beginsWith" dxfId="5218" priority="811" stopIfTrue="1" operator="beginsWith" text="Not Functioning">
      <formula>LEFT(E244,LEN("Not Functioning"))="Not Functioning"</formula>
    </cfRule>
    <cfRule type="containsText" dxfId="5217" priority="812" operator="containsText" text="Functioning">
      <formula>NOT(ISERROR(SEARCH("Functioning",E244)))</formula>
    </cfRule>
  </conditionalFormatting>
  <conditionalFormatting sqref="E244">
    <cfRule type="expression" dxfId="5216" priority="809" stopIfTrue="1">
      <formula>ISBLANK($B$13)</formula>
    </cfRule>
  </conditionalFormatting>
  <conditionalFormatting sqref="E246:E247">
    <cfRule type="beginsWith" dxfId="5215" priority="806" stopIfTrue="1" operator="beginsWith" text="Functioning At Risk">
      <formula>LEFT(E246,LEN("Functioning At Risk"))="Functioning At Risk"</formula>
    </cfRule>
    <cfRule type="beginsWith" dxfId="5214" priority="807" stopIfTrue="1" operator="beginsWith" text="Not Functioning">
      <formula>LEFT(E246,LEN("Not Functioning"))="Not Functioning"</formula>
    </cfRule>
    <cfRule type="containsText" dxfId="5213" priority="808" operator="containsText" text="Functioning">
      <formula>NOT(ISERROR(SEARCH("Functioning",E246)))</formula>
    </cfRule>
  </conditionalFormatting>
  <conditionalFormatting sqref="C204:D206">
    <cfRule type="beginsWith" dxfId="5212" priority="800" stopIfTrue="1" operator="beginsWith" text="Functioning At Risk">
      <formula>LEFT(C204,LEN("Functioning At Risk"))="Functioning At Risk"</formula>
    </cfRule>
    <cfRule type="beginsWith" dxfId="5211" priority="801" stopIfTrue="1" operator="beginsWith" text="Not Functioning">
      <formula>LEFT(C204,LEN("Not Functioning"))="Not Functioning"</formula>
    </cfRule>
    <cfRule type="containsText" dxfId="5210" priority="802" operator="containsText" text="Functioning">
      <formula>NOT(ISERROR(SEARCH("Functioning",C204)))</formula>
    </cfRule>
  </conditionalFormatting>
  <conditionalFormatting sqref="B204">
    <cfRule type="beginsWith" dxfId="5209" priority="797" stopIfTrue="1" operator="beginsWith" text="Functioning At Risk">
      <formula>LEFT(B204,LEN("Functioning At Risk"))="Functioning At Risk"</formula>
    </cfRule>
    <cfRule type="beginsWith" dxfId="5208" priority="798" stopIfTrue="1" operator="beginsWith" text="Not Functioning">
      <formula>LEFT(B204,LEN("Not Functioning"))="Not Functioning"</formula>
    </cfRule>
    <cfRule type="containsText" dxfId="5207" priority="799" operator="containsText" text="Functioning">
      <formula>NOT(ISERROR(SEARCH("Functioning",B204)))</formula>
    </cfRule>
  </conditionalFormatting>
  <conditionalFormatting sqref="E205">
    <cfRule type="beginsWith" dxfId="5206" priority="794" stopIfTrue="1" operator="beginsWith" text="Functioning At Risk">
      <formula>LEFT(E205,LEN("Functioning At Risk"))="Functioning At Risk"</formula>
    </cfRule>
    <cfRule type="beginsWith" dxfId="5205" priority="795" stopIfTrue="1" operator="beginsWith" text="Not Functioning">
      <formula>LEFT(E205,LEN("Not Functioning"))="Not Functioning"</formula>
    </cfRule>
    <cfRule type="containsText" dxfId="5204" priority="796" operator="containsText" text="Functioning">
      <formula>NOT(ISERROR(SEARCH("Functioning",E205)))</formula>
    </cfRule>
  </conditionalFormatting>
  <conditionalFormatting sqref="E204">
    <cfRule type="beginsWith" dxfId="5203" priority="791" stopIfTrue="1" operator="beginsWith" text="Functioning At Risk">
      <formula>LEFT(E204,LEN("Functioning At Risk"))="Functioning At Risk"</formula>
    </cfRule>
    <cfRule type="beginsWith" dxfId="5202" priority="792" stopIfTrue="1" operator="beginsWith" text="Not Functioning">
      <formula>LEFT(E204,LEN("Not Functioning"))="Not Functioning"</formula>
    </cfRule>
    <cfRule type="containsText" dxfId="5201" priority="793" operator="containsText" text="Functioning">
      <formula>NOT(ISERROR(SEARCH("Functioning",E204)))</formula>
    </cfRule>
  </conditionalFormatting>
  <conditionalFormatting sqref="E204">
    <cfRule type="expression" dxfId="5200" priority="790" stopIfTrue="1">
      <formula>ISBLANK($B$13)</formula>
    </cfRule>
  </conditionalFormatting>
  <conditionalFormatting sqref="E206:E207">
    <cfRule type="beginsWith" dxfId="5199" priority="787" stopIfTrue="1" operator="beginsWith" text="Functioning At Risk">
      <formula>LEFT(E206,LEN("Functioning At Risk"))="Functioning At Risk"</formula>
    </cfRule>
    <cfRule type="beginsWith" dxfId="5198" priority="788" stopIfTrue="1" operator="beginsWith" text="Not Functioning">
      <formula>LEFT(E206,LEN("Not Functioning"))="Not Functioning"</formula>
    </cfRule>
    <cfRule type="containsText" dxfId="5197" priority="789" operator="containsText" text="Functioning">
      <formula>NOT(ISERROR(SEARCH("Functioning",E206)))</formula>
    </cfRule>
  </conditionalFormatting>
  <conditionalFormatting sqref="C165:D167">
    <cfRule type="beginsWith" dxfId="5196" priority="781" stopIfTrue="1" operator="beginsWith" text="Functioning At Risk">
      <formula>LEFT(C165,LEN("Functioning At Risk"))="Functioning At Risk"</formula>
    </cfRule>
    <cfRule type="beginsWith" dxfId="5195" priority="782" stopIfTrue="1" operator="beginsWith" text="Not Functioning">
      <formula>LEFT(C165,LEN("Not Functioning"))="Not Functioning"</formula>
    </cfRule>
    <cfRule type="containsText" dxfId="5194" priority="783" operator="containsText" text="Functioning">
      <formula>NOT(ISERROR(SEARCH("Functioning",C165)))</formula>
    </cfRule>
  </conditionalFormatting>
  <conditionalFormatting sqref="B165">
    <cfRule type="beginsWith" dxfId="5193" priority="778" stopIfTrue="1" operator="beginsWith" text="Functioning At Risk">
      <formula>LEFT(B165,LEN("Functioning At Risk"))="Functioning At Risk"</formula>
    </cfRule>
    <cfRule type="beginsWith" dxfId="5192" priority="779" stopIfTrue="1" operator="beginsWith" text="Not Functioning">
      <formula>LEFT(B165,LEN("Not Functioning"))="Not Functioning"</formula>
    </cfRule>
    <cfRule type="containsText" dxfId="5191" priority="780" operator="containsText" text="Functioning">
      <formula>NOT(ISERROR(SEARCH("Functioning",B165)))</formula>
    </cfRule>
  </conditionalFormatting>
  <conditionalFormatting sqref="E166">
    <cfRule type="beginsWith" dxfId="5190" priority="775" stopIfTrue="1" operator="beginsWith" text="Functioning At Risk">
      <formula>LEFT(E166,LEN("Functioning At Risk"))="Functioning At Risk"</formula>
    </cfRule>
    <cfRule type="beginsWith" dxfId="5189" priority="776" stopIfTrue="1" operator="beginsWith" text="Not Functioning">
      <formula>LEFT(E166,LEN("Not Functioning"))="Not Functioning"</formula>
    </cfRule>
    <cfRule type="containsText" dxfId="5188" priority="777" operator="containsText" text="Functioning">
      <formula>NOT(ISERROR(SEARCH("Functioning",E166)))</formula>
    </cfRule>
  </conditionalFormatting>
  <conditionalFormatting sqref="E165">
    <cfRule type="beginsWith" dxfId="5187" priority="772" stopIfTrue="1" operator="beginsWith" text="Functioning At Risk">
      <formula>LEFT(E165,LEN("Functioning At Risk"))="Functioning At Risk"</formula>
    </cfRule>
    <cfRule type="beginsWith" dxfId="5186" priority="773" stopIfTrue="1" operator="beginsWith" text="Not Functioning">
      <formula>LEFT(E165,LEN("Not Functioning"))="Not Functioning"</formula>
    </cfRule>
    <cfRule type="containsText" dxfId="5185" priority="774" operator="containsText" text="Functioning">
      <formula>NOT(ISERROR(SEARCH("Functioning",E165)))</formula>
    </cfRule>
  </conditionalFormatting>
  <conditionalFormatting sqref="E165">
    <cfRule type="expression" dxfId="5184" priority="771" stopIfTrue="1">
      <formula>ISBLANK($B$13)</formula>
    </cfRule>
  </conditionalFormatting>
  <conditionalFormatting sqref="E167:E168">
    <cfRule type="beginsWith" dxfId="5183" priority="768" stopIfTrue="1" operator="beginsWith" text="Functioning At Risk">
      <formula>LEFT(E167,LEN("Functioning At Risk"))="Functioning At Risk"</formula>
    </cfRule>
    <cfRule type="beginsWith" dxfId="5182" priority="769" stopIfTrue="1" operator="beginsWith" text="Not Functioning">
      <formula>LEFT(E167,LEN("Not Functioning"))="Not Functioning"</formula>
    </cfRule>
    <cfRule type="containsText" dxfId="5181" priority="770" operator="containsText" text="Functioning">
      <formula>NOT(ISERROR(SEARCH("Functioning",E167)))</formula>
    </cfRule>
  </conditionalFormatting>
  <conditionalFormatting sqref="C126:D128">
    <cfRule type="beginsWith" dxfId="5180" priority="762" stopIfTrue="1" operator="beginsWith" text="Functioning At Risk">
      <formula>LEFT(C126,LEN("Functioning At Risk"))="Functioning At Risk"</formula>
    </cfRule>
    <cfRule type="beginsWith" dxfId="5179" priority="763" stopIfTrue="1" operator="beginsWith" text="Not Functioning">
      <formula>LEFT(C126,LEN("Not Functioning"))="Not Functioning"</formula>
    </cfRule>
    <cfRule type="containsText" dxfId="5178" priority="764" operator="containsText" text="Functioning">
      <formula>NOT(ISERROR(SEARCH("Functioning",C126)))</formula>
    </cfRule>
  </conditionalFormatting>
  <conditionalFormatting sqref="B126">
    <cfRule type="beginsWith" dxfId="5177" priority="759" stopIfTrue="1" operator="beginsWith" text="Functioning At Risk">
      <formula>LEFT(B126,LEN("Functioning At Risk"))="Functioning At Risk"</formula>
    </cfRule>
    <cfRule type="beginsWith" dxfId="5176" priority="760" stopIfTrue="1" operator="beginsWith" text="Not Functioning">
      <formula>LEFT(B126,LEN("Not Functioning"))="Not Functioning"</formula>
    </cfRule>
    <cfRule type="containsText" dxfId="5175" priority="761" operator="containsText" text="Functioning">
      <formula>NOT(ISERROR(SEARCH("Functioning",B126)))</formula>
    </cfRule>
  </conditionalFormatting>
  <conditionalFormatting sqref="E127">
    <cfRule type="beginsWith" dxfId="5174" priority="756" stopIfTrue="1" operator="beginsWith" text="Functioning At Risk">
      <formula>LEFT(E127,LEN("Functioning At Risk"))="Functioning At Risk"</formula>
    </cfRule>
    <cfRule type="beginsWith" dxfId="5173" priority="757" stopIfTrue="1" operator="beginsWith" text="Not Functioning">
      <formula>LEFT(E127,LEN("Not Functioning"))="Not Functioning"</formula>
    </cfRule>
    <cfRule type="containsText" dxfId="5172" priority="758" operator="containsText" text="Functioning">
      <formula>NOT(ISERROR(SEARCH("Functioning",E127)))</formula>
    </cfRule>
  </conditionalFormatting>
  <conditionalFormatting sqref="E126">
    <cfRule type="beginsWith" dxfId="5171" priority="753" stopIfTrue="1" operator="beginsWith" text="Functioning At Risk">
      <formula>LEFT(E126,LEN("Functioning At Risk"))="Functioning At Risk"</formula>
    </cfRule>
    <cfRule type="beginsWith" dxfId="5170" priority="754" stopIfTrue="1" operator="beginsWith" text="Not Functioning">
      <formula>LEFT(E126,LEN("Not Functioning"))="Not Functioning"</formula>
    </cfRule>
    <cfRule type="containsText" dxfId="5169" priority="755" operator="containsText" text="Functioning">
      <formula>NOT(ISERROR(SEARCH("Functioning",E126)))</formula>
    </cfRule>
  </conditionalFormatting>
  <conditionalFormatting sqref="E126">
    <cfRule type="expression" dxfId="5168" priority="752" stopIfTrue="1">
      <formula>ISBLANK($B$13)</formula>
    </cfRule>
  </conditionalFormatting>
  <conditionalFormatting sqref="E128:E129">
    <cfRule type="beginsWith" dxfId="5167" priority="749" stopIfTrue="1" operator="beginsWith" text="Functioning At Risk">
      <formula>LEFT(E128,LEN("Functioning At Risk"))="Functioning At Risk"</formula>
    </cfRule>
    <cfRule type="beginsWith" dxfId="5166" priority="750" stopIfTrue="1" operator="beginsWith" text="Not Functioning">
      <formula>LEFT(E128,LEN("Not Functioning"))="Not Functioning"</formula>
    </cfRule>
    <cfRule type="containsText" dxfId="5165" priority="751" operator="containsText" text="Functioning">
      <formula>NOT(ISERROR(SEARCH("Functioning",E128)))</formula>
    </cfRule>
  </conditionalFormatting>
  <conditionalFormatting sqref="C87:D89">
    <cfRule type="beginsWith" dxfId="5164" priority="743" stopIfTrue="1" operator="beginsWith" text="Functioning At Risk">
      <formula>LEFT(C87,LEN("Functioning At Risk"))="Functioning At Risk"</formula>
    </cfRule>
    <cfRule type="beginsWith" dxfId="5163" priority="744" stopIfTrue="1" operator="beginsWith" text="Not Functioning">
      <formula>LEFT(C87,LEN("Not Functioning"))="Not Functioning"</formula>
    </cfRule>
    <cfRule type="containsText" dxfId="5162" priority="745" operator="containsText" text="Functioning">
      <formula>NOT(ISERROR(SEARCH("Functioning",C87)))</formula>
    </cfRule>
  </conditionalFormatting>
  <conditionalFormatting sqref="B87">
    <cfRule type="beginsWith" dxfId="5161" priority="740" stopIfTrue="1" operator="beginsWith" text="Functioning At Risk">
      <formula>LEFT(B87,LEN("Functioning At Risk"))="Functioning At Risk"</formula>
    </cfRule>
    <cfRule type="beginsWith" dxfId="5160" priority="741" stopIfTrue="1" operator="beginsWith" text="Not Functioning">
      <formula>LEFT(B87,LEN("Not Functioning"))="Not Functioning"</formula>
    </cfRule>
    <cfRule type="containsText" dxfId="5159" priority="742" operator="containsText" text="Functioning">
      <formula>NOT(ISERROR(SEARCH("Functioning",B87)))</formula>
    </cfRule>
  </conditionalFormatting>
  <conditionalFormatting sqref="E88">
    <cfRule type="beginsWith" dxfId="5158" priority="737" stopIfTrue="1" operator="beginsWith" text="Functioning At Risk">
      <formula>LEFT(E88,LEN("Functioning At Risk"))="Functioning At Risk"</formula>
    </cfRule>
    <cfRule type="beginsWith" dxfId="5157" priority="738" stopIfTrue="1" operator="beginsWith" text="Not Functioning">
      <formula>LEFT(E88,LEN("Not Functioning"))="Not Functioning"</formula>
    </cfRule>
    <cfRule type="containsText" dxfId="5156" priority="739" operator="containsText" text="Functioning">
      <formula>NOT(ISERROR(SEARCH("Functioning",E88)))</formula>
    </cfRule>
  </conditionalFormatting>
  <conditionalFormatting sqref="E87">
    <cfRule type="beginsWith" dxfId="5155" priority="734" stopIfTrue="1" operator="beginsWith" text="Functioning At Risk">
      <formula>LEFT(E87,LEN("Functioning At Risk"))="Functioning At Risk"</formula>
    </cfRule>
    <cfRule type="beginsWith" dxfId="5154" priority="735" stopIfTrue="1" operator="beginsWith" text="Not Functioning">
      <formula>LEFT(E87,LEN("Not Functioning"))="Not Functioning"</formula>
    </cfRule>
    <cfRule type="containsText" dxfId="5153" priority="736" operator="containsText" text="Functioning">
      <formula>NOT(ISERROR(SEARCH("Functioning",E87)))</formula>
    </cfRule>
  </conditionalFormatting>
  <conditionalFormatting sqref="E87">
    <cfRule type="expression" dxfId="5152" priority="733" stopIfTrue="1">
      <formula>ISBLANK($B$13)</formula>
    </cfRule>
  </conditionalFormatting>
  <conditionalFormatting sqref="E89:E90">
    <cfRule type="beginsWith" dxfId="5151" priority="730" stopIfTrue="1" operator="beginsWith" text="Functioning At Risk">
      <formula>LEFT(E89,LEN("Functioning At Risk"))="Functioning At Risk"</formula>
    </cfRule>
    <cfRule type="beginsWith" dxfId="5150" priority="731" stopIfTrue="1" operator="beginsWith" text="Not Functioning">
      <formula>LEFT(E89,LEN("Not Functioning"))="Not Functioning"</formula>
    </cfRule>
    <cfRule type="containsText" dxfId="5149" priority="732" operator="containsText" text="Functioning">
      <formula>NOT(ISERROR(SEARCH("Functioning",E89)))</formula>
    </cfRule>
  </conditionalFormatting>
  <conditionalFormatting sqref="C48:D50">
    <cfRule type="beginsWith" dxfId="5148" priority="724" stopIfTrue="1" operator="beginsWith" text="Functioning At Risk">
      <formula>LEFT(C48,LEN("Functioning At Risk"))="Functioning At Risk"</formula>
    </cfRule>
    <cfRule type="beginsWith" dxfId="5147" priority="725" stopIfTrue="1" operator="beginsWith" text="Not Functioning">
      <formula>LEFT(C48,LEN("Not Functioning"))="Not Functioning"</formula>
    </cfRule>
    <cfRule type="containsText" dxfId="5146" priority="726" operator="containsText" text="Functioning">
      <formula>NOT(ISERROR(SEARCH("Functioning",C48)))</formula>
    </cfRule>
  </conditionalFormatting>
  <conditionalFormatting sqref="B48">
    <cfRule type="beginsWith" dxfId="5145" priority="721" stopIfTrue="1" operator="beginsWith" text="Functioning At Risk">
      <formula>LEFT(B48,LEN("Functioning At Risk"))="Functioning At Risk"</formula>
    </cfRule>
    <cfRule type="beginsWith" dxfId="5144" priority="722" stopIfTrue="1" operator="beginsWith" text="Not Functioning">
      <formula>LEFT(B48,LEN("Not Functioning"))="Not Functioning"</formula>
    </cfRule>
    <cfRule type="containsText" dxfId="5143" priority="723" operator="containsText" text="Functioning">
      <formula>NOT(ISERROR(SEARCH("Functioning",B48)))</formula>
    </cfRule>
  </conditionalFormatting>
  <conditionalFormatting sqref="E49">
    <cfRule type="beginsWith" dxfId="5142" priority="718" stopIfTrue="1" operator="beginsWith" text="Functioning At Risk">
      <formula>LEFT(E49,LEN("Functioning At Risk"))="Functioning At Risk"</formula>
    </cfRule>
    <cfRule type="beginsWith" dxfId="5141" priority="719" stopIfTrue="1" operator="beginsWith" text="Not Functioning">
      <formula>LEFT(E49,LEN("Not Functioning"))="Not Functioning"</formula>
    </cfRule>
    <cfRule type="containsText" dxfId="5140" priority="720" operator="containsText" text="Functioning">
      <formula>NOT(ISERROR(SEARCH("Functioning",E49)))</formula>
    </cfRule>
  </conditionalFormatting>
  <conditionalFormatting sqref="E48">
    <cfRule type="beginsWith" dxfId="5139" priority="715" stopIfTrue="1" operator="beginsWith" text="Functioning At Risk">
      <formula>LEFT(E48,LEN("Functioning At Risk"))="Functioning At Risk"</formula>
    </cfRule>
    <cfRule type="beginsWith" dxfId="5138" priority="716" stopIfTrue="1" operator="beginsWith" text="Not Functioning">
      <formula>LEFT(E48,LEN("Not Functioning"))="Not Functioning"</formula>
    </cfRule>
    <cfRule type="containsText" dxfId="5137" priority="717" operator="containsText" text="Functioning">
      <formula>NOT(ISERROR(SEARCH("Functioning",E48)))</formula>
    </cfRule>
  </conditionalFormatting>
  <conditionalFormatting sqref="E48">
    <cfRule type="expression" dxfId="5136" priority="714" stopIfTrue="1">
      <formula>ISBLANK($B$13)</formula>
    </cfRule>
  </conditionalFormatting>
  <conditionalFormatting sqref="E50:E51">
    <cfRule type="beginsWith" dxfId="5135" priority="711" stopIfTrue="1" operator="beginsWith" text="Functioning At Risk">
      <formula>LEFT(E50,LEN("Functioning At Risk"))="Functioning At Risk"</formula>
    </cfRule>
    <cfRule type="beginsWith" dxfId="5134" priority="712" stopIfTrue="1" operator="beginsWith" text="Not Functioning">
      <formula>LEFT(E50,LEN("Not Functioning"))="Not Functioning"</formula>
    </cfRule>
    <cfRule type="containsText" dxfId="5133" priority="713" operator="containsText" text="Functioning">
      <formula>NOT(ISERROR(SEARCH("Functioning",E50)))</formula>
    </cfRule>
  </conditionalFormatting>
  <conditionalFormatting sqref="C9:D11">
    <cfRule type="beginsWith" dxfId="5132" priority="705" stopIfTrue="1" operator="beginsWith" text="Functioning At Risk">
      <formula>LEFT(C9,LEN("Functioning At Risk"))="Functioning At Risk"</formula>
    </cfRule>
    <cfRule type="beginsWith" dxfId="5131" priority="706" stopIfTrue="1" operator="beginsWith" text="Not Functioning">
      <formula>LEFT(C9,LEN("Not Functioning"))="Not Functioning"</formula>
    </cfRule>
    <cfRule type="containsText" dxfId="5130" priority="707" operator="containsText" text="Functioning">
      <formula>NOT(ISERROR(SEARCH("Functioning",C9)))</formula>
    </cfRule>
  </conditionalFormatting>
  <conditionalFormatting sqref="B9">
    <cfRule type="beginsWith" dxfId="5129" priority="702" stopIfTrue="1" operator="beginsWith" text="Functioning At Risk">
      <formula>LEFT(B9,LEN("Functioning At Risk"))="Functioning At Risk"</formula>
    </cfRule>
    <cfRule type="beginsWith" dxfId="5128" priority="703" stopIfTrue="1" operator="beginsWith" text="Not Functioning">
      <formula>LEFT(B9,LEN("Not Functioning"))="Not Functioning"</formula>
    </cfRule>
    <cfRule type="containsText" dxfId="5127" priority="704" operator="containsText" text="Functioning">
      <formula>NOT(ISERROR(SEARCH("Functioning",B9)))</formula>
    </cfRule>
  </conditionalFormatting>
  <conditionalFormatting sqref="E10">
    <cfRule type="beginsWith" dxfId="5126" priority="699" stopIfTrue="1" operator="beginsWith" text="Functioning At Risk">
      <formula>LEFT(E10,LEN("Functioning At Risk"))="Functioning At Risk"</formula>
    </cfRule>
    <cfRule type="beginsWith" dxfId="5125" priority="700" stopIfTrue="1" operator="beginsWith" text="Not Functioning">
      <formula>LEFT(E10,LEN("Not Functioning"))="Not Functioning"</formula>
    </cfRule>
    <cfRule type="containsText" dxfId="5124" priority="701" operator="containsText" text="Functioning">
      <formula>NOT(ISERROR(SEARCH("Functioning",E10)))</formula>
    </cfRule>
  </conditionalFormatting>
  <conditionalFormatting sqref="E9">
    <cfRule type="beginsWith" dxfId="5123" priority="696" stopIfTrue="1" operator="beginsWith" text="Functioning At Risk">
      <formula>LEFT(E9,LEN("Functioning At Risk"))="Functioning At Risk"</formula>
    </cfRule>
    <cfRule type="beginsWith" dxfId="5122" priority="697" stopIfTrue="1" operator="beginsWith" text="Not Functioning">
      <formula>LEFT(E9,LEN("Not Functioning"))="Not Functioning"</formula>
    </cfRule>
    <cfRule type="containsText" dxfId="5121" priority="698" operator="containsText" text="Functioning">
      <formula>NOT(ISERROR(SEARCH("Functioning",E9)))</formula>
    </cfRule>
  </conditionalFormatting>
  <conditionalFormatting sqref="E9">
    <cfRule type="expression" dxfId="5120" priority="695" stopIfTrue="1">
      <formula>ISBLANK($B$13)</formula>
    </cfRule>
  </conditionalFormatting>
  <conditionalFormatting sqref="E11:E12">
    <cfRule type="beginsWith" dxfId="5119" priority="692" stopIfTrue="1" operator="beginsWith" text="Functioning At Risk">
      <formula>LEFT(E11,LEN("Functioning At Risk"))="Functioning At Risk"</formula>
    </cfRule>
    <cfRule type="beginsWith" dxfId="5118" priority="693" stopIfTrue="1" operator="beginsWith" text="Not Functioning">
      <formula>LEFT(E11,LEN("Not Functioning"))="Not Functioning"</formula>
    </cfRule>
    <cfRule type="containsText" dxfId="5117" priority="694" operator="containsText" text="Functioning">
      <formula>NOT(ISERROR(SEARCH("Functioning",E11)))</formula>
    </cfRule>
  </conditionalFormatting>
  <conditionalFormatting sqref="E13:E15">
    <cfRule type="beginsWith" dxfId="5116" priority="689" stopIfTrue="1" operator="beginsWith" text="Functioning At Risk">
      <formula>LEFT(E13,LEN("Functioning At Risk"))="Functioning At Risk"</formula>
    </cfRule>
    <cfRule type="beginsWith" dxfId="5115" priority="690" stopIfTrue="1" operator="beginsWith" text="Not Functioning">
      <formula>LEFT(E13,LEN("Not Functioning"))="Not Functioning"</formula>
    </cfRule>
    <cfRule type="containsText" dxfId="5114" priority="691" operator="containsText" text="Functioning">
      <formula>NOT(ISERROR(SEARCH("Functioning",E13)))</formula>
    </cfRule>
  </conditionalFormatting>
  <conditionalFormatting sqref="E17:E18">
    <cfRule type="beginsWith" dxfId="5113" priority="686" stopIfTrue="1" operator="beginsWith" text="Functioning At Risk">
      <formula>LEFT(E17,LEN("Functioning At Risk"))="Functioning At Risk"</formula>
    </cfRule>
    <cfRule type="beginsWith" dxfId="5112" priority="687" stopIfTrue="1" operator="beginsWith" text="Not Functioning">
      <formula>LEFT(E17,LEN("Not Functioning"))="Not Functioning"</formula>
    </cfRule>
    <cfRule type="containsText" dxfId="5111" priority="688" operator="containsText" text="Functioning">
      <formula>NOT(ISERROR(SEARCH("Functioning",E17)))</formula>
    </cfRule>
  </conditionalFormatting>
  <conditionalFormatting sqref="E56:E59">
    <cfRule type="beginsWith" dxfId="5110" priority="674" stopIfTrue="1" operator="beginsWith" text="Functioning At Risk">
      <formula>LEFT(E56,LEN("Functioning At Risk"))="Functioning At Risk"</formula>
    </cfRule>
    <cfRule type="beginsWith" dxfId="5109" priority="675" stopIfTrue="1" operator="beginsWith" text="Not Functioning">
      <formula>LEFT(E56,LEN("Not Functioning"))="Not Functioning"</formula>
    </cfRule>
    <cfRule type="containsText" dxfId="5108" priority="676" operator="containsText" text="Functioning">
      <formula>NOT(ISERROR(SEARCH("Functioning",E56)))</formula>
    </cfRule>
  </conditionalFormatting>
  <conditionalFormatting sqref="E52:E54">
    <cfRule type="beginsWith" dxfId="5107" priority="677" stopIfTrue="1" operator="beginsWith" text="Functioning At Risk">
      <formula>LEFT(E52,LEN("Functioning At Risk"))="Functioning At Risk"</formula>
    </cfRule>
    <cfRule type="beginsWith" dxfId="5106" priority="678" stopIfTrue="1" operator="beginsWith" text="Not Functioning">
      <formula>LEFT(E52,LEN("Not Functioning"))="Not Functioning"</formula>
    </cfRule>
    <cfRule type="containsText" dxfId="5105" priority="679" operator="containsText" text="Functioning">
      <formula>NOT(ISERROR(SEARCH("Functioning",E52)))</formula>
    </cfRule>
  </conditionalFormatting>
  <conditionalFormatting sqref="E91:E93">
    <cfRule type="beginsWith" dxfId="5104" priority="665" stopIfTrue="1" operator="beginsWith" text="Functioning At Risk">
      <formula>LEFT(E91,LEN("Functioning At Risk"))="Functioning At Risk"</formula>
    </cfRule>
    <cfRule type="beginsWith" dxfId="5103" priority="666" stopIfTrue="1" operator="beginsWith" text="Not Functioning">
      <formula>LEFT(E91,LEN("Not Functioning"))="Not Functioning"</formula>
    </cfRule>
    <cfRule type="containsText" dxfId="5102" priority="667" operator="containsText" text="Functioning">
      <formula>NOT(ISERROR(SEARCH("Functioning",E91)))</formula>
    </cfRule>
  </conditionalFormatting>
  <conditionalFormatting sqref="E95:E98">
    <cfRule type="beginsWith" dxfId="5101" priority="662" stopIfTrue="1" operator="beginsWith" text="Functioning At Risk">
      <formula>LEFT(E95,LEN("Functioning At Risk"))="Functioning At Risk"</formula>
    </cfRule>
    <cfRule type="beginsWith" dxfId="5100" priority="663" stopIfTrue="1" operator="beginsWith" text="Not Functioning">
      <formula>LEFT(E95,LEN("Not Functioning"))="Not Functioning"</formula>
    </cfRule>
    <cfRule type="containsText" dxfId="5099" priority="664" operator="containsText" text="Functioning">
      <formula>NOT(ISERROR(SEARCH("Functioning",E95)))</formula>
    </cfRule>
  </conditionalFormatting>
  <conditionalFormatting sqref="E130:E132">
    <cfRule type="beginsWith" dxfId="5098" priority="653" stopIfTrue="1" operator="beginsWith" text="Functioning At Risk">
      <formula>LEFT(E130,LEN("Functioning At Risk"))="Functioning At Risk"</formula>
    </cfRule>
    <cfRule type="beginsWith" dxfId="5097" priority="654" stopIfTrue="1" operator="beginsWith" text="Not Functioning">
      <formula>LEFT(E130,LEN("Not Functioning"))="Not Functioning"</formula>
    </cfRule>
    <cfRule type="containsText" dxfId="5096" priority="655" operator="containsText" text="Functioning">
      <formula>NOT(ISERROR(SEARCH("Functioning",E130)))</formula>
    </cfRule>
  </conditionalFormatting>
  <conditionalFormatting sqref="E134:E137">
    <cfRule type="beginsWith" dxfId="5095" priority="650" stopIfTrue="1" operator="beginsWith" text="Functioning At Risk">
      <formula>LEFT(E134,LEN("Functioning At Risk"))="Functioning At Risk"</formula>
    </cfRule>
    <cfRule type="beginsWith" dxfId="5094" priority="651" stopIfTrue="1" operator="beginsWith" text="Not Functioning">
      <formula>LEFT(E134,LEN("Not Functioning"))="Not Functioning"</formula>
    </cfRule>
    <cfRule type="containsText" dxfId="5093" priority="652" operator="containsText" text="Functioning">
      <formula>NOT(ISERROR(SEARCH("Functioning",E134)))</formula>
    </cfRule>
  </conditionalFormatting>
  <conditionalFormatting sqref="E169:E171">
    <cfRule type="beginsWith" dxfId="5092" priority="641" stopIfTrue="1" operator="beginsWith" text="Functioning At Risk">
      <formula>LEFT(E169,LEN("Functioning At Risk"))="Functioning At Risk"</formula>
    </cfRule>
    <cfRule type="beginsWith" dxfId="5091" priority="642" stopIfTrue="1" operator="beginsWith" text="Not Functioning">
      <formula>LEFT(E169,LEN("Not Functioning"))="Not Functioning"</formula>
    </cfRule>
    <cfRule type="containsText" dxfId="5090" priority="643" operator="containsText" text="Functioning">
      <formula>NOT(ISERROR(SEARCH("Functioning",E169)))</formula>
    </cfRule>
  </conditionalFormatting>
  <conditionalFormatting sqref="E173:E176">
    <cfRule type="beginsWith" dxfId="5089" priority="638" stopIfTrue="1" operator="beginsWith" text="Functioning At Risk">
      <formula>LEFT(E173,LEN("Functioning At Risk"))="Functioning At Risk"</formula>
    </cfRule>
    <cfRule type="beginsWith" dxfId="5088" priority="639" stopIfTrue="1" operator="beginsWith" text="Not Functioning">
      <formula>LEFT(E173,LEN("Not Functioning"))="Not Functioning"</formula>
    </cfRule>
    <cfRule type="containsText" dxfId="5087" priority="640" operator="containsText" text="Functioning">
      <formula>NOT(ISERROR(SEARCH("Functioning",E173)))</formula>
    </cfRule>
  </conditionalFormatting>
  <conditionalFormatting sqref="E208:E210">
    <cfRule type="beginsWith" dxfId="5086" priority="629" stopIfTrue="1" operator="beginsWith" text="Functioning At Risk">
      <formula>LEFT(E208,LEN("Functioning At Risk"))="Functioning At Risk"</formula>
    </cfRule>
    <cfRule type="beginsWith" dxfId="5085" priority="630" stopIfTrue="1" operator="beginsWith" text="Not Functioning">
      <formula>LEFT(E208,LEN("Not Functioning"))="Not Functioning"</formula>
    </cfRule>
    <cfRule type="containsText" dxfId="5084" priority="631" operator="containsText" text="Functioning">
      <formula>NOT(ISERROR(SEARCH("Functioning",E208)))</formula>
    </cfRule>
  </conditionalFormatting>
  <conditionalFormatting sqref="E212:E215">
    <cfRule type="beginsWith" dxfId="5083" priority="626" stopIfTrue="1" operator="beginsWith" text="Functioning At Risk">
      <formula>LEFT(E212,LEN("Functioning At Risk"))="Functioning At Risk"</formula>
    </cfRule>
    <cfRule type="beginsWith" dxfId="5082" priority="627" stopIfTrue="1" operator="beginsWith" text="Not Functioning">
      <formula>LEFT(E212,LEN("Not Functioning"))="Not Functioning"</formula>
    </cfRule>
    <cfRule type="containsText" dxfId="5081" priority="628" operator="containsText" text="Functioning">
      <formula>NOT(ISERROR(SEARCH("Functioning",E212)))</formula>
    </cfRule>
  </conditionalFormatting>
  <conditionalFormatting sqref="E248:E250">
    <cfRule type="beginsWith" dxfId="5080" priority="617" stopIfTrue="1" operator="beginsWith" text="Functioning At Risk">
      <formula>LEFT(E248,LEN("Functioning At Risk"))="Functioning At Risk"</formula>
    </cfRule>
    <cfRule type="beginsWith" dxfId="5079" priority="618" stopIfTrue="1" operator="beginsWith" text="Not Functioning">
      <formula>LEFT(E248,LEN("Not Functioning"))="Not Functioning"</formula>
    </cfRule>
    <cfRule type="containsText" dxfId="5078" priority="619" operator="containsText" text="Functioning">
      <formula>NOT(ISERROR(SEARCH("Functioning",E248)))</formula>
    </cfRule>
  </conditionalFormatting>
  <conditionalFormatting sqref="E252:E255">
    <cfRule type="beginsWith" dxfId="5077" priority="614" stopIfTrue="1" operator="beginsWith" text="Functioning At Risk">
      <formula>LEFT(E252,LEN("Functioning At Risk"))="Functioning At Risk"</formula>
    </cfRule>
    <cfRule type="beginsWith" dxfId="5076" priority="615" stopIfTrue="1" operator="beginsWith" text="Not Functioning">
      <formula>LEFT(E252,LEN("Not Functioning"))="Not Functioning"</formula>
    </cfRule>
    <cfRule type="containsText" dxfId="5075" priority="616" operator="containsText" text="Functioning">
      <formula>NOT(ISERROR(SEARCH("Functioning",E252)))</formula>
    </cfRule>
  </conditionalFormatting>
  <conditionalFormatting sqref="E288:E290">
    <cfRule type="beginsWith" dxfId="5074" priority="605" stopIfTrue="1" operator="beginsWith" text="Functioning At Risk">
      <formula>LEFT(E288,LEN("Functioning At Risk"))="Functioning At Risk"</formula>
    </cfRule>
    <cfRule type="beginsWith" dxfId="5073" priority="606" stopIfTrue="1" operator="beginsWith" text="Not Functioning">
      <formula>LEFT(E288,LEN("Not Functioning"))="Not Functioning"</formula>
    </cfRule>
    <cfRule type="containsText" dxfId="5072" priority="607" operator="containsText" text="Functioning">
      <formula>NOT(ISERROR(SEARCH("Functioning",E288)))</formula>
    </cfRule>
  </conditionalFormatting>
  <conditionalFormatting sqref="E292:E295">
    <cfRule type="beginsWith" dxfId="5071" priority="602" stopIfTrue="1" operator="beginsWith" text="Functioning At Risk">
      <formula>LEFT(E292,LEN("Functioning At Risk"))="Functioning At Risk"</formula>
    </cfRule>
    <cfRule type="beginsWith" dxfId="5070" priority="603" stopIfTrue="1" operator="beginsWith" text="Not Functioning">
      <formula>LEFT(E292,LEN("Not Functioning"))="Not Functioning"</formula>
    </cfRule>
    <cfRule type="containsText" dxfId="5069" priority="604" operator="containsText" text="Functioning">
      <formula>NOT(ISERROR(SEARCH("Functioning",E292)))</formula>
    </cfRule>
  </conditionalFormatting>
  <conditionalFormatting sqref="E328:E330">
    <cfRule type="beginsWith" dxfId="5068" priority="593" stopIfTrue="1" operator="beginsWith" text="Functioning At Risk">
      <formula>LEFT(E328,LEN("Functioning At Risk"))="Functioning At Risk"</formula>
    </cfRule>
    <cfRule type="beginsWith" dxfId="5067" priority="594" stopIfTrue="1" operator="beginsWith" text="Not Functioning">
      <formula>LEFT(E328,LEN("Not Functioning"))="Not Functioning"</formula>
    </cfRule>
    <cfRule type="containsText" dxfId="5066" priority="595" operator="containsText" text="Functioning">
      <formula>NOT(ISERROR(SEARCH("Functioning",E328)))</formula>
    </cfRule>
  </conditionalFormatting>
  <conditionalFormatting sqref="E332:E335">
    <cfRule type="beginsWith" dxfId="5065" priority="590" stopIfTrue="1" operator="beginsWith" text="Functioning At Risk">
      <formula>LEFT(E332,LEN("Functioning At Risk"))="Functioning At Risk"</formula>
    </cfRule>
    <cfRule type="beginsWith" dxfId="5064" priority="591" stopIfTrue="1" operator="beginsWith" text="Not Functioning">
      <formula>LEFT(E332,LEN("Not Functioning"))="Not Functioning"</formula>
    </cfRule>
    <cfRule type="containsText" dxfId="5063" priority="592" operator="containsText" text="Functioning">
      <formula>NOT(ISERROR(SEARCH("Functioning",E332)))</formula>
    </cfRule>
  </conditionalFormatting>
  <conditionalFormatting sqref="E368:E370">
    <cfRule type="beginsWith" dxfId="5062" priority="581" stopIfTrue="1" operator="beginsWith" text="Functioning At Risk">
      <formula>LEFT(E368,LEN("Functioning At Risk"))="Functioning At Risk"</formula>
    </cfRule>
    <cfRule type="beginsWith" dxfId="5061" priority="582" stopIfTrue="1" operator="beginsWith" text="Not Functioning">
      <formula>LEFT(E368,LEN("Not Functioning"))="Not Functioning"</formula>
    </cfRule>
    <cfRule type="containsText" dxfId="5060" priority="583" operator="containsText" text="Functioning">
      <formula>NOT(ISERROR(SEARCH("Functioning",E368)))</formula>
    </cfRule>
  </conditionalFormatting>
  <conditionalFormatting sqref="E372:E375">
    <cfRule type="beginsWith" dxfId="5059" priority="578" stopIfTrue="1" operator="beginsWith" text="Functioning At Risk">
      <formula>LEFT(E372,LEN("Functioning At Risk"))="Functioning At Risk"</formula>
    </cfRule>
    <cfRule type="beginsWith" dxfId="5058" priority="579" stopIfTrue="1" operator="beginsWith" text="Not Functioning">
      <formula>LEFT(E372,LEN("Not Functioning"))="Not Functioning"</formula>
    </cfRule>
    <cfRule type="containsText" dxfId="5057" priority="580" operator="containsText" text="Functioning">
      <formula>NOT(ISERROR(SEARCH("Functioning",E372)))</formula>
    </cfRule>
  </conditionalFormatting>
  <conditionalFormatting sqref="E408:E410">
    <cfRule type="beginsWith" dxfId="5056" priority="569" stopIfTrue="1" operator="beginsWith" text="Functioning At Risk">
      <formula>LEFT(E408,LEN("Functioning At Risk"))="Functioning At Risk"</formula>
    </cfRule>
    <cfRule type="beginsWith" dxfId="5055" priority="570" stopIfTrue="1" operator="beginsWith" text="Not Functioning">
      <formula>LEFT(E408,LEN("Not Functioning"))="Not Functioning"</formula>
    </cfRule>
    <cfRule type="containsText" dxfId="5054" priority="571" operator="containsText" text="Functioning">
      <formula>NOT(ISERROR(SEARCH("Functioning",E408)))</formula>
    </cfRule>
  </conditionalFormatting>
  <conditionalFormatting sqref="E412:E415">
    <cfRule type="beginsWith" dxfId="5053" priority="566" stopIfTrue="1" operator="beginsWith" text="Functioning At Risk">
      <formula>LEFT(E412,LEN("Functioning At Risk"))="Functioning At Risk"</formula>
    </cfRule>
    <cfRule type="beginsWith" dxfId="5052" priority="567" stopIfTrue="1" operator="beginsWith" text="Not Functioning">
      <formula>LEFT(E412,LEN("Not Functioning"))="Not Functioning"</formula>
    </cfRule>
    <cfRule type="containsText" dxfId="5051" priority="568" operator="containsText" text="Functioning">
      <formula>NOT(ISERROR(SEARCH("Functioning",E412)))</formula>
    </cfRule>
  </conditionalFormatting>
  <conditionalFormatting sqref="E416">
    <cfRule type="beginsWith" dxfId="5050" priority="563" stopIfTrue="1" operator="beginsWith" text="Functioning At Risk">
      <formula>LEFT(E416,LEN("Functioning At Risk"))="Functioning At Risk"</formula>
    </cfRule>
    <cfRule type="beginsWith" dxfId="5049" priority="564" stopIfTrue="1" operator="beginsWith" text="Not Functioning">
      <formula>LEFT(E416,LEN("Not Functioning"))="Not Functioning"</formula>
    </cfRule>
    <cfRule type="containsText" dxfId="5048" priority="565" operator="containsText" text="Functioning">
      <formula>NOT(ISERROR(SEARCH("Functioning",E416)))</formula>
    </cfRule>
  </conditionalFormatting>
  <conditionalFormatting sqref="E417">
    <cfRule type="beginsWith" dxfId="5047" priority="560" stopIfTrue="1" operator="beginsWith" text="Functioning At Risk">
      <formula>LEFT(E417,LEN("Functioning At Risk"))="Functioning At Risk"</formula>
    </cfRule>
    <cfRule type="beginsWith" dxfId="5046" priority="561" stopIfTrue="1" operator="beginsWith" text="Not Functioning">
      <formula>LEFT(E417,LEN("Not Functioning"))="Not Functioning"</formula>
    </cfRule>
    <cfRule type="containsText" dxfId="5045" priority="562" operator="containsText" text="Functioning">
      <formula>NOT(ISERROR(SEARCH("Functioning",E417)))</formula>
    </cfRule>
  </conditionalFormatting>
  <conditionalFormatting sqref="E7:E8">
    <cfRule type="beginsWith" dxfId="5044" priority="556" stopIfTrue="1" operator="beginsWith" text="Functioning At Risk">
      <formula>LEFT(E7,LEN("Functioning At Risk"))="Functioning At Risk"</formula>
    </cfRule>
    <cfRule type="beginsWith" dxfId="5043" priority="557" stopIfTrue="1" operator="beginsWith" text="Not Functioning">
      <formula>LEFT(E7,LEN("Not Functioning"))="Not Functioning"</formula>
    </cfRule>
    <cfRule type="containsText" dxfId="5042" priority="558" operator="containsText" text="Functioning">
      <formula>NOT(ISERROR(SEARCH("Functioning",E7)))</formula>
    </cfRule>
  </conditionalFormatting>
  <conditionalFormatting sqref="E46:E47">
    <cfRule type="beginsWith" dxfId="5041" priority="553" stopIfTrue="1" operator="beginsWith" text="Functioning At Risk">
      <formula>LEFT(E46,LEN("Functioning At Risk"))="Functioning At Risk"</formula>
    </cfRule>
    <cfRule type="beginsWith" dxfId="5040" priority="554" stopIfTrue="1" operator="beginsWith" text="Not Functioning">
      <formula>LEFT(E46,LEN("Not Functioning"))="Not Functioning"</formula>
    </cfRule>
    <cfRule type="containsText" dxfId="5039" priority="555" operator="containsText" text="Functioning">
      <formula>NOT(ISERROR(SEARCH("Functioning",E46)))</formula>
    </cfRule>
  </conditionalFormatting>
  <conditionalFormatting sqref="E85:E86">
    <cfRule type="beginsWith" dxfId="5038" priority="550" stopIfTrue="1" operator="beginsWith" text="Functioning At Risk">
      <formula>LEFT(E85,LEN("Functioning At Risk"))="Functioning At Risk"</formula>
    </cfRule>
    <cfRule type="beginsWith" dxfId="5037" priority="551" stopIfTrue="1" operator="beginsWith" text="Not Functioning">
      <formula>LEFT(E85,LEN("Not Functioning"))="Not Functioning"</formula>
    </cfRule>
    <cfRule type="containsText" dxfId="5036" priority="552" operator="containsText" text="Functioning">
      <formula>NOT(ISERROR(SEARCH("Functioning",E85)))</formula>
    </cfRule>
  </conditionalFormatting>
  <conditionalFormatting sqref="E124:E125">
    <cfRule type="beginsWith" dxfId="5035" priority="547" stopIfTrue="1" operator="beginsWith" text="Functioning At Risk">
      <formula>LEFT(E124,LEN("Functioning At Risk"))="Functioning At Risk"</formula>
    </cfRule>
    <cfRule type="beginsWith" dxfId="5034" priority="548" stopIfTrue="1" operator="beginsWith" text="Not Functioning">
      <formula>LEFT(E124,LEN("Not Functioning"))="Not Functioning"</formula>
    </cfRule>
    <cfRule type="containsText" dxfId="5033" priority="549" operator="containsText" text="Functioning">
      <formula>NOT(ISERROR(SEARCH("Functioning",E124)))</formula>
    </cfRule>
  </conditionalFormatting>
  <conditionalFormatting sqref="E163:E164">
    <cfRule type="beginsWith" dxfId="5032" priority="544" stopIfTrue="1" operator="beginsWith" text="Functioning At Risk">
      <formula>LEFT(E163,LEN("Functioning At Risk"))="Functioning At Risk"</formula>
    </cfRule>
    <cfRule type="beginsWith" dxfId="5031" priority="545" stopIfTrue="1" operator="beginsWith" text="Not Functioning">
      <formula>LEFT(E163,LEN("Not Functioning"))="Not Functioning"</formula>
    </cfRule>
    <cfRule type="containsText" dxfId="5030" priority="546" operator="containsText" text="Functioning">
      <formula>NOT(ISERROR(SEARCH("Functioning",E163)))</formula>
    </cfRule>
  </conditionalFormatting>
  <conditionalFormatting sqref="E202:E203">
    <cfRule type="beginsWith" dxfId="5029" priority="541" stopIfTrue="1" operator="beginsWith" text="Functioning At Risk">
      <formula>LEFT(E202,LEN("Functioning At Risk"))="Functioning At Risk"</formula>
    </cfRule>
    <cfRule type="beginsWith" dxfId="5028" priority="542" stopIfTrue="1" operator="beginsWith" text="Not Functioning">
      <formula>LEFT(E202,LEN("Not Functioning"))="Not Functioning"</formula>
    </cfRule>
    <cfRule type="containsText" dxfId="5027" priority="543" operator="containsText" text="Functioning">
      <formula>NOT(ISERROR(SEARCH("Functioning",E202)))</formula>
    </cfRule>
  </conditionalFormatting>
  <conditionalFormatting sqref="E242:E243">
    <cfRule type="beginsWith" dxfId="5026" priority="538" stopIfTrue="1" operator="beginsWith" text="Functioning At Risk">
      <formula>LEFT(E242,LEN("Functioning At Risk"))="Functioning At Risk"</formula>
    </cfRule>
    <cfRule type="beginsWith" dxfId="5025" priority="539" stopIfTrue="1" operator="beginsWith" text="Not Functioning">
      <formula>LEFT(E242,LEN("Not Functioning"))="Not Functioning"</formula>
    </cfRule>
    <cfRule type="containsText" dxfId="5024" priority="540" operator="containsText" text="Functioning">
      <formula>NOT(ISERROR(SEARCH("Functioning",E242)))</formula>
    </cfRule>
  </conditionalFormatting>
  <conditionalFormatting sqref="E282:E283">
    <cfRule type="beginsWith" dxfId="5023" priority="535" stopIfTrue="1" operator="beginsWith" text="Functioning At Risk">
      <formula>LEFT(E282,LEN("Functioning At Risk"))="Functioning At Risk"</formula>
    </cfRule>
    <cfRule type="beginsWith" dxfId="5022" priority="536" stopIfTrue="1" operator="beginsWith" text="Not Functioning">
      <formula>LEFT(E282,LEN("Not Functioning"))="Not Functioning"</formula>
    </cfRule>
    <cfRule type="containsText" dxfId="5021" priority="537" operator="containsText" text="Functioning">
      <formula>NOT(ISERROR(SEARCH("Functioning",E282)))</formula>
    </cfRule>
  </conditionalFormatting>
  <conditionalFormatting sqref="E322:E323">
    <cfRule type="beginsWith" dxfId="5020" priority="532" stopIfTrue="1" operator="beginsWith" text="Functioning At Risk">
      <formula>LEFT(E322,LEN("Functioning At Risk"))="Functioning At Risk"</formula>
    </cfRule>
    <cfRule type="beginsWith" dxfId="5019" priority="533" stopIfTrue="1" operator="beginsWith" text="Not Functioning">
      <formula>LEFT(E322,LEN("Not Functioning"))="Not Functioning"</formula>
    </cfRule>
    <cfRule type="containsText" dxfId="5018" priority="534" operator="containsText" text="Functioning">
      <formula>NOT(ISERROR(SEARCH("Functioning",E322)))</formula>
    </cfRule>
  </conditionalFormatting>
  <conditionalFormatting sqref="E362:E363">
    <cfRule type="beginsWith" dxfId="5017" priority="529" stopIfTrue="1" operator="beginsWith" text="Functioning At Risk">
      <formula>LEFT(E362,LEN("Functioning At Risk"))="Functioning At Risk"</formula>
    </cfRule>
    <cfRule type="beginsWith" dxfId="5016" priority="530" stopIfTrue="1" operator="beginsWith" text="Not Functioning">
      <formula>LEFT(E362,LEN("Not Functioning"))="Not Functioning"</formula>
    </cfRule>
    <cfRule type="containsText" dxfId="5015" priority="531" operator="containsText" text="Functioning">
      <formula>NOT(ISERROR(SEARCH("Functioning",E362)))</formula>
    </cfRule>
  </conditionalFormatting>
  <conditionalFormatting sqref="E402:E403">
    <cfRule type="beginsWith" dxfId="5014" priority="526" stopIfTrue="1" operator="beginsWith" text="Functioning At Risk">
      <formula>LEFT(E402,LEN("Functioning At Risk"))="Functioning At Risk"</formula>
    </cfRule>
    <cfRule type="beginsWith" dxfId="5013" priority="527" stopIfTrue="1" operator="beginsWith" text="Not Functioning">
      <formula>LEFT(E402,LEN("Not Functioning"))="Not Functioning"</formula>
    </cfRule>
    <cfRule type="containsText" dxfId="5012" priority="528" operator="containsText" text="Functioning">
      <formula>NOT(ISERROR(SEARCH("Functioning",E402)))</formula>
    </cfRule>
  </conditionalFormatting>
  <conditionalFormatting sqref="E19:E20">
    <cfRule type="beginsWith" dxfId="5011" priority="430" stopIfTrue="1" operator="beginsWith" text="Functioning At Risk">
      <formula>LEFT(E19,LEN("Functioning At Risk"))="Functioning At Risk"</formula>
    </cfRule>
    <cfRule type="beginsWith" dxfId="5010" priority="431" stopIfTrue="1" operator="beginsWith" text="Not Functioning">
      <formula>LEFT(E19,LEN("Not Functioning"))="Not Functioning"</formula>
    </cfRule>
    <cfRule type="containsText" dxfId="5009" priority="432" operator="containsText" text="Functioning">
      <formula>NOT(ISERROR(SEARCH("Functioning",E19)))</formula>
    </cfRule>
  </conditionalFormatting>
  <conditionalFormatting sqref="E376">
    <cfRule type="beginsWith" dxfId="5008" priority="355" stopIfTrue="1" operator="beginsWith" text="Functioning At Risk">
      <formula>LEFT(E376,LEN("Functioning At Risk"))="Functioning At Risk"</formula>
    </cfRule>
    <cfRule type="beginsWith" dxfId="5007" priority="356" stopIfTrue="1" operator="beginsWith" text="Not Functioning">
      <formula>LEFT(E376,LEN("Not Functioning"))="Not Functioning"</formula>
    </cfRule>
    <cfRule type="containsText" dxfId="5006" priority="357" operator="containsText" text="Functioning">
      <formula>NOT(ISERROR(SEARCH("Functioning",E376)))</formula>
    </cfRule>
  </conditionalFormatting>
  <conditionalFormatting sqref="E377">
    <cfRule type="beginsWith" dxfId="5005" priority="352" stopIfTrue="1" operator="beginsWith" text="Functioning At Risk">
      <formula>LEFT(E377,LEN("Functioning At Risk"))="Functioning At Risk"</formula>
    </cfRule>
    <cfRule type="beginsWith" dxfId="5004" priority="353" stopIfTrue="1" operator="beginsWith" text="Not Functioning">
      <formula>LEFT(E377,LEN("Not Functioning"))="Not Functioning"</formula>
    </cfRule>
    <cfRule type="containsText" dxfId="5003" priority="354" operator="containsText" text="Functioning">
      <formula>NOT(ISERROR(SEARCH("Functioning",E377)))</formula>
    </cfRule>
  </conditionalFormatting>
  <conditionalFormatting sqref="E336">
    <cfRule type="beginsWith" dxfId="5002" priority="349" stopIfTrue="1" operator="beginsWith" text="Functioning At Risk">
      <formula>LEFT(E336,LEN("Functioning At Risk"))="Functioning At Risk"</formula>
    </cfRule>
    <cfRule type="beginsWith" dxfId="5001" priority="350" stopIfTrue="1" operator="beginsWith" text="Not Functioning">
      <formula>LEFT(E336,LEN("Not Functioning"))="Not Functioning"</formula>
    </cfRule>
    <cfRule type="containsText" dxfId="5000" priority="351" operator="containsText" text="Functioning">
      <formula>NOT(ISERROR(SEARCH("Functioning",E336)))</formula>
    </cfRule>
  </conditionalFormatting>
  <conditionalFormatting sqref="E337">
    <cfRule type="beginsWith" dxfId="4999" priority="346" stopIfTrue="1" operator="beginsWith" text="Functioning At Risk">
      <formula>LEFT(E337,LEN("Functioning At Risk"))="Functioning At Risk"</formula>
    </cfRule>
    <cfRule type="beginsWith" dxfId="4998" priority="347" stopIfTrue="1" operator="beginsWith" text="Not Functioning">
      <formula>LEFT(E337,LEN("Not Functioning"))="Not Functioning"</formula>
    </cfRule>
    <cfRule type="containsText" dxfId="4997" priority="348" operator="containsText" text="Functioning">
      <formula>NOT(ISERROR(SEARCH("Functioning",E337)))</formula>
    </cfRule>
  </conditionalFormatting>
  <conditionalFormatting sqref="E296">
    <cfRule type="beginsWith" dxfId="4996" priority="343" stopIfTrue="1" operator="beginsWith" text="Functioning At Risk">
      <formula>LEFT(E296,LEN("Functioning At Risk"))="Functioning At Risk"</formula>
    </cfRule>
    <cfRule type="beginsWith" dxfId="4995" priority="344" stopIfTrue="1" operator="beginsWith" text="Not Functioning">
      <formula>LEFT(E296,LEN("Not Functioning"))="Not Functioning"</formula>
    </cfRule>
    <cfRule type="containsText" dxfId="4994" priority="345" operator="containsText" text="Functioning">
      <formula>NOT(ISERROR(SEARCH("Functioning",E296)))</formula>
    </cfRule>
  </conditionalFormatting>
  <conditionalFormatting sqref="E297">
    <cfRule type="beginsWith" dxfId="4993" priority="340" stopIfTrue="1" operator="beginsWith" text="Functioning At Risk">
      <formula>LEFT(E297,LEN("Functioning At Risk"))="Functioning At Risk"</formula>
    </cfRule>
    <cfRule type="beginsWith" dxfId="4992" priority="341" stopIfTrue="1" operator="beginsWith" text="Not Functioning">
      <formula>LEFT(E297,LEN("Not Functioning"))="Not Functioning"</formula>
    </cfRule>
    <cfRule type="containsText" dxfId="4991" priority="342" operator="containsText" text="Functioning">
      <formula>NOT(ISERROR(SEARCH("Functioning",E297)))</formula>
    </cfRule>
  </conditionalFormatting>
  <conditionalFormatting sqref="E256">
    <cfRule type="beginsWith" dxfId="4990" priority="337" stopIfTrue="1" operator="beginsWith" text="Functioning At Risk">
      <formula>LEFT(E256,LEN("Functioning At Risk"))="Functioning At Risk"</formula>
    </cfRule>
    <cfRule type="beginsWith" dxfId="4989" priority="338" stopIfTrue="1" operator="beginsWith" text="Not Functioning">
      <formula>LEFT(E256,LEN("Not Functioning"))="Not Functioning"</formula>
    </cfRule>
    <cfRule type="containsText" dxfId="4988" priority="339" operator="containsText" text="Functioning">
      <formula>NOT(ISERROR(SEARCH("Functioning",E256)))</formula>
    </cfRule>
  </conditionalFormatting>
  <conditionalFormatting sqref="E257">
    <cfRule type="beginsWith" dxfId="4987" priority="334" stopIfTrue="1" operator="beginsWith" text="Functioning At Risk">
      <formula>LEFT(E257,LEN("Functioning At Risk"))="Functioning At Risk"</formula>
    </cfRule>
    <cfRule type="beginsWith" dxfId="4986" priority="335" stopIfTrue="1" operator="beginsWith" text="Not Functioning">
      <formula>LEFT(E257,LEN("Not Functioning"))="Not Functioning"</formula>
    </cfRule>
    <cfRule type="containsText" dxfId="4985" priority="336" operator="containsText" text="Functioning">
      <formula>NOT(ISERROR(SEARCH("Functioning",E257)))</formula>
    </cfRule>
  </conditionalFormatting>
  <conditionalFormatting sqref="E216">
    <cfRule type="beginsWith" dxfId="4984" priority="331" stopIfTrue="1" operator="beginsWith" text="Functioning At Risk">
      <formula>LEFT(E216,LEN("Functioning At Risk"))="Functioning At Risk"</formula>
    </cfRule>
    <cfRule type="beginsWith" dxfId="4983" priority="332" stopIfTrue="1" operator="beginsWith" text="Not Functioning">
      <formula>LEFT(E216,LEN("Not Functioning"))="Not Functioning"</formula>
    </cfRule>
    <cfRule type="containsText" dxfId="4982" priority="333" operator="containsText" text="Functioning">
      <formula>NOT(ISERROR(SEARCH("Functioning",E216)))</formula>
    </cfRule>
  </conditionalFormatting>
  <conditionalFormatting sqref="E217">
    <cfRule type="beginsWith" dxfId="4981" priority="328" stopIfTrue="1" operator="beginsWith" text="Functioning At Risk">
      <formula>LEFT(E217,LEN("Functioning At Risk"))="Functioning At Risk"</formula>
    </cfRule>
    <cfRule type="beginsWith" dxfId="4980" priority="329" stopIfTrue="1" operator="beginsWith" text="Not Functioning">
      <formula>LEFT(E217,LEN("Not Functioning"))="Not Functioning"</formula>
    </cfRule>
    <cfRule type="containsText" dxfId="4979" priority="330" operator="containsText" text="Functioning">
      <formula>NOT(ISERROR(SEARCH("Functioning",E217)))</formula>
    </cfRule>
  </conditionalFormatting>
  <conditionalFormatting sqref="E177">
    <cfRule type="beginsWith" dxfId="4978" priority="325" stopIfTrue="1" operator="beginsWith" text="Functioning At Risk">
      <formula>LEFT(E177,LEN("Functioning At Risk"))="Functioning At Risk"</formula>
    </cfRule>
    <cfRule type="beginsWith" dxfId="4977" priority="326" stopIfTrue="1" operator="beginsWith" text="Not Functioning">
      <formula>LEFT(E177,LEN("Not Functioning"))="Not Functioning"</formula>
    </cfRule>
    <cfRule type="containsText" dxfId="4976" priority="327" operator="containsText" text="Functioning">
      <formula>NOT(ISERROR(SEARCH("Functioning",E177)))</formula>
    </cfRule>
  </conditionalFormatting>
  <conditionalFormatting sqref="E178">
    <cfRule type="beginsWith" dxfId="4975" priority="322" stopIfTrue="1" operator="beginsWith" text="Functioning At Risk">
      <formula>LEFT(E178,LEN("Functioning At Risk"))="Functioning At Risk"</formula>
    </cfRule>
    <cfRule type="beginsWith" dxfId="4974" priority="323" stopIfTrue="1" operator="beginsWith" text="Not Functioning">
      <formula>LEFT(E178,LEN("Not Functioning"))="Not Functioning"</formula>
    </cfRule>
    <cfRule type="containsText" dxfId="4973" priority="324" operator="containsText" text="Functioning">
      <formula>NOT(ISERROR(SEARCH("Functioning",E178)))</formula>
    </cfRule>
  </conditionalFormatting>
  <conditionalFormatting sqref="E138">
    <cfRule type="beginsWith" dxfId="4972" priority="319" stopIfTrue="1" operator="beginsWith" text="Functioning At Risk">
      <formula>LEFT(E138,LEN("Functioning At Risk"))="Functioning At Risk"</formula>
    </cfRule>
    <cfRule type="beginsWith" dxfId="4971" priority="320" stopIfTrue="1" operator="beginsWith" text="Not Functioning">
      <formula>LEFT(E138,LEN("Not Functioning"))="Not Functioning"</formula>
    </cfRule>
    <cfRule type="containsText" dxfId="4970" priority="321" operator="containsText" text="Functioning">
      <formula>NOT(ISERROR(SEARCH("Functioning",E138)))</formula>
    </cfRule>
  </conditionalFormatting>
  <conditionalFormatting sqref="E139">
    <cfRule type="beginsWith" dxfId="4969" priority="316" stopIfTrue="1" operator="beginsWith" text="Functioning At Risk">
      <formula>LEFT(E139,LEN("Functioning At Risk"))="Functioning At Risk"</formula>
    </cfRule>
    <cfRule type="beginsWith" dxfId="4968" priority="317" stopIfTrue="1" operator="beginsWith" text="Not Functioning">
      <formula>LEFT(E139,LEN("Not Functioning"))="Not Functioning"</formula>
    </cfRule>
    <cfRule type="containsText" dxfId="4967" priority="318" operator="containsText" text="Functioning">
      <formula>NOT(ISERROR(SEARCH("Functioning",E139)))</formula>
    </cfRule>
  </conditionalFormatting>
  <conditionalFormatting sqref="E99">
    <cfRule type="beginsWith" dxfId="4966" priority="313" stopIfTrue="1" operator="beginsWith" text="Functioning At Risk">
      <formula>LEFT(E99,LEN("Functioning At Risk"))="Functioning At Risk"</formula>
    </cfRule>
    <cfRule type="beginsWith" dxfId="4965" priority="314" stopIfTrue="1" operator="beginsWith" text="Not Functioning">
      <formula>LEFT(E99,LEN("Not Functioning"))="Not Functioning"</formula>
    </cfRule>
    <cfRule type="containsText" dxfId="4964" priority="315" operator="containsText" text="Functioning">
      <formula>NOT(ISERROR(SEARCH("Functioning",E99)))</formula>
    </cfRule>
  </conditionalFormatting>
  <conditionalFormatting sqref="E100">
    <cfRule type="beginsWith" dxfId="4963" priority="310" stopIfTrue="1" operator="beginsWith" text="Functioning At Risk">
      <formula>LEFT(E100,LEN("Functioning At Risk"))="Functioning At Risk"</formula>
    </cfRule>
    <cfRule type="beginsWith" dxfId="4962" priority="311" stopIfTrue="1" operator="beginsWith" text="Not Functioning">
      <formula>LEFT(E100,LEN("Not Functioning"))="Not Functioning"</formula>
    </cfRule>
    <cfRule type="containsText" dxfId="4961" priority="312" operator="containsText" text="Functioning">
      <formula>NOT(ISERROR(SEARCH("Functioning",E100)))</formula>
    </cfRule>
  </conditionalFormatting>
  <conditionalFormatting sqref="E60">
    <cfRule type="beginsWith" dxfId="4960" priority="307" stopIfTrue="1" operator="beginsWith" text="Functioning At Risk">
      <formula>LEFT(E60,LEN("Functioning At Risk"))="Functioning At Risk"</formula>
    </cfRule>
    <cfRule type="beginsWith" dxfId="4959" priority="308" stopIfTrue="1" operator="beginsWith" text="Not Functioning">
      <formula>LEFT(E60,LEN("Not Functioning"))="Not Functioning"</formula>
    </cfRule>
    <cfRule type="containsText" dxfId="4958" priority="309" operator="containsText" text="Functioning">
      <formula>NOT(ISERROR(SEARCH("Functioning",E60)))</formula>
    </cfRule>
  </conditionalFormatting>
  <conditionalFormatting sqref="E61">
    <cfRule type="beginsWith" dxfId="4957" priority="304" stopIfTrue="1" operator="beginsWith" text="Functioning At Risk">
      <formula>LEFT(E61,LEN("Functioning At Risk"))="Functioning At Risk"</formula>
    </cfRule>
    <cfRule type="beginsWith" dxfId="4956" priority="305" stopIfTrue="1" operator="beginsWith" text="Not Functioning">
      <formula>LEFT(E61,LEN("Not Functioning"))="Not Functioning"</formula>
    </cfRule>
    <cfRule type="containsText" dxfId="4955" priority="306" operator="containsText" text="Functioning">
      <formula>NOT(ISERROR(SEARCH("Functioning",E61)))</formula>
    </cfRule>
  </conditionalFormatting>
  <conditionalFormatting sqref="E21">
    <cfRule type="beginsWith" dxfId="4954" priority="301" stopIfTrue="1" operator="beginsWith" text="Functioning At Risk">
      <formula>LEFT(E21,LEN("Functioning At Risk"))="Functioning At Risk"</formula>
    </cfRule>
    <cfRule type="beginsWith" dxfId="4953" priority="302" stopIfTrue="1" operator="beginsWith" text="Not Functioning">
      <formula>LEFT(E21,LEN("Not Functioning"))="Not Functioning"</formula>
    </cfRule>
    <cfRule type="containsText" dxfId="4952" priority="303" operator="containsText" text="Functioning">
      <formula>NOT(ISERROR(SEARCH("Functioning",E21)))</formula>
    </cfRule>
  </conditionalFormatting>
  <conditionalFormatting sqref="E22">
    <cfRule type="beginsWith" dxfId="4951" priority="298" stopIfTrue="1" operator="beginsWith" text="Functioning At Risk">
      <formula>LEFT(E22,LEN("Functioning At Risk"))="Functioning At Risk"</formula>
    </cfRule>
    <cfRule type="beginsWith" dxfId="4950" priority="299" stopIfTrue="1" operator="beginsWith" text="Not Functioning">
      <formula>LEFT(E22,LEN("Not Functioning"))="Not Functioning"</formula>
    </cfRule>
    <cfRule type="containsText" dxfId="4949" priority="300" operator="containsText" text="Functioning">
      <formula>NOT(ISERROR(SEARCH("Functioning",E22)))</formula>
    </cfRule>
  </conditionalFormatting>
  <conditionalFormatting sqref="F28 F5:F6 F13:F16">
    <cfRule type="beginsWith" dxfId="4948" priority="295" stopIfTrue="1" operator="beginsWith" text="Functioning At Risk">
      <formula>LEFT(F5,LEN("Functioning At Risk"))="Functioning At Risk"</formula>
    </cfRule>
    <cfRule type="beginsWith" dxfId="4947" priority="296" stopIfTrue="1" operator="beginsWith" text="Not Functioning">
      <formula>LEFT(F5,LEN("Not Functioning"))="Not Functioning"</formula>
    </cfRule>
    <cfRule type="containsText" dxfId="4946" priority="297" operator="containsText" text="Functioning">
      <formula>NOT(ISERROR(SEARCH("Functioning",F5)))</formula>
    </cfRule>
  </conditionalFormatting>
  <conditionalFormatting sqref="F17:F18">
    <cfRule type="beginsWith" dxfId="4945" priority="292" stopIfTrue="1" operator="beginsWith" text="Functioning At Risk">
      <formula>LEFT(F17,LEN("Functioning At Risk"))="Functioning At Risk"</formula>
    </cfRule>
    <cfRule type="beginsWith" dxfId="4944" priority="293" stopIfTrue="1" operator="beginsWith" text="Not Functioning">
      <formula>LEFT(F17,LEN("Not Functioning"))="Not Functioning"</formula>
    </cfRule>
    <cfRule type="containsText" dxfId="4943" priority="294" operator="containsText" text="Functioning">
      <formula>NOT(ISERROR(SEARCH("Functioning",F17)))</formula>
    </cfRule>
  </conditionalFormatting>
  <conditionalFormatting sqref="F37:F38">
    <cfRule type="beginsWith" dxfId="4942" priority="289" stopIfTrue="1" operator="beginsWith" text="Functioning At Risk">
      <formula>LEFT(F37,LEN("Functioning At Risk"))="Functioning At Risk"</formula>
    </cfRule>
    <cfRule type="beginsWith" dxfId="4941" priority="290" stopIfTrue="1" operator="beginsWith" text="Not Functioning">
      <formula>LEFT(F37,LEN("Not Functioning"))="Not Functioning"</formula>
    </cfRule>
    <cfRule type="containsText" dxfId="4940" priority="291" operator="containsText" text="Functioning">
      <formula>NOT(ISERROR(SEARCH("Functioning",F37)))</formula>
    </cfRule>
  </conditionalFormatting>
  <conditionalFormatting sqref="F33:F36">
    <cfRule type="beginsWith" dxfId="4939" priority="286" stopIfTrue="1" operator="beginsWith" text="Functioning At Risk">
      <formula>LEFT(F33,LEN("Functioning At Risk"))="Functioning At Risk"</formula>
    </cfRule>
    <cfRule type="beginsWith" dxfId="4938" priority="287" stopIfTrue="1" operator="beginsWith" text="Not Functioning">
      <formula>LEFT(F33,LEN("Not Functioning"))="Not Functioning"</formula>
    </cfRule>
    <cfRule type="containsText" dxfId="4937" priority="288" operator="containsText" text="Functioning">
      <formula>NOT(ISERROR(SEARCH("Functioning",F33)))</formula>
    </cfRule>
  </conditionalFormatting>
  <conditionalFormatting sqref="F21">
    <cfRule type="beginsWith" dxfId="4936" priority="283" stopIfTrue="1" operator="beginsWith" text="Functioning At Risk">
      <formula>LEFT(F21,LEN("Functioning At Risk"))="Functioning At Risk"</formula>
    </cfRule>
    <cfRule type="beginsWith" dxfId="4935" priority="284" stopIfTrue="1" operator="beginsWith" text="Not Functioning">
      <formula>LEFT(F21,LEN("Not Functioning"))="Not Functioning"</formula>
    </cfRule>
    <cfRule type="containsText" dxfId="4934" priority="285" operator="containsText" text="Functioning">
      <formula>NOT(ISERROR(SEARCH("Functioning",F21)))</formula>
    </cfRule>
  </conditionalFormatting>
  <conditionalFormatting sqref="F7:F8">
    <cfRule type="beginsWith" dxfId="4933" priority="280" stopIfTrue="1" operator="beginsWith" text="Functioning At Risk">
      <formula>LEFT(F7,LEN("Functioning At Risk"))="Functioning At Risk"</formula>
    </cfRule>
    <cfRule type="beginsWith" dxfId="4932" priority="281" stopIfTrue="1" operator="beginsWith" text="Not Functioning">
      <formula>LEFT(F7,LEN("Not Functioning"))="Not Functioning"</formula>
    </cfRule>
    <cfRule type="containsText" dxfId="4931" priority="282" operator="containsText" text="Functioning">
      <formula>NOT(ISERROR(SEARCH("Functioning",F7)))</formula>
    </cfRule>
  </conditionalFormatting>
  <conditionalFormatting sqref="F10">
    <cfRule type="beginsWith" dxfId="4930" priority="277" stopIfTrue="1" operator="beginsWith" text="Functioning At Risk">
      <formula>LEFT(F10,LEN("Functioning At Risk"))="Functioning At Risk"</formula>
    </cfRule>
    <cfRule type="beginsWith" dxfId="4929" priority="278" stopIfTrue="1" operator="beginsWith" text="Not Functioning">
      <formula>LEFT(F10,LEN("Not Functioning"))="Not Functioning"</formula>
    </cfRule>
    <cfRule type="containsText" dxfId="4928" priority="279" operator="containsText" text="Functioning">
      <formula>NOT(ISERROR(SEARCH("Functioning",F10)))</formula>
    </cfRule>
  </conditionalFormatting>
  <conditionalFormatting sqref="F25">
    <cfRule type="beginsWith" dxfId="4927" priority="274" stopIfTrue="1" operator="beginsWith" text="Functioning At Risk">
      <formula>LEFT(F25,LEN("Functioning At Risk"))="Functioning At Risk"</formula>
    </cfRule>
    <cfRule type="beginsWith" dxfId="4926" priority="275" stopIfTrue="1" operator="beginsWith" text="Not Functioning">
      <formula>LEFT(F25,LEN("Not Functioning"))="Not Functioning"</formula>
    </cfRule>
    <cfRule type="containsText" dxfId="4925" priority="276" operator="containsText" text="Functioning">
      <formula>NOT(ISERROR(SEARCH("Functioning",F25)))</formula>
    </cfRule>
  </conditionalFormatting>
  <conditionalFormatting sqref="F22">
    <cfRule type="beginsWith" dxfId="4924" priority="271" stopIfTrue="1" operator="beginsWith" text="Functioning At Risk">
      <formula>LEFT(F22,LEN("Functioning At Risk"))="Functioning At Risk"</formula>
    </cfRule>
    <cfRule type="beginsWith" dxfId="4923" priority="272" stopIfTrue="1" operator="beginsWith" text="Not Functioning">
      <formula>LEFT(F22,LEN("Not Functioning"))="Not Functioning"</formula>
    </cfRule>
    <cfRule type="containsText" dxfId="4922" priority="273" operator="containsText" text="Functioning">
      <formula>NOT(ISERROR(SEARCH("Functioning",F22)))</formula>
    </cfRule>
  </conditionalFormatting>
  <conditionalFormatting sqref="F67 F44:F45 F52:F55">
    <cfRule type="beginsWith" dxfId="4921" priority="268" stopIfTrue="1" operator="beginsWith" text="Functioning At Risk">
      <formula>LEFT(F44,LEN("Functioning At Risk"))="Functioning At Risk"</formula>
    </cfRule>
    <cfRule type="beginsWith" dxfId="4920" priority="269" stopIfTrue="1" operator="beginsWith" text="Not Functioning">
      <formula>LEFT(F44,LEN("Not Functioning"))="Not Functioning"</formula>
    </cfRule>
    <cfRule type="containsText" dxfId="4919" priority="270" operator="containsText" text="Functioning">
      <formula>NOT(ISERROR(SEARCH("Functioning",F44)))</formula>
    </cfRule>
  </conditionalFormatting>
  <conditionalFormatting sqref="F56:F57">
    <cfRule type="beginsWith" dxfId="4918" priority="265" stopIfTrue="1" operator="beginsWith" text="Functioning At Risk">
      <formula>LEFT(F56,LEN("Functioning At Risk"))="Functioning At Risk"</formula>
    </cfRule>
    <cfRule type="beginsWith" dxfId="4917" priority="266" stopIfTrue="1" operator="beginsWith" text="Not Functioning">
      <formula>LEFT(F56,LEN("Not Functioning"))="Not Functioning"</formula>
    </cfRule>
    <cfRule type="containsText" dxfId="4916" priority="267" operator="containsText" text="Functioning">
      <formula>NOT(ISERROR(SEARCH("Functioning",F56)))</formula>
    </cfRule>
  </conditionalFormatting>
  <conditionalFormatting sqref="F76:F77">
    <cfRule type="beginsWith" dxfId="4915" priority="262" stopIfTrue="1" operator="beginsWith" text="Functioning At Risk">
      <formula>LEFT(F76,LEN("Functioning At Risk"))="Functioning At Risk"</formula>
    </cfRule>
    <cfRule type="beginsWith" dxfId="4914" priority="263" stopIfTrue="1" operator="beginsWith" text="Not Functioning">
      <formula>LEFT(F76,LEN("Not Functioning"))="Not Functioning"</formula>
    </cfRule>
    <cfRule type="containsText" dxfId="4913" priority="264" operator="containsText" text="Functioning">
      <formula>NOT(ISERROR(SEARCH("Functioning",F76)))</formula>
    </cfRule>
  </conditionalFormatting>
  <conditionalFormatting sqref="F72:F75">
    <cfRule type="beginsWith" dxfId="4912" priority="259" stopIfTrue="1" operator="beginsWith" text="Functioning At Risk">
      <formula>LEFT(F72,LEN("Functioning At Risk"))="Functioning At Risk"</formula>
    </cfRule>
    <cfRule type="beginsWith" dxfId="4911" priority="260" stopIfTrue="1" operator="beginsWith" text="Not Functioning">
      <formula>LEFT(F72,LEN("Not Functioning"))="Not Functioning"</formula>
    </cfRule>
    <cfRule type="containsText" dxfId="4910" priority="261" operator="containsText" text="Functioning">
      <formula>NOT(ISERROR(SEARCH("Functioning",F72)))</formula>
    </cfRule>
  </conditionalFormatting>
  <conditionalFormatting sqref="F60">
    <cfRule type="beginsWith" dxfId="4909" priority="256" stopIfTrue="1" operator="beginsWith" text="Functioning At Risk">
      <formula>LEFT(F60,LEN("Functioning At Risk"))="Functioning At Risk"</formula>
    </cfRule>
    <cfRule type="beginsWith" dxfId="4908" priority="257" stopIfTrue="1" operator="beginsWith" text="Not Functioning">
      <formula>LEFT(F60,LEN("Not Functioning"))="Not Functioning"</formula>
    </cfRule>
    <cfRule type="containsText" dxfId="4907" priority="258" operator="containsText" text="Functioning">
      <formula>NOT(ISERROR(SEARCH("Functioning",F60)))</formula>
    </cfRule>
  </conditionalFormatting>
  <conditionalFormatting sqref="F46:F47">
    <cfRule type="beginsWith" dxfId="4906" priority="253" stopIfTrue="1" operator="beginsWith" text="Functioning At Risk">
      <formula>LEFT(F46,LEN("Functioning At Risk"))="Functioning At Risk"</formula>
    </cfRule>
    <cfRule type="beginsWith" dxfId="4905" priority="254" stopIfTrue="1" operator="beginsWith" text="Not Functioning">
      <formula>LEFT(F46,LEN("Not Functioning"))="Not Functioning"</formula>
    </cfRule>
    <cfRule type="containsText" dxfId="4904" priority="255" operator="containsText" text="Functioning">
      <formula>NOT(ISERROR(SEARCH("Functioning",F46)))</formula>
    </cfRule>
  </conditionalFormatting>
  <conditionalFormatting sqref="F49">
    <cfRule type="beginsWith" dxfId="4903" priority="250" stopIfTrue="1" operator="beginsWith" text="Functioning At Risk">
      <formula>LEFT(F49,LEN("Functioning At Risk"))="Functioning At Risk"</formula>
    </cfRule>
    <cfRule type="beginsWith" dxfId="4902" priority="251" stopIfTrue="1" operator="beginsWith" text="Not Functioning">
      <formula>LEFT(F49,LEN("Not Functioning"))="Not Functioning"</formula>
    </cfRule>
    <cfRule type="containsText" dxfId="4901" priority="252" operator="containsText" text="Functioning">
      <formula>NOT(ISERROR(SEARCH("Functioning",F49)))</formula>
    </cfRule>
  </conditionalFormatting>
  <conditionalFormatting sqref="F64">
    <cfRule type="beginsWith" dxfId="4900" priority="247" stopIfTrue="1" operator="beginsWith" text="Functioning At Risk">
      <formula>LEFT(F64,LEN("Functioning At Risk"))="Functioning At Risk"</formula>
    </cfRule>
    <cfRule type="beginsWith" dxfId="4899" priority="248" stopIfTrue="1" operator="beginsWith" text="Not Functioning">
      <formula>LEFT(F64,LEN("Not Functioning"))="Not Functioning"</formula>
    </cfRule>
    <cfRule type="containsText" dxfId="4898" priority="249" operator="containsText" text="Functioning">
      <formula>NOT(ISERROR(SEARCH("Functioning",F64)))</formula>
    </cfRule>
  </conditionalFormatting>
  <conditionalFormatting sqref="F61">
    <cfRule type="beginsWith" dxfId="4897" priority="244" stopIfTrue="1" operator="beginsWith" text="Functioning At Risk">
      <formula>LEFT(F61,LEN("Functioning At Risk"))="Functioning At Risk"</formula>
    </cfRule>
    <cfRule type="beginsWith" dxfId="4896" priority="245" stopIfTrue="1" operator="beginsWith" text="Not Functioning">
      <formula>LEFT(F61,LEN("Not Functioning"))="Not Functioning"</formula>
    </cfRule>
    <cfRule type="containsText" dxfId="4895" priority="246" operator="containsText" text="Functioning">
      <formula>NOT(ISERROR(SEARCH("Functioning",F61)))</formula>
    </cfRule>
  </conditionalFormatting>
  <conditionalFormatting sqref="F106 F83:F84 F91:F94">
    <cfRule type="beginsWith" dxfId="4894" priority="241" stopIfTrue="1" operator="beginsWith" text="Functioning At Risk">
      <formula>LEFT(F83,LEN("Functioning At Risk"))="Functioning At Risk"</formula>
    </cfRule>
    <cfRule type="beginsWith" dxfId="4893" priority="242" stopIfTrue="1" operator="beginsWith" text="Not Functioning">
      <formula>LEFT(F83,LEN("Not Functioning"))="Not Functioning"</formula>
    </cfRule>
    <cfRule type="containsText" dxfId="4892" priority="243" operator="containsText" text="Functioning">
      <formula>NOT(ISERROR(SEARCH("Functioning",F83)))</formula>
    </cfRule>
  </conditionalFormatting>
  <conditionalFormatting sqref="F95:F96">
    <cfRule type="beginsWith" dxfId="4891" priority="238" stopIfTrue="1" operator="beginsWith" text="Functioning At Risk">
      <formula>LEFT(F95,LEN("Functioning At Risk"))="Functioning At Risk"</formula>
    </cfRule>
    <cfRule type="beginsWith" dxfId="4890" priority="239" stopIfTrue="1" operator="beginsWith" text="Not Functioning">
      <formula>LEFT(F95,LEN("Not Functioning"))="Not Functioning"</formula>
    </cfRule>
    <cfRule type="containsText" dxfId="4889" priority="240" operator="containsText" text="Functioning">
      <formula>NOT(ISERROR(SEARCH("Functioning",F95)))</formula>
    </cfRule>
  </conditionalFormatting>
  <conditionalFormatting sqref="F115:F116">
    <cfRule type="beginsWith" dxfId="4888" priority="235" stopIfTrue="1" operator="beginsWith" text="Functioning At Risk">
      <formula>LEFT(F115,LEN("Functioning At Risk"))="Functioning At Risk"</formula>
    </cfRule>
    <cfRule type="beginsWith" dxfId="4887" priority="236" stopIfTrue="1" operator="beginsWith" text="Not Functioning">
      <formula>LEFT(F115,LEN("Not Functioning"))="Not Functioning"</formula>
    </cfRule>
    <cfRule type="containsText" dxfId="4886" priority="237" operator="containsText" text="Functioning">
      <formula>NOT(ISERROR(SEARCH("Functioning",F115)))</formula>
    </cfRule>
  </conditionalFormatting>
  <conditionalFormatting sqref="F111:F114">
    <cfRule type="beginsWith" dxfId="4885" priority="232" stopIfTrue="1" operator="beginsWith" text="Functioning At Risk">
      <formula>LEFT(F111,LEN("Functioning At Risk"))="Functioning At Risk"</formula>
    </cfRule>
    <cfRule type="beginsWith" dxfId="4884" priority="233" stopIfTrue="1" operator="beginsWith" text="Not Functioning">
      <formula>LEFT(F111,LEN("Not Functioning"))="Not Functioning"</formula>
    </cfRule>
    <cfRule type="containsText" dxfId="4883" priority="234" operator="containsText" text="Functioning">
      <formula>NOT(ISERROR(SEARCH("Functioning",F111)))</formula>
    </cfRule>
  </conditionalFormatting>
  <conditionalFormatting sqref="F99">
    <cfRule type="beginsWith" dxfId="4882" priority="229" stopIfTrue="1" operator="beginsWith" text="Functioning At Risk">
      <formula>LEFT(F99,LEN("Functioning At Risk"))="Functioning At Risk"</formula>
    </cfRule>
    <cfRule type="beginsWith" dxfId="4881" priority="230" stopIfTrue="1" operator="beginsWith" text="Not Functioning">
      <formula>LEFT(F99,LEN("Not Functioning"))="Not Functioning"</formula>
    </cfRule>
    <cfRule type="containsText" dxfId="4880" priority="231" operator="containsText" text="Functioning">
      <formula>NOT(ISERROR(SEARCH("Functioning",F99)))</formula>
    </cfRule>
  </conditionalFormatting>
  <conditionalFormatting sqref="F85:F86">
    <cfRule type="beginsWith" dxfId="4879" priority="226" stopIfTrue="1" operator="beginsWith" text="Functioning At Risk">
      <formula>LEFT(F85,LEN("Functioning At Risk"))="Functioning At Risk"</formula>
    </cfRule>
    <cfRule type="beginsWith" dxfId="4878" priority="227" stopIfTrue="1" operator="beginsWith" text="Not Functioning">
      <formula>LEFT(F85,LEN("Not Functioning"))="Not Functioning"</formula>
    </cfRule>
    <cfRule type="containsText" dxfId="4877" priority="228" operator="containsText" text="Functioning">
      <formula>NOT(ISERROR(SEARCH("Functioning",F85)))</formula>
    </cfRule>
  </conditionalFormatting>
  <conditionalFormatting sqref="F88">
    <cfRule type="beginsWith" dxfId="4876" priority="223" stopIfTrue="1" operator="beginsWith" text="Functioning At Risk">
      <formula>LEFT(F88,LEN("Functioning At Risk"))="Functioning At Risk"</formula>
    </cfRule>
    <cfRule type="beginsWith" dxfId="4875" priority="224" stopIfTrue="1" operator="beginsWith" text="Not Functioning">
      <formula>LEFT(F88,LEN("Not Functioning"))="Not Functioning"</formula>
    </cfRule>
    <cfRule type="containsText" dxfId="4874" priority="225" operator="containsText" text="Functioning">
      <formula>NOT(ISERROR(SEARCH("Functioning",F88)))</formula>
    </cfRule>
  </conditionalFormatting>
  <conditionalFormatting sqref="F103">
    <cfRule type="beginsWith" dxfId="4873" priority="220" stopIfTrue="1" operator="beginsWith" text="Functioning At Risk">
      <formula>LEFT(F103,LEN("Functioning At Risk"))="Functioning At Risk"</formula>
    </cfRule>
    <cfRule type="beginsWith" dxfId="4872" priority="221" stopIfTrue="1" operator="beginsWith" text="Not Functioning">
      <formula>LEFT(F103,LEN("Not Functioning"))="Not Functioning"</formula>
    </cfRule>
    <cfRule type="containsText" dxfId="4871" priority="222" operator="containsText" text="Functioning">
      <formula>NOT(ISERROR(SEARCH("Functioning",F103)))</formula>
    </cfRule>
  </conditionalFormatting>
  <conditionalFormatting sqref="F100">
    <cfRule type="beginsWith" dxfId="4870" priority="217" stopIfTrue="1" operator="beginsWith" text="Functioning At Risk">
      <formula>LEFT(F100,LEN("Functioning At Risk"))="Functioning At Risk"</formula>
    </cfRule>
    <cfRule type="beginsWith" dxfId="4869" priority="218" stopIfTrue="1" operator="beginsWith" text="Not Functioning">
      <formula>LEFT(F100,LEN("Not Functioning"))="Not Functioning"</formula>
    </cfRule>
    <cfRule type="containsText" dxfId="4868" priority="219" operator="containsText" text="Functioning">
      <formula>NOT(ISERROR(SEARCH("Functioning",F100)))</formula>
    </cfRule>
  </conditionalFormatting>
  <conditionalFormatting sqref="F145 F122:F123 F130:F133">
    <cfRule type="beginsWith" dxfId="4867" priority="214" stopIfTrue="1" operator="beginsWith" text="Functioning At Risk">
      <formula>LEFT(F122,LEN("Functioning At Risk"))="Functioning At Risk"</formula>
    </cfRule>
    <cfRule type="beginsWith" dxfId="4866" priority="215" stopIfTrue="1" operator="beginsWith" text="Not Functioning">
      <formula>LEFT(F122,LEN("Not Functioning"))="Not Functioning"</formula>
    </cfRule>
    <cfRule type="containsText" dxfId="4865" priority="216" operator="containsText" text="Functioning">
      <formula>NOT(ISERROR(SEARCH("Functioning",F122)))</formula>
    </cfRule>
  </conditionalFormatting>
  <conditionalFormatting sqref="F134:F135">
    <cfRule type="beginsWith" dxfId="4864" priority="211" stopIfTrue="1" operator="beginsWith" text="Functioning At Risk">
      <formula>LEFT(F134,LEN("Functioning At Risk"))="Functioning At Risk"</formula>
    </cfRule>
    <cfRule type="beginsWith" dxfId="4863" priority="212" stopIfTrue="1" operator="beginsWith" text="Not Functioning">
      <formula>LEFT(F134,LEN("Not Functioning"))="Not Functioning"</formula>
    </cfRule>
    <cfRule type="containsText" dxfId="4862" priority="213" operator="containsText" text="Functioning">
      <formula>NOT(ISERROR(SEARCH("Functioning",F134)))</formula>
    </cfRule>
  </conditionalFormatting>
  <conditionalFormatting sqref="F154:F155">
    <cfRule type="beginsWith" dxfId="4861" priority="208" stopIfTrue="1" operator="beginsWith" text="Functioning At Risk">
      <formula>LEFT(F154,LEN("Functioning At Risk"))="Functioning At Risk"</formula>
    </cfRule>
    <cfRule type="beginsWith" dxfId="4860" priority="209" stopIfTrue="1" operator="beginsWith" text="Not Functioning">
      <formula>LEFT(F154,LEN("Not Functioning"))="Not Functioning"</formula>
    </cfRule>
    <cfRule type="containsText" dxfId="4859" priority="210" operator="containsText" text="Functioning">
      <formula>NOT(ISERROR(SEARCH("Functioning",F154)))</formula>
    </cfRule>
  </conditionalFormatting>
  <conditionalFormatting sqref="F150:F153">
    <cfRule type="beginsWith" dxfId="4858" priority="205" stopIfTrue="1" operator="beginsWith" text="Functioning At Risk">
      <formula>LEFT(F150,LEN("Functioning At Risk"))="Functioning At Risk"</formula>
    </cfRule>
    <cfRule type="beginsWith" dxfId="4857" priority="206" stopIfTrue="1" operator="beginsWith" text="Not Functioning">
      <formula>LEFT(F150,LEN("Not Functioning"))="Not Functioning"</formula>
    </cfRule>
    <cfRule type="containsText" dxfId="4856" priority="207" operator="containsText" text="Functioning">
      <formula>NOT(ISERROR(SEARCH("Functioning",F150)))</formula>
    </cfRule>
  </conditionalFormatting>
  <conditionalFormatting sqref="F138">
    <cfRule type="beginsWith" dxfId="4855" priority="202" stopIfTrue="1" operator="beginsWith" text="Functioning At Risk">
      <formula>LEFT(F138,LEN("Functioning At Risk"))="Functioning At Risk"</formula>
    </cfRule>
    <cfRule type="beginsWith" dxfId="4854" priority="203" stopIfTrue="1" operator="beginsWith" text="Not Functioning">
      <formula>LEFT(F138,LEN("Not Functioning"))="Not Functioning"</formula>
    </cfRule>
    <cfRule type="containsText" dxfId="4853" priority="204" operator="containsText" text="Functioning">
      <formula>NOT(ISERROR(SEARCH("Functioning",F138)))</formula>
    </cfRule>
  </conditionalFormatting>
  <conditionalFormatting sqref="F124:F125">
    <cfRule type="beginsWith" dxfId="4852" priority="199" stopIfTrue="1" operator="beginsWith" text="Functioning At Risk">
      <formula>LEFT(F124,LEN("Functioning At Risk"))="Functioning At Risk"</formula>
    </cfRule>
    <cfRule type="beginsWith" dxfId="4851" priority="200" stopIfTrue="1" operator="beginsWith" text="Not Functioning">
      <formula>LEFT(F124,LEN("Not Functioning"))="Not Functioning"</formula>
    </cfRule>
    <cfRule type="containsText" dxfId="4850" priority="201" operator="containsText" text="Functioning">
      <formula>NOT(ISERROR(SEARCH("Functioning",F124)))</formula>
    </cfRule>
  </conditionalFormatting>
  <conditionalFormatting sqref="F127">
    <cfRule type="beginsWith" dxfId="4849" priority="196" stopIfTrue="1" operator="beginsWith" text="Functioning At Risk">
      <formula>LEFT(F127,LEN("Functioning At Risk"))="Functioning At Risk"</formula>
    </cfRule>
    <cfRule type="beginsWith" dxfId="4848" priority="197" stopIfTrue="1" operator="beginsWith" text="Not Functioning">
      <formula>LEFT(F127,LEN("Not Functioning"))="Not Functioning"</formula>
    </cfRule>
    <cfRule type="containsText" dxfId="4847" priority="198" operator="containsText" text="Functioning">
      <formula>NOT(ISERROR(SEARCH("Functioning",F127)))</formula>
    </cfRule>
  </conditionalFormatting>
  <conditionalFormatting sqref="F142">
    <cfRule type="beginsWith" dxfId="4846" priority="193" stopIfTrue="1" operator="beginsWith" text="Functioning At Risk">
      <formula>LEFT(F142,LEN("Functioning At Risk"))="Functioning At Risk"</formula>
    </cfRule>
    <cfRule type="beginsWith" dxfId="4845" priority="194" stopIfTrue="1" operator="beginsWith" text="Not Functioning">
      <formula>LEFT(F142,LEN("Not Functioning"))="Not Functioning"</formula>
    </cfRule>
    <cfRule type="containsText" dxfId="4844" priority="195" operator="containsText" text="Functioning">
      <formula>NOT(ISERROR(SEARCH("Functioning",F142)))</formula>
    </cfRule>
  </conditionalFormatting>
  <conditionalFormatting sqref="F139">
    <cfRule type="beginsWith" dxfId="4843" priority="190" stopIfTrue="1" operator="beginsWith" text="Functioning At Risk">
      <formula>LEFT(F139,LEN("Functioning At Risk"))="Functioning At Risk"</formula>
    </cfRule>
    <cfRule type="beginsWith" dxfId="4842" priority="191" stopIfTrue="1" operator="beginsWith" text="Not Functioning">
      <formula>LEFT(F139,LEN("Not Functioning"))="Not Functioning"</formula>
    </cfRule>
    <cfRule type="containsText" dxfId="4841" priority="192" operator="containsText" text="Functioning">
      <formula>NOT(ISERROR(SEARCH("Functioning",F139)))</formula>
    </cfRule>
  </conditionalFormatting>
  <conditionalFormatting sqref="F184 F161:F162 F169:F172">
    <cfRule type="beginsWith" dxfId="4840" priority="187" stopIfTrue="1" operator="beginsWith" text="Functioning At Risk">
      <formula>LEFT(F161,LEN("Functioning At Risk"))="Functioning At Risk"</formula>
    </cfRule>
    <cfRule type="beginsWith" dxfId="4839" priority="188" stopIfTrue="1" operator="beginsWith" text="Not Functioning">
      <formula>LEFT(F161,LEN("Not Functioning"))="Not Functioning"</formula>
    </cfRule>
    <cfRule type="containsText" dxfId="4838" priority="189" operator="containsText" text="Functioning">
      <formula>NOT(ISERROR(SEARCH("Functioning",F161)))</formula>
    </cfRule>
  </conditionalFormatting>
  <conditionalFormatting sqref="F173:F174">
    <cfRule type="beginsWith" dxfId="4837" priority="184" stopIfTrue="1" operator="beginsWith" text="Functioning At Risk">
      <formula>LEFT(F173,LEN("Functioning At Risk"))="Functioning At Risk"</formula>
    </cfRule>
    <cfRule type="beginsWith" dxfId="4836" priority="185" stopIfTrue="1" operator="beginsWith" text="Not Functioning">
      <formula>LEFT(F173,LEN("Not Functioning"))="Not Functioning"</formula>
    </cfRule>
    <cfRule type="containsText" dxfId="4835" priority="186" operator="containsText" text="Functioning">
      <formula>NOT(ISERROR(SEARCH("Functioning",F173)))</formula>
    </cfRule>
  </conditionalFormatting>
  <conditionalFormatting sqref="F193:F194">
    <cfRule type="beginsWith" dxfId="4834" priority="181" stopIfTrue="1" operator="beginsWith" text="Functioning At Risk">
      <formula>LEFT(F193,LEN("Functioning At Risk"))="Functioning At Risk"</formula>
    </cfRule>
    <cfRule type="beginsWith" dxfId="4833" priority="182" stopIfTrue="1" operator="beginsWith" text="Not Functioning">
      <formula>LEFT(F193,LEN("Not Functioning"))="Not Functioning"</formula>
    </cfRule>
    <cfRule type="containsText" dxfId="4832" priority="183" operator="containsText" text="Functioning">
      <formula>NOT(ISERROR(SEARCH("Functioning",F193)))</formula>
    </cfRule>
  </conditionalFormatting>
  <conditionalFormatting sqref="F189:F192">
    <cfRule type="beginsWith" dxfId="4831" priority="178" stopIfTrue="1" operator="beginsWith" text="Functioning At Risk">
      <formula>LEFT(F189,LEN("Functioning At Risk"))="Functioning At Risk"</formula>
    </cfRule>
    <cfRule type="beginsWith" dxfId="4830" priority="179" stopIfTrue="1" operator="beginsWith" text="Not Functioning">
      <formula>LEFT(F189,LEN("Not Functioning"))="Not Functioning"</formula>
    </cfRule>
    <cfRule type="containsText" dxfId="4829" priority="180" operator="containsText" text="Functioning">
      <formula>NOT(ISERROR(SEARCH("Functioning",F189)))</formula>
    </cfRule>
  </conditionalFormatting>
  <conditionalFormatting sqref="F177">
    <cfRule type="beginsWith" dxfId="4828" priority="175" stopIfTrue="1" operator="beginsWith" text="Functioning At Risk">
      <formula>LEFT(F177,LEN("Functioning At Risk"))="Functioning At Risk"</formula>
    </cfRule>
    <cfRule type="beginsWith" dxfId="4827" priority="176" stopIfTrue="1" operator="beginsWith" text="Not Functioning">
      <formula>LEFT(F177,LEN("Not Functioning"))="Not Functioning"</formula>
    </cfRule>
    <cfRule type="containsText" dxfId="4826" priority="177" operator="containsText" text="Functioning">
      <formula>NOT(ISERROR(SEARCH("Functioning",F177)))</formula>
    </cfRule>
  </conditionalFormatting>
  <conditionalFormatting sqref="F163:F164">
    <cfRule type="beginsWith" dxfId="4825" priority="172" stopIfTrue="1" operator="beginsWith" text="Functioning At Risk">
      <formula>LEFT(F163,LEN("Functioning At Risk"))="Functioning At Risk"</formula>
    </cfRule>
    <cfRule type="beginsWith" dxfId="4824" priority="173" stopIfTrue="1" operator="beginsWith" text="Not Functioning">
      <formula>LEFT(F163,LEN("Not Functioning"))="Not Functioning"</formula>
    </cfRule>
    <cfRule type="containsText" dxfId="4823" priority="174" operator="containsText" text="Functioning">
      <formula>NOT(ISERROR(SEARCH("Functioning",F163)))</formula>
    </cfRule>
  </conditionalFormatting>
  <conditionalFormatting sqref="F166">
    <cfRule type="beginsWith" dxfId="4822" priority="169" stopIfTrue="1" operator="beginsWith" text="Functioning At Risk">
      <formula>LEFT(F166,LEN("Functioning At Risk"))="Functioning At Risk"</formula>
    </cfRule>
    <cfRule type="beginsWith" dxfId="4821" priority="170" stopIfTrue="1" operator="beginsWith" text="Not Functioning">
      <formula>LEFT(F166,LEN("Not Functioning"))="Not Functioning"</formula>
    </cfRule>
    <cfRule type="containsText" dxfId="4820" priority="171" operator="containsText" text="Functioning">
      <formula>NOT(ISERROR(SEARCH("Functioning",F166)))</formula>
    </cfRule>
  </conditionalFormatting>
  <conditionalFormatting sqref="F181">
    <cfRule type="beginsWith" dxfId="4819" priority="166" stopIfTrue="1" operator="beginsWith" text="Functioning At Risk">
      <formula>LEFT(F181,LEN("Functioning At Risk"))="Functioning At Risk"</formula>
    </cfRule>
    <cfRule type="beginsWith" dxfId="4818" priority="167" stopIfTrue="1" operator="beginsWith" text="Not Functioning">
      <formula>LEFT(F181,LEN("Not Functioning"))="Not Functioning"</formula>
    </cfRule>
    <cfRule type="containsText" dxfId="4817" priority="168" operator="containsText" text="Functioning">
      <formula>NOT(ISERROR(SEARCH("Functioning",F181)))</formula>
    </cfRule>
  </conditionalFormatting>
  <conditionalFormatting sqref="F178">
    <cfRule type="beginsWith" dxfId="4816" priority="163" stopIfTrue="1" operator="beginsWith" text="Functioning At Risk">
      <formula>LEFT(F178,LEN("Functioning At Risk"))="Functioning At Risk"</formula>
    </cfRule>
    <cfRule type="beginsWith" dxfId="4815" priority="164" stopIfTrue="1" operator="beginsWith" text="Not Functioning">
      <formula>LEFT(F178,LEN("Not Functioning"))="Not Functioning"</formula>
    </cfRule>
    <cfRule type="containsText" dxfId="4814" priority="165" operator="containsText" text="Functioning">
      <formula>NOT(ISERROR(SEARCH("Functioning",F178)))</formula>
    </cfRule>
  </conditionalFormatting>
  <conditionalFormatting sqref="F223 F200:F201 F208:F211">
    <cfRule type="beginsWith" dxfId="4813" priority="160" stopIfTrue="1" operator="beginsWith" text="Functioning At Risk">
      <formula>LEFT(F200,LEN("Functioning At Risk"))="Functioning At Risk"</formula>
    </cfRule>
    <cfRule type="beginsWith" dxfId="4812" priority="161" stopIfTrue="1" operator="beginsWith" text="Not Functioning">
      <formula>LEFT(F200,LEN("Not Functioning"))="Not Functioning"</formula>
    </cfRule>
    <cfRule type="containsText" dxfId="4811" priority="162" operator="containsText" text="Functioning">
      <formula>NOT(ISERROR(SEARCH("Functioning",F200)))</formula>
    </cfRule>
  </conditionalFormatting>
  <conditionalFormatting sqref="F212:F213">
    <cfRule type="beginsWith" dxfId="4810" priority="157" stopIfTrue="1" operator="beginsWith" text="Functioning At Risk">
      <formula>LEFT(F212,LEN("Functioning At Risk"))="Functioning At Risk"</formula>
    </cfRule>
    <cfRule type="beginsWith" dxfId="4809" priority="158" stopIfTrue="1" operator="beginsWith" text="Not Functioning">
      <formula>LEFT(F212,LEN("Not Functioning"))="Not Functioning"</formula>
    </cfRule>
    <cfRule type="containsText" dxfId="4808" priority="159" operator="containsText" text="Functioning">
      <formula>NOT(ISERROR(SEARCH("Functioning",F212)))</formula>
    </cfRule>
  </conditionalFormatting>
  <conditionalFormatting sqref="F232:F233">
    <cfRule type="beginsWith" dxfId="4807" priority="154" stopIfTrue="1" operator="beginsWith" text="Functioning At Risk">
      <formula>LEFT(F232,LEN("Functioning At Risk"))="Functioning At Risk"</formula>
    </cfRule>
    <cfRule type="beginsWith" dxfId="4806" priority="155" stopIfTrue="1" operator="beginsWith" text="Not Functioning">
      <formula>LEFT(F232,LEN("Not Functioning"))="Not Functioning"</formula>
    </cfRule>
    <cfRule type="containsText" dxfId="4805" priority="156" operator="containsText" text="Functioning">
      <formula>NOT(ISERROR(SEARCH("Functioning",F232)))</formula>
    </cfRule>
  </conditionalFormatting>
  <conditionalFormatting sqref="F228:F231">
    <cfRule type="beginsWith" dxfId="4804" priority="151" stopIfTrue="1" operator="beginsWith" text="Functioning At Risk">
      <formula>LEFT(F228,LEN("Functioning At Risk"))="Functioning At Risk"</formula>
    </cfRule>
    <cfRule type="beginsWith" dxfId="4803" priority="152" stopIfTrue="1" operator="beginsWith" text="Not Functioning">
      <formula>LEFT(F228,LEN("Not Functioning"))="Not Functioning"</formula>
    </cfRule>
    <cfRule type="containsText" dxfId="4802" priority="153" operator="containsText" text="Functioning">
      <formula>NOT(ISERROR(SEARCH("Functioning",F228)))</formula>
    </cfRule>
  </conditionalFormatting>
  <conditionalFormatting sqref="F216">
    <cfRule type="beginsWith" dxfId="4801" priority="148" stopIfTrue="1" operator="beginsWith" text="Functioning At Risk">
      <formula>LEFT(F216,LEN("Functioning At Risk"))="Functioning At Risk"</formula>
    </cfRule>
    <cfRule type="beginsWith" dxfId="4800" priority="149" stopIfTrue="1" operator="beginsWith" text="Not Functioning">
      <formula>LEFT(F216,LEN("Not Functioning"))="Not Functioning"</formula>
    </cfRule>
    <cfRule type="containsText" dxfId="4799" priority="150" operator="containsText" text="Functioning">
      <formula>NOT(ISERROR(SEARCH("Functioning",F216)))</formula>
    </cfRule>
  </conditionalFormatting>
  <conditionalFormatting sqref="F202:F203">
    <cfRule type="beginsWith" dxfId="4798" priority="145" stopIfTrue="1" operator="beginsWith" text="Functioning At Risk">
      <formula>LEFT(F202,LEN("Functioning At Risk"))="Functioning At Risk"</formula>
    </cfRule>
    <cfRule type="beginsWith" dxfId="4797" priority="146" stopIfTrue="1" operator="beginsWith" text="Not Functioning">
      <formula>LEFT(F202,LEN("Not Functioning"))="Not Functioning"</formula>
    </cfRule>
    <cfRule type="containsText" dxfId="4796" priority="147" operator="containsText" text="Functioning">
      <formula>NOT(ISERROR(SEARCH("Functioning",F202)))</formula>
    </cfRule>
  </conditionalFormatting>
  <conditionalFormatting sqref="F205">
    <cfRule type="beginsWith" dxfId="4795" priority="142" stopIfTrue="1" operator="beginsWith" text="Functioning At Risk">
      <formula>LEFT(F205,LEN("Functioning At Risk"))="Functioning At Risk"</formula>
    </cfRule>
    <cfRule type="beginsWith" dxfId="4794" priority="143" stopIfTrue="1" operator="beginsWith" text="Not Functioning">
      <formula>LEFT(F205,LEN("Not Functioning"))="Not Functioning"</formula>
    </cfRule>
    <cfRule type="containsText" dxfId="4793" priority="144" operator="containsText" text="Functioning">
      <formula>NOT(ISERROR(SEARCH("Functioning",F205)))</formula>
    </cfRule>
  </conditionalFormatting>
  <conditionalFormatting sqref="F220">
    <cfRule type="beginsWith" dxfId="4792" priority="139" stopIfTrue="1" operator="beginsWith" text="Functioning At Risk">
      <formula>LEFT(F220,LEN("Functioning At Risk"))="Functioning At Risk"</formula>
    </cfRule>
    <cfRule type="beginsWith" dxfId="4791" priority="140" stopIfTrue="1" operator="beginsWith" text="Not Functioning">
      <formula>LEFT(F220,LEN("Not Functioning"))="Not Functioning"</formula>
    </cfRule>
    <cfRule type="containsText" dxfId="4790" priority="141" operator="containsText" text="Functioning">
      <formula>NOT(ISERROR(SEARCH("Functioning",F220)))</formula>
    </cfRule>
  </conditionalFormatting>
  <conditionalFormatting sqref="F217">
    <cfRule type="beginsWith" dxfId="4789" priority="136" stopIfTrue="1" operator="beginsWith" text="Functioning At Risk">
      <formula>LEFT(F217,LEN("Functioning At Risk"))="Functioning At Risk"</formula>
    </cfRule>
    <cfRule type="beginsWith" dxfId="4788" priority="137" stopIfTrue="1" operator="beginsWith" text="Not Functioning">
      <formula>LEFT(F217,LEN("Not Functioning"))="Not Functioning"</formula>
    </cfRule>
    <cfRule type="containsText" dxfId="4787" priority="138" operator="containsText" text="Functioning">
      <formula>NOT(ISERROR(SEARCH("Functioning",F217)))</formula>
    </cfRule>
  </conditionalFormatting>
  <conditionalFormatting sqref="F263 F240:F241 F248:F251">
    <cfRule type="beginsWith" dxfId="4786" priority="133" stopIfTrue="1" operator="beginsWith" text="Functioning At Risk">
      <formula>LEFT(F240,LEN("Functioning At Risk"))="Functioning At Risk"</formula>
    </cfRule>
    <cfRule type="beginsWith" dxfId="4785" priority="134" stopIfTrue="1" operator="beginsWith" text="Not Functioning">
      <formula>LEFT(F240,LEN("Not Functioning"))="Not Functioning"</formula>
    </cfRule>
    <cfRule type="containsText" dxfId="4784" priority="135" operator="containsText" text="Functioning">
      <formula>NOT(ISERROR(SEARCH("Functioning",F240)))</formula>
    </cfRule>
  </conditionalFormatting>
  <conditionalFormatting sqref="F252:F253">
    <cfRule type="beginsWith" dxfId="4783" priority="130" stopIfTrue="1" operator="beginsWith" text="Functioning At Risk">
      <formula>LEFT(F252,LEN("Functioning At Risk"))="Functioning At Risk"</formula>
    </cfRule>
    <cfRule type="beginsWith" dxfId="4782" priority="131" stopIfTrue="1" operator="beginsWith" text="Not Functioning">
      <formula>LEFT(F252,LEN("Not Functioning"))="Not Functioning"</formula>
    </cfRule>
    <cfRule type="containsText" dxfId="4781" priority="132" operator="containsText" text="Functioning">
      <formula>NOT(ISERROR(SEARCH("Functioning",F252)))</formula>
    </cfRule>
  </conditionalFormatting>
  <conditionalFormatting sqref="F272:F273">
    <cfRule type="beginsWith" dxfId="4780" priority="127" stopIfTrue="1" operator="beginsWith" text="Functioning At Risk">
      <formula>LEFT(F272,LEN("Functioning At Risk"))="Functioning At Risk"</formula>
    </cfRule>
    <cfRule type="beginsWith" dxfId="4779" priority="128" stopIfTrue="1" operator="beginsWith" text="Not Functioning">
      <formula>LEFT(F272,LEN("Not Functioning"))="Not Functioning"</formula>
    </cfRule>
    <cfRule type="containsText" dxfId="4778" priority="129" operator="containsText" text="Functioning">
      <formula>NOT(ISERROR(SEARCH("Functioning",F272)))</formula>
    </cfRule>
  </conditionalFormatting>
  <conditionalFormatting sqref="F268:F271">
    <cfRule type="beginsWith" dxfId="4777" priority="124" stopIfTrue="1" operator="beginsWith" text="Functioning At Risk">
      <formula>LEFT(F268,LEN("Functioning At Risk"))="Functioning At Risk"</formula>
    </cfRule>
    <cfRule type="beginsWith" dxfId="4776" priority="125" stopIfTrue="1" operator="beginsWith" text="Not Functioning">
      <formula>LEFT(F268,LEN("Not Functioning"))="Not Functioning"</formula>
    </cfRule>
    <cfRule type="containsText" dxfId="4775" priority="126" operator="containsText" text="Functioning">
      <formula>NOT(ISERROR(SEARCH("Functioning",F268)))</formula>
    </cfRule>
  </conditionalFormatting>
  <conditionalFormatting sqref="F256">
    <cfRule type="beginsWith" dxfId="4774" priority="121" stopIfTrue="1" operator="beginsWith" text="Functioning At Risk">
      <formula>LEFT(F256,LEN("Functioning At Risk"))="Functioning At Risk"</formula>
    </cfRule>
    <cfRule type="beginsWith" dxfId="4773" priority="122" stopIfTrue="1" operator="beginsWith" text="Not Functioning">
      <formula>LEFT(F256,LEN("Not Functioning"))="Not Functioning"</formula>
    </cfRule>
    <cfRule type="containsText" dxfId="4772" priority="123" operator="containsText" text="Functioning">
      <formula>NOT(ISERROR(SEARCH("Functioning",F256)))</formula>
    </cfRule>
  </conditionalFormatting>
  <conditionalFormatting sqref="F242:F243">
    <cfRule type="beginsWith" dxfId="4771" priority="118" stopIfTrue="1" operator="beginsWith" text="Functioning At Risk">
      <formula>LEFT(F242,LEN("Functioning At Risk"))="Functioning At Risk"</formula>
    </cfRule>
    <cfRule type="beginsWith" dxfId="4770" priority="119" stopIfTrue="1" operator="beginsWith" text="Not Functioning">
      <formula>LEFT(F242,LEN("Not Functioning"))="Not Functioning"</formula>
    </cfRule>
    <cfRule type="containsText" dxfId="4769" priority="120" operator="containsText" text="Functioning">
      <formula>NOT(ISERROR(SEARCH("Functioning",F242)))</formula>
    </cfRule>
  </conditionalFormatting>
  <conditionalFormatting sqref="F245">
    <cfRule type="beginsWith" dxfId="4768" priority="115" stopIfTrue="1" operator="beginsWith" text="Functioning At Risk">
      <formula>LEFT(F245,LEN("Functioning At Risk"))="Functioning At Risk"</formula>
    </cfRule>
    <cfRule type="beginsWith" dxfId="4767" priority="116" stopIfTrue="1" operator="beginsWith" text="Not Functioning">
      <formula>LEFT(F245,LEN("Not Functioning"))="Not Functioning"</formula>
    </cfRule>
    <cfRule type="containsText" dxfId="4766" priority="117" operator="containsText" text="Functioning">
      <formula>NOT(ISERROR(SEARCH("Functioning",F245)))</formula>
    </cfRule>
  </conditionalFormatting>
  <conditionalFormatting sqref="F260">
    <cfRule type="beginsWith" dxfId="4765" priority="112" stopIfTrue="1" operator="beginsWith" text="Functioning At Risk">
      <formula>LEFT(F260,LEN("Functioning At Risk"))="Functioning At Risk"</formula>
    </cfRule>
    <cfRule type="beginsWith" dxfId="4764" priority="113" stopIfTrue="1" operator="beginsWith" text="Not Functioning">
      <formula>LEFT(F260,LEN("Not Functioning"))="Not Functioning"</formula>
    </cfRule>
    <cfRule type="containsText" dxfId="4763" priority="114" operator="containsText" text="Functioning">
      <formula>NOT(ISERROR(SEARCH("Functioning",F260)))</formula>
    </cfRule>
  </conditionalFormatting>
  <conditionalFormatting sqref="F257">
    <cfRule type="beginsWith" dxfId="4762" priority="109" stopIfTrue="1" operator="beginsWith" text="Functioning At Risk">
      <formula>LEFT(F257,LEN("Functioning At Risk"))="Functioning At Risk"</formula>
    </cfRule>
    <cfRule type="beginsWith" dxfId="4761" priority="110" stopIfTrue="1" operator="beginsWith" text="Not Functioning">
      <formula>LEFT(F257,LEN("Not Functioning"))="Not Functioning"</formula>
    </cfRule>
    <cfRule type="containsText" dxfId="4760" priority="111" operator="containsText" text="Functioning">
      <formula>NOT(ISERROR(SEARCH("Functioning",F257)))</formula>
    </cfRule>
  </conditionalFormatting>
  <conditionalFormatting sqref="F303 F280:F281 F288:F291">
    <cfRule type="beginsWith" dxfId="4759" priority="106" stopIfTrue="1" operator="beginsWith" text="Functioning At Risk">
      <formula>LEFT(F280,LEN("Functioning At Risk"))="Functioning At Risk"</formula>
    </cfRule>
    <cfRule type="beginsWith" dxfId="4758" priority="107" stopIfTrue="1" operator="beginsWith" text="Not Functioning">
      <formula>LEFT(F280,LEN("Not Functioning"))="Not Functioning"</formula>
    </cfRule>
    <cfRule type="containsText" dxfId="4757" priority="108" operator="containsText" text="Functioning">
      <formula>NOT(ISERROR(SEARCH("Functioning",F280)))</formula>
    </cfRule>
  </conditionalFormatting>
  <conditionalFormatting sqref="F292:F293">
    <cfRule type="beginsWith" dxfId="4756" priority="103" stopIfTrue="1" operator="beginsWith" text="Functioning At Risk">
      <formula>LEFT(F292,LEN("Functioning At Risk"))="Functioning At Risk"</formula>
    </cfRule>
    <cfRule type="beginsWith" dxfId="4755" priority="104" stopIfTrue="1" operator="beginsWith" text="Not Functioning">
      <formula>LEFT(F292,LEN("Not Functioning"))="Not Functioning"</formula>
    </cfRule>
    <cfRule type="containsText" dxfId="4754" priority="105" operator="containsText" text="Functioning">
      <formula>NOT(ISERROR(SEARCH("Functioning",F292)))</formula>
    </cfRule>
  </conditionalFormatting>
  <conditionalFormatting sqref="F312:F313">
    <cfRule type="beginsWith" dxfId="4753" priority="100" stopIfTrue="1" operator="beginsWith" text="Functioning At Risk">
      <formula>LEFT(F312,LEN("Functioning At Risk"))="Functioning At Risk"</formula>
    </cfRule>
    <cfRule type="beginsWith" dxfId="4752" priority="101" stopIfTrue="1" operator="beginsWith" text="Not Functioning">
      <formula>LEFT(F312,LEN("Not Functioning"))="Not Functioning"</formula>
    </cfRule>
    <cfRule type="containsText" dxfId="4751" priority="102" operator="containsText" text="Functioning">
      <formula>NOT(ISERROR(SEARCH("Functioning",F312)))</formula>
    </cfRule>
  </conditionalFormatting>
  <conditionalFormatting sqref="F308:F311">
    <cfRule type="beginsWith" dxfId="4750" priority="97" stopIfTrue="1" operator="beginsWith" text="Functioning At Risk">
      <formula>LEFT(F308,LEN("Functioning At Risk"))="Functioning At Risk"</formula>
    </cfRule>
    <cfRule type="beginsWith" dxfId="4749" priority="98" stopIfTrue="1" operator="beginsWith" text="Not Functioning">
      <formula>LEFT(F308,LEN("Not Functioning"))="Not Functioning"</formula>
    </cfRule>
    <cfRule type="containsText" dxfId="4748" priority="99" operator="containsText" text="Functioning">
      <formula>NOT(ISERROR(SEARCH("Functioning",F308)))</formula>
    </cfRule>
  </conditionalFormatting>
  <conditionalFormatting sqref="F296">
    <cfRule type="beginsWith" dxfId="4747" priority="94" stopIfTrue="1" operator="beginsWith" text="Functioning At Risk">
      <formula>LEFT(F296,LEN("Functioning At Risk"))="Functioning At Risk"</formula>
    </cfRule>
    <cfRule type="beginsWith" dxfId="4746" priority="95" stopIfTrue="1" operator="beginsWith" text="Not Functioning">
      <formula>LEFT(F296,LEN("Not Functioning"))="Not Functioning"</formula>
    </cfRule>
    <cfRule type="containsText" dxfId="4745" priority="96" operator="containsText" text="Functioning">
      <formula>NOT(ISERROR(SEARCH("Functioning",F296)))</formula>
    </cfRule>
  </conditionalFormatting>
  <conditionalFormatting sqref="F282:F283">
    <cfRule type="beginsWith" dxfId="4744" priority="91" stopIfTrue="1" operator="beginsWith" text="Functioning At Risk">
      <formula>LEFT(F282,LEN("Functioning At Risk"))="Functioning At Risk"</formula>
    </cfRule>
    <cfRule type="beginsWith" dxfId="4743" priority="92" stopIfTrue="1" operator="beginsWith" text="Not Functioning">
      <formula>LEFT(F282,LEN("Not Functioning"))="Not Functioning"</formula>
    </cfRule>
    <cfRule type="containsText" dxfId="4742" priority="93" operator="containsText" text="Functioning">
      <formula>NOT(ISERROR(SEARCH("Functioning",F282)))</formula>
    </cfRule>
  </conditionalFormatting>
  <conditionalFormatting sqref="F285">
    <cfRule type="beginsWith" dxfId="4741" priority="88" stopIfTrue="1" operator="beginsWith" text="Functioning At Risk">
      <formula>LEFT(F285,LEN("Functioning At Risk"))="Functioning At Risk"</formula>
    </cfRule>
    <cfRule type="beginsWith" dxfId="4740" priority="89" stopIfTrue="1" operator="beginsWith" text="Not Functioning">
      <formula>LEFT(F285,LEN("Not Functioning"))="Not Functioning"</formula>
    </cfRule>
    <cfRule type="containsText" dxfId="4739" priority="90" operator="containsText" text="Functioning">
      <formula>NOT(ISERROR(SEARCH("Functioning",F285)))</formula>
    </cfRule>
  </conditionalFormatting>
  <conditionalFormatting sqref="F300">
    <cfRule type="beginsWith" dxfId="4738" priority="85" stopIfTrue="1" operator="beginsWith" text="Functioning At Risk">
      <formula>LEFT(F300,LEN("Functioning At Risk"))="Functioning At Risk"</formula>
    </cfRule>
    <cfRule type="beginsWith" dxfId="4737" priority="86" stopIfTrue="1" operator="beginsWith" text="Not Functioning">
      <formula>LEFT(F300,LEN("Not Functioning"))="Not Functioning"</formula>
    </cfRule>
    <cfRule type="containsText" dxfId="4736" priority="87" operator="containsText" text="Functioning">
      <formula>NOT(ISERROR(SEARCH("Functioning",F300)))</formula>
    </cfRule>
  </conditionalFormatting>
  <conditionalFormatting sqref="F297">
    <cfRule type="beginsWith" dxfId="4735" priority="82" stopIfTrue="1" operator="beginsWith" text="Functioning At Risk">
      <formula>LEFT(F297,LEN("Functioning At Risk"))="Functioning At Risk"</formula>
    </cfRule>
    <cfRule type="beginsWith" dxfId="4734" priority="83" stopIfTrue="1" operator="beginsWith" text="Not Functioning">
      <formula>LEFT(F297,LEN("Not Functioning"))="Not Functioning"</formula>
    </cfRule>
    <cfRule type="containsText" dxfId="4733" priority="84" operator="containsText" text="Functioning">
      <formula>NOT(ISERROR(SEARCH("Functioning",F297)))</formula>
    </cfRule>
  </conditionalFormatting>
  <conditionalFormatting sqref="F343 F320:F321 F328:F331">
    <cfRule type="beginsWith" dxfId="4732" priority="79" stopIfTrue="1" operator="beginsWith" text="Functioning At Risk">
      <formula>LEFT(F320,LEN("Functioning At Risk"))="Functioning At Risk"</formula>
    </cfRule>
    <cfRule type="beginsWith" dxfId="4731" priority="80" stopIfTrue="1" operator="beginsWith" text="Not Functioning">
      <formula>LEFT(F320,LEN("Not Functioning"))="Not Functioning"</formula>
    </cfRule>
    <cfRule type="containsText" dxfId="4730" priority="81" operator="containsText" text="Functioning">
      <formula>NOT(ISERROR(SEARCH("Functioning",F320)))</formula>
    </cfRule>
  </conditionalFormatting>
  <conditionalFormatting sqref="F332:F333">
    <cfRule type="beginsWith" dxfId="4729" priority="76" stopIfTrue="1" operator="beginsWith" text="Functioning At Risk">
      <formula>LEFT(F332,LEN("Functioning At Risk"))="Functioning At Risk"</formula>
    </cfRule>
    <cfRule type="beginsWith" dxfId="4728" priority="77" stopIfTrue="1" operator="beginsWith" text="Not Functioning">
      <formula>LEFT(F332,LEN("Not Functioning"))="Not Functioning"</formula>
    </cfRule>
    <cfRule type="containsText" dxfId="4727" priority="78" operator="containsText" text="Functioning">
      <formula>NOT(ISERROR(SEARCH("Functioning",F332)))</formula>
    </cfRule>
  </conditionalFormatting>
  <conditionalFormatting sqref="F352:F353">
    <cfRule type="beginsWith" dxfId="4726" priority="73" stopIfTrue="1" operator="beginsWith" text="Functioning At Risk">
      <formula>LEFT(F352,LEN("Functioning At Risk"))="Functioning At Risk"</formula>
    </cfRule>
    <cfRule type="beginsWith" dxfId="4725" priority="74" stopIfTrue="1" operator="beginsWith" text="Not Functioning">
      <formula>LEFT(F352,LEN("Not Functioning"))="Not Functioning"</formula>
    </cfRule>
    <cfRule type="containsText" dxfId="4724" priority="75" operator="containsText" text="Functioning">
      <formula>NOT(ISERROR(SEARCH("Functioning",F352)))</formula>
    </cfRule>
  </conditionalFormatting>
  <conditionalFormatting sqref="F348:F351">
    <cfRule type="beginsWith" dxfId="4723" priority="70" stopIfTrue="1" operator="beginsWith" text="Functioning At Risk">
      <formula>LEFT(F348,LEN("Functioning At Risk"))="Functioning At Risk"</formula>
    </cfRule>
    <cfRule type="beginsWith" dxfId="4722" priority="71" stopIfTrue="1" operator="beginsWith" text="Not Functioning">
      <formula>LEFT(F348,LEN("Not Functioning"))="Not Functioning"</formula>
    </cfRule>
    <cfRule type="containsText" dxfId="4721" priority="72" operator="containsText" text="Functioning">
      <formula>NOT(ISERROR(SEARCH("Functioning",F348)))</formula>
    </cfRule>
  </conditionalFormatting>
  <conditionalFormatting sqref="F336">
    <cfRule type="beginsWith" dxfId="4720" priority="67" stopIfTrue="1" operator="beginsWith" text="Functioning At Risk">
      <formula>LEFT(F336,LEN("Functioning At Risk"))="Functioning At Risk"</formula>
    </cfRule>
    <cfRule type="beginsWith" dxfId="4719" priority="68" stopIfTrue="1" operator="beginsWith" text="Not Functioning">
      <formula>LEFT(F336,LEN("Not Functioning"))="Not Functioning"</formula>
    </cfRule>
    <cfRule type="containsText" dxfId="4718" priority="69" operator="containsText" text="Functioning">
      <formula>NOT(ISERROR(SEARCH("Functioning",F336)))</formula>
    </cfRule>
  </conditionalFormatting>
  <conditionalFormatting sqref="F322:F323">
    <cfRule type="beginsWith" dxfId="4717" priority="64" stopIfTrue="1" operator="beginsWith" text="Functioning At Risk">
      <formula>LEFT(F322,LEN("Functioning At Risk"))="Functioning At Risk"</formula>
    </cfRule>
    <cfRule type="beginsWith" dxfId="4716" priority="65" stopIfTrue="1" operator="beginsWith" text="Not Functioning">
      <formula>LEFT(F322,LEN("Not Functioning"))="Not Functioning"</formula>
    </cfRule>
    <cfRule type="containsText" dxfId="4715" priority="66" operator="containsText" text="Functioning">
      <formula>NOT(ISERROR(SEARCH("Functioning",F322)))</formula>
    </cfRule>
  </conditionalFormatting>
  <conditionalFormatting sqref="F325">
    <cfRule type="beginsWith" dxfId="4714" priority="61" stopIfTrue="1" operator="beginsWith" text="Functioning At Risk">
      <formula>LEFT(F325,LEN("Functioning At Risk"))="Functioning At Risk"</formula>
    </cfRule>
    <cfRule type="beginsWith" dxfId="4713" priority="62" stopIfTrue="1" operator="beginsWith" text="Not Functioning">
      <formula>LEFT(F325,LEN("Not Functioning"))="Not Functioning"</formula>
    </cfRule>
    <cfRule type="containsText" dxfId="4712" priority="63" operator="containsText" text="Functioning">
      <formula>NOT(ISERROR(SEARCH("Functioning",F325)))</formula>
    </cfRule>
  </conditionalFormatting>
  <conditionalFormatting sqref="F340">
    <cfRule type="beginsWith" dxfId="4711" priority="58" stopIfTrue="1" operator="beginsWith" text="Functioning At Risk">
      <formula>LEFT(F340,LEN("Functioning At Risk"))="Functioning At Risk"</formula>
    </cfRule>
    <cfRule type="beginsWith" dxfId="4710" priority="59" stopIfTrue="1" operator="beginsWith" text="Not Functioning">
      <formula>LEFT(F340,LEN("Not Functioning"))="Not Functioning"</formula>
    </cfRule>
    <cfRule type="containsText" dxfId="4709" priority="60" operator="containsText" text="Functioning">
      <formula>NOT(ISERROR(SEARCH("Functioning",F340)))</formula>
    </cfRule>
  </conditionalFormatting>
  <conditionalFormatting sqref="F337">
    <cfRule type="beginsWith" dxfId="4708" priority="55" stopIfTrue="1" operator="beginsWith" text="Functioning At Risk">
      <formula>LEFT(F337,LEN("Functioning At Risk"))="Functioning At Risk"</formula>
    </cfRule>
    <cfRule type="beginsWith" dxfId="4707" priority="56" stopIfTrue="1" operator="beginsWith" text="Not Functioning">
      <formula>LEFT(F337,LEN("Not Functioning"))="Not Functioning"</formula>
    </cfRule>
    <cfRule type="containsText" dxfId="4706" priority="57" operator="containsText" text="Functioning">
      <formula>NOT(ISERROR(SEARCH("Functioning",F337)))</formula>
    </cfRule>
  </conditionalFormatting>
  <conditionalFormatting sqref="F383 F360:F361 F368:F371">
    <cfRule type="beginsWith" dxfId="4705" priority="52" stopIfTrue="1" operator="beginsWith" text="Functioning At Risk">
      <formula>LEFT(F360,LEN("Functioning At Risk"))="Functioning At Risk"</formula>
    </cfRule>
    <cfRule type="beginsWith" dxfId="4704" priority="53" stopIfTrue="1" operator="beginsWith" text="Not Functioning">
      <formula>LEFT(F360,LEN("Not Functioning"))="Not Functioning"</formula>
    </cfRule>
    <cfRule type="containsText" dxfId="4703" priority="54" operator="containsText" text="Functioning">
      <formula>NOT(ISERROR(SEARCH("Functioning",F360)))</formula>
    </cfRule>
  </conditionalFormatting>
  <conditionalFormatting sqref="F372:F373">
    <cfRule type="beginsWith" dxfId="4702" priority="49" stopIfTrue="1" operator="beginsWith" text="Functioning At Risk">
      <formula>LEFT(F372,LEN("Functioning At Risk"))="Functioning At Risk"</formula>
    </cfRule>
    <cfRule type="beginsWith" dxfId="4701" priority="50" stopIfTrue="1" operator="beginsWith" text="Not Functioning">
      <formula>LEFT(F372,LEN("Not Functioning"))="Not Functioning"</formula>
    </cfRule>
    <cfRule type="containsText" dxfId="4700" priority="51" operator="containsText" text="Functioning">
      <formula>NOT(ISERROR(SEARCH("Functioning",F372)))</formula>
    </cfRule>
  </conditionalFormatting>
  <conditionalFormatting sqref="F392:F393">
    <cfRule type="beginsWith" dxfId="4699" priority="46" stopIfTrue="1" operator="beginsWith" text="Functioning At Risk">
      <formula>LEFT(F392,LEN("Functioning At Risk"))="Functioning At Risk"</formula>
    </cfRule>
    <cfRule type="beginsWith" dxfId="4698" priority="47" stopIfTrue="1" operator="beginsWith" text="Not Functioning">
      <formula>LEFT(F392,LEN("Not Functioning"))="Not Functioning"</formula>
    </cfRule>
    <cfRule type="containsText" dxfId="4697" priority="48" operator="containsText" text="Functioning">
      <formula>NOT(ISERROR(SEARCH("Functioning",F392)))</formula>
    </cfRule>
  </conditionalFormatting>
  <conditionalFormatting sqref="F388:F391">
    <cfRule type="beginsWith" dxfId="4696" priority="43" stopIfTrue="1" operator="beginsWith" text="Functioning At Risk">
      <formula>LEFT(F388,LEN("Functioning At Risk"))="Functioning At Risk"</formula>
    </cfRule>
    <cfRule type="beginsWith" dxfId="4695" priority="44" stopIfTrue="1" operator="beginsWith" text="Not Functioning">
      <formula>LEFT(F388,LEN("Not Functioning"))="Not Functioning"</formula>
    </cfRule>
    <cfRule type="containsText" dxfId="4694" priority="45" operator="containsText" text="Functioning">
      <formula>NOT(ISERROR(SEARCH("Functioning",F388)))</formula>
    </cfRule>
  </conditionalFormatting>
  <conditionalFormatting sqref="F376">
    <cfRule type="beginsWith" dxfId="4693" priority="40" stopIfTrue="1" operator="beginsWith" text="Functioning At Risk">
      <formula>LEFT(F376,LEN("Functioning At Risk"))="Functioning At Risk"</formula>
    </cfRule>
    <cfRule type="beginsWith" dxfId="4692" priority="41" stopIfTrue="1" operator="beginsWith" text="Not Functioning">
      <formula>LEFT(F376,LEN("Not Functioning"))="Not Functioning"</formula>
    </cfRule>
    <cfRule type="containsText" dxfId="4691" priority="42" operator="containsText" text="Functioning">
      <formula>NOT(ISERROR(SEARCH("Functioning",F376)))</formula>
    </cfRule>
  </conditionalFormatting>
  <conditionalFormatting sqref="F362:F363">
    <cfRule type="beginsWith" dxfId="4690" priority="37" stopIfTrue="1" operator="beginsWith" text="Functioning At Risk">
      <formula>LEFT(F362,LEN("Functioning At Risk"))="Functioning At Risk"</formula>
    </cfRule>
    <cfRule type="beginsWith" dxfId="4689" priority="38" stopIfTrue="1" operator="beginsWith" text="Not Functioning">
      <formula>LEFT(F362,LEN("Not Functioning"))="Not Functioning"</formula>
    </cfRule>
    <cfRule type="containsText" dxfId="4688" priority="39" operator="containsText" text="Functioning">
      <formula>NOT(ISERROR(SEARCH("Functioning",F362)))</formula>
    </cfRule>
  </conditionalFormatting>
  <conditionalFormatting sqref="F365">
    <cfRule type="beginsWith" dxfId="4687" priority="34" stopIfTrue="1" operator="beginsWith" text="Functioning At Risk">
      <formula>LEFT(F365,LEN("Functioning At Risk"))="Functioning At Risk"</formula>
    </cfRule>
    <cfRule type="beginsWith" dxfId="4686" priority="35" stopIfTrue="1" operator="beginsWith" text="Not Functioning">
      <formula>LEFT(F365,LEN("Not Functioning"))="Not Functioning"</formula>
    </cfRule>
    <cfRule type="containsText" dxfId="4685" priority="36" operator="containsText" text="Functioning">
      <formula>NOT(ISERROR(SEARCH("Functioning",F365)))</formula>
    </cfRule>
  </conditionalFormatting>
  <conditionalFormatting sqref="F380">
    <cfRule type="beginsWith" dxfId="4684" priority="31" stopIfTrue="1" operator="beginsWith" text="Functioning At Risk">
      <formula>LEFT(F380,LEN("Functioning At Risk"))="Functioning At Risk"</formula>
    </cfRule>
    <cfRule type="beginsWith" dxfId="4683" priority="32" stopIfTrue="1" operator="beginsWith" text="Not Functioning">
      <formula>LEFT(F380,LEN("Not Functioning"))="Not Functioning"</formula>
    </cfRule>
    <cfRule type="containsText" dxfId="4682" priority="33" operator="containsText" text="Functioning">
      <formula>NOT(ISERROR(SEARCH("Functioning",F380)))</formula>
    </cfRule>
  </conditionalFormatting>
  <conditionalFormatting sqref="F377">
    <cfRule type="beginsWith" dxfId="4681" priority="28" stopIfTrue="1" operator="beginsWith" text="Functioning At Risk">
      <formula>LEFT(F377,LEN("Functioning At Risk"))="Functioning At Risk"</formula>
    </cfRule>
    <cfRule type="beginsWith" dxfId="4680" priority="29" stopIfTrue="1" operator="beginsWith" text="Not Functioning">
      <formula>LEFT(F377,LEN("Not Functioning"))="Not Functioning"</formula>
    </cfRule>
    <cfRule type="containsText" dxfId="4679" priority="30" operator="containsText" text="Functioning">
      <formula>NOT(ISERROR(SEARCH("Functioning",F377)))</formula>
    </cfRule>
  </conditionalFormatting>
  <conditionalFormatting sqref="F423 F400:F401 F408:F411">
    <cfRule type="beginsWith" dxfId="4678" priority="25" stopIfTrue="1" operator="beginsWith" text="Functioning At Risk">
      <formula>LEFT(F400,LEN("Functioning At Risk"))="Functioning At Risk"</formula>
    </cfRule>
    <cfRule type="beginsWith" dxfId="4677" priority="26" stopIfTrue="1" operator="beginsWith" text="Not Functioning">
      <formula>LEFT(F400,LEN("Not Functioning"))="Not Functioning"</formula>
    </cfRule>
    <cfRule type="containsText" dxfId="4676" priority="27" operator="containsText" text="Functioning">
      <formula>NOT(ISERROR(SEARCH("Functioning",F400)))</formula>
    </cfRule>
  </conditionalFormatting>
  <conditionalFormatting sqref="F412:F413">
    <cfRule type="beginsWith" dxfId="4675" priority="22" stopIfTrue="1" operator="beginsWith" text="Functioning At Risk">
      <formula>LEFT(F412,LEN("Functioning At Risk"))="Functioning At Risk"</formula>
    </cfRule>
    <cfRule type="beginsWith" dxfId="4674" priority="23" stopIfTrue="1" operator="beginsWith" text="Not Functioning">
      <formula>LEFT(F412,LEN("Not Functioning"))="Not Functioning"</formula>
    </cfRule>
    <cfRule type="containsText" dxfId="4673" priority="24" operator="containsText" text="Functioning">
      <formula>NOT(ISERROR(SEARCH("Functioning",F412)))</formula>
    </cfRule>
  </conditionalFormatting>
  <conditionalFormatting sqref="F432:F433">
    <cfRule type="beginsWith" dxfId="4672" priority="19" stopIfTrue="1" operator="beginsWith" text="Functioning At Risk">
      <formula>LEFT(F432,LEN("Functioning At Risk"))="Functioning At Risk"</formula>
    </cfRule>
    <cfRule type="beginsWith" dxfId="4671" priority="20" stopIfTrue="1" operator="beginsWith" text="Not Functioning">
      <formula>LEFT(F432,LEN("Not Functioning"))="Not Functioning"</formula>
    </cfRule>
    <cfRule type="containsText" dxfId="4670" priority="21" operator="containsText" text="Functioning">
      <formula>NOT(ISERROR(SEARCH("Functioning",F432)))</formula>
    </cfRule>
  </conditionalFormatting>
  <conditionalFormatting sqref="F428:F431">
    <cfRule type="beginsWith" dxfId="4669" priority="16" stopIfTrue="1" operator="beginsWith" text="Functioning At Risk">
      <formula>LEFT(F428,LEN("Functioning At Risk"))="Functioning At Risk"</formula>
    </cfRule>
    <cfRule type="beginsWith" dxfId="4668" priority="17" stopIfTrue="1" operator="beginsWith" text="Not Functioning">
      <formula>LEFT(F428,LEN("Not Functioning"))="Not Functioning"</formula>
    </cfRule>
    <cfRule type="containsText" dxfId="4667" priority="18" operator="containsText" text="Functioning">
      <formula>NOT(ISERROR(SEARCH("Functioning",F428)))</formula>
    </cfRule>
  </conditionalFormatting>
  <conditionalFormatting sqref="F416">
    <cfRule type="beginsWith" dxfId="4666" priority="13" stopIfTrue="1" operator="beginsWith" text="Functioning At Risk">
      <formula>LEFT(F416,LEN("Functioning At Risk"))="Functioning At Risk"</formula>
    </cfRule>
    <cfRule type="beginsWith" dxfId="4665" priority="14" stopIfTrue="1" operator="beginsWith" text="Not Functioning">
      <formula>LEFT(F416,LEN("Not Functioning"))="Not Functioning"</formula>
    </cfRule>
    <cfRule type="containsText" dxfId="4664" priority="15" operator="containsText" text="Functioning">
      <formula>NOT(ISERROR(SEARCH("Functioning",F416)))</formula>
    </cfRule>
  </conditionalFormatting>
  <conditionalFormatting sqref="F402:F403">
    <cfRule type="beginsWith" dxfId="4663" priority="10" stopIfTrue="1" operator="beginsWith" text="Functioning At Risk">
      <formula>LEFT(F402,LEN("Functioning At Risk"))="Functioning At Risk"</formula>
    </cfRule>
    <cfRule type="beginsWith" dxfId="4662" priority="11" stopIfTrue="1" operator="beginsWith" text="Not Functioning">
      <formula>LEFT(F402,LEN("Not Functioning"))="Not Functioning"</formula>
    </cfRule>
    <cfRule type="containsText" dxfId="4661" priority="12" operator="containsText" text="Functioning">
      <formula>NOT(ISERROR(SEARCH("Functioning",F402)))</formula>
    </cfRule>
  </conditionalFormatting>
  <conditionalFormatting sqref="F405">
    <cfRule type="beginsWith" dxfId="4660" priority="7" stopIfTrue="1" operator="beginsWith" text="Functioning At Risk">
      <formula>LEFT(F405,LEN("Functioning At Risk"))="Functioning At Risk"</formula>
    </cfRule>
    <cfRule type="beginsWith" dxfId="4659" priority="8" stopIfTrue="1" operator="beginsWith" text="Not Functioning">
      <formula>LEFT(F405,LEN("Not Functioning"))="Not Functioning"</formula>
    </cfRule>
    <cfRule type="containsText" dxfId="4658" priority="9" operator="containsText" text="Functioning">
      <formula>NOT(ISERROR(SEARCH("Functioning",F405)))</formula>
    </cfRule>
  </conditionalFormatting>
  <conditionalFormatting sqref="F420">
    <cfRule type="beginsWith" dxfId="4657" priority="4" stopIfTrue="1" operator="beginsWith" text="Functioning At Risk">
      <formula>LEFT(F420,LEN("Functioning At Risk"))="Functioning At Risk"</formula>
    </cfRule>
    <cfRule type="beginsWith" dxfId="4656" priority="5" stopIfTrue="1" operator="beginsWith" text="Not Functioning">
      <formula>LEFT(F420,LEN("Not Functioning"))="Not Functioning"</formula>
    </cfRule>
    <cfRule type="containsText" dxfId="4655" priority="6" operator="containsText" text="Functioning">
      <formula>NOT(ISERROR(SEARCH("Functioning",F420)))</formula>
    </cfRule>
  </conditionalFormatting>
  <conditionalFormatting sqref="F417">
    <cfRule type="beginsWith" dxfId="4654" priority="1" stopIfTrue="1" operator="beginsWith" text="Functioning At Risk">
      <formula>LEFT(F417,LEN("Functioning At Risk"))="Functioning At Risk"</formula>
    </cfRule>
    <cfRule type="beginsWith" dxfId="4653" priority="2" stopIfTrue="1" operator="beginsWith" text="Not Functioning">
      <formula>LEFT(F417,LEN("Not Functioning"))="Not Functioning"</formula>
    </cfRule>
    <cfRule type="containsText" dxfId="4652" priority="3" operator="containsText" text="Functioning">
      <formula>NOT(ISERROR(SEARCH("Functioning",F417)))</formula>
    </cfRule>
  </conditionalFormatting>
  <dataValidations count="11">
    <dataValidation allowBlank="1" showErrorMessage="1" prompt="The user should input a value for either basal area or density, not both. " sqref="E60:E61 E376:E377 E336:E337 E296:E297 E256:E257 E216:E217 E177:E178 E138:E139 E99:E100 E416:E417 E21:E22"/>
    <dataValidation type="decimal" allowBlank="1" showErrorMessage="1" prompt="The user should input a value for either basal area or density, not both. " sqref="E372:E375 E332:E335 E292:E295 E252:E255 E212:E215 E173:E176 E134:E137 E95:E98 E56:E59 E412:E415 E17:E20">
      <formula1>0</formula1>
      <formula2>5280</formula2>
    </dataValidation>
    <dataValidation allowBlank="1" showErrorMessage="1" prompt="The user can only input a value for either leaf litter processing rate or shredders for organic matter, not both. " sqref="E30 E69 E108 E147 E186 E225 E265 E305 E345 E385 E425"/>
    <dataValidation allowBlank="1" showErrorMessage="1" sqref="E23 E378 E62 E101 E140 E179 E218 E258 E298 E338 E418 E407 E367 E327 E287 E247 E207 E168 E129 E90 E51 E12"/>
    <dataValidation type="list" allowBlank="1" showInputMessage="1" showErrorMessage="1" prompt="Select the dominant BEHI/NBS.  _x000a_If erosion rate was measured select blank. The user should only input a value for either BEHI/NBS or Erosion Rate, not both. " sqref="E405 E49 E88 E127 E166 E205 E245 E285 E325 E365 E10">
      <formula1>BEHI.NBS</formula1>
    </dataValidation>
    <dataValidation allowBlank="1" showInputMessage="1" showErrorMessage="1" prompt="The user should input a value for either BEHI/NBS or Erosion Rate, not both. " sqref="E404 E48 E87 E126 E165 E204 E244 E284 E324 E364 E9"/>
    <dataValidation allowBlank="1" showInputMessage="1" showErrorMessage="1" prompt="This measurement method should be used in combination with either Erosion Rate or Dominant BEHI/NBS." sqref="E406 E50 E89 E128 E167 E206 E246 E286 E326 E366 E11"/>
    <dataValidation type="decimal" allowBlank="1" showInputMessage="1" showErrorMessage="1" sqref="E248:E251 E288:E291 E368:E371 E13:E16 E52:E55 E91:E94 E130:E133 E169:E172 E208:E211 E328:E331 E408:E411">
      <formula1>0</formula1>
      <formula2>5280</formula2>
    </dataValidation>
    <dataValidation allowBlank="1" showErrorMessage="1" prompt="Select catchment conditon level from the completed catchment assessment form. " sqref="E398:E399 E42:E43 E81:E82 E120:E121 E159:E160 E198:E199 E238:E239 E278:E279 E318:E319 E358:E359 E3:E4"/>
    <dataValidation allowBlank="1" showInputMessage="1" showErrorMessage="1" prompt="The user should not input values for all 4 measurement methods. If the user is not using TMI, then the remaining 3 measurement methods should be used together." sqref="E72:E75 E111:E114 E150:E153 E189:E192 E228:E231 E268:E271 E308:E311 E348:E351 E388:E391 E428:E431"/>
    <dataValidation allowBlank="1" showInputMessage="1" showErrorMessage="1" prompt="The user should only input a value for either LWDI or # Pieces, not both. " sqref="E7:E8 E46:E47 E85:E86 E124:E125 E163:E164 E202:E203 E242:E243 E282:E283 E322:E323 E362:E363 E402:E403"/>
  </dataValidations>
  <pageMargins left="0.25" right="0.25" top="0.75" bottom="0.75" header="0.3" footer="0.3"/>
  <pageSetup paperSize="3" fitToWidth="0" fitToHeight="0" orientation="landscape" r:id="rId1"/>
  <headerFooter>
    <oddHeader>&amp;C&amp;"-,Bold"TN SQT v1.0
Monitoring Data Spreadsheet Reach 3</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extLst>
    <ext xmlns:x14="http://schemas.microsoft.com/office/spreadsheetml/2009/9/main" uri="{78C0D931-6437-407d-A8EE-F0AAD7539E65}">
      <x14:conditionalFormattings>
        <x14:conditionalFormatting xmlns:xm="http://schemas.microsoft.com/office/excel/2006/main">
          <x14:cfRule type="beginsWith" priority="901" stopIfTrue="1" operator="beginsWith" text="Functioning At Risk" id="{C8ECF449-1A55-436F-92CE-6DAF516CB3CA}">
            <xm:f>LEFT('Monitoring Data R2'!H39,LEN("Functioning At Risk"))="Functioning At Risk"</xm:f>
            <x14:dxf>
              <fill>
                <patternFill>
                  <bgColor rgb="FFFFFF00"/>
                </patternFill>
              </fill>
            </x14:dxf>
          </x14:cfRule>
          <x14:cfRule type="beginsWith" priority="902" stopIfTrue="1" operator="beginsWith" text="Not Functioning" id="{F3B2BACA-B96A-4AD8-A339-AB0ED6B59199}">
            <xm:f>LEFT('Monitoring Data R2'!H39,LEN("Not Functioning"))="Not Functioning"</xm:f>
            <x14:dxf>
              <font>
                <strike val="0"/>
                <color auto="1"/>
              </font>
              <fill>
                <patternFill patternType="solid">
                  <bgColor rgb="FFFF0000"/>
                </patternFill>
              </fill>
            </x14:dxf>
          </x14:cfRule>
          <x14:cfRule type="containsText" priority="903" operator="containsText" text="Functioning" id="{334D1B44-27FE-4C3F-8F70-217EF0EB079F}">
            <xm:f>NOT(ISERROR(SEARCH("Functioning",'Monitoring Data R2'!H39)))</xm:f>
            <x14:dxf>
              <fill>
                <patternFill>
                  <bgColor rgb="FF00B050"/>
                </patternFill>
              </fill>
            </x14:dxf>
          </x14:cfRule>
          <xm:sqref>H39:K39</xm:sqref>
        </x14:conditionalFormatting>
        <x14:conditionalFormatting xmlns:xm="http://schemas.microsoft.com/office/excel/2006/main">
          <x14:cfRule type="expression" priority="559" id="{5D570CAC-65B3-4103-A256-EAC8315B14ED}">
            <xm:f>'Quantification Tool R3'!$B$18="Ephemeral"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5"/>
  <sheetViews>
    <sheetView zoomScale="70" zoomScaleNormal="70" zoomScalePageLayoutView="70" workbookViewId="0"/>
  </sheetViews>
  <sheetFormatPr defaultColWidth="9.109375" defaultRowHeight="14.4" x14ac:dyDescent="0.3"/>
  <cols>
    <col min="1" max="1" width="19.6640625" style="14" bestFit="1" customWidth="1"/>
    <col min="2" max="2" width="28" style="14" customWidth="1"/>
    <col min="3" max="3" width="14.6640625" style="14" customWidth="1"/>
    <col min="4" max="4" width="14.33203125" style="14" customWidth="1"/>
    <col min="5" max="5" width="10.33203125" style="14" customWidth="1"/>
    <col min="6" max="15" width="10.6640625" style="14" customWidth="1"/>
    <col min="16" max="16384" width="9.109375" style="14"/>
  </cols>
  <sheetData>
    <row r="2" spans="1:15" ht="21" x14ac:dyDescent="0.3">
      <c r="A2" s="625" t="s">
        <v>118</v>
      </c>
      <c r="B2" s="626"/>
      <c r="C2" s="626"/>
      <c r="D2" s="626"/>
      <c r="E2" s="626"/>
      <c r="F2" s="626"/>
      <c r="G2" s="626"/>
      <c r="H2" s="626"/>
      <c r="I2" s="626"/>
      <c r="J2" s="626"/>
      <c r="K2" s="626"/>
      <c r="L2" s="626"/>
      <c r="M2" s="626"/>
      <c r="N2" s="626"/>
      <c r="O2" s="627"/>
    </row>
    <row r="3" spans="1:15" ht="18" x14ac:dyDescent="0.3">
      <c r="A3" s="648" t="s">
        <v>1</v>
      </c>
      <c r="B3" s="648" t="s">
        <v>2</v>
      </c>
      <c r="C3" s="653" t="s">
        <v>66</v>
      </c>
      <c r="D3" s="653" t="s">
        <v>67</v>
      </c>
      <c r="E3" s="648" t="s">
        <v>132</v>
      </c>
      <c r="F3" s="650" t="s">
        <v>135</v>
      </c>
      <c r="G3" s="651"/>
      <c r="H3" s="651"/>
      <c r="I3" s="651"/>
      <c r="J3" s="651"/>
      <c r="K3" s="651"/>
      <c r="L3" s="651"/>
      <c r="M3" s="651"/>
      <c r="N3" s="651"/>
      <c r="O3" s="652"/>
    </row>
    <row r="4" spans="1:15" ht="18" x14ac:dyDescent="0.3">
      <c r="A4" s="649"/>
      <c r="B4" s="649"/>
      <c r="C4" s="654"/>
      <c r="D4" s="654"/>
      <c r="E4" s="649"/>
      <c r="F4" s="304" t="e">
        <f>IF('Monitoring Data R3'!B40="",#N/A,'Monitoring Data R3'!B40)</f>
        <v>#N/A</v>
      </c>
      <c r="G4" s="304" t="e">
        <f>IF('Monitoring Data R3'!B79="",#N/A,'Monitoring Data R3'!B79)</f>
        <v>#N/A</v>
      </c>
      <c r="H4" s="304" t="e">
        <f>IF('Monitoring Data R3'!B118="",#N/A,'Monitoring Data R3'!B118)</f>
        <v>#N/A</v>
      </c>
      <c r="I4" s="304" t="e">
        <f>IF('Monitoring Data R3'!B157="",#N/A,'Monitoring Data R3'!B157)</f>
        <v>#N/A</v>
      </c>
      <c r="J4" s="304" t="e">
        <f>IF('Monitoring Data R3'!B196="",#N/A,'Monitoring Data R3'!B196)</f>
        <v>#N/A</v>
      </c>
      <c r="K4" s="304" t="e">
        <f>IF('Monitoring Data R3'!B236="",#N/A,'Monitoring Data R3'!B236)</f>
        <v>#N/A</v>
      </c>
      <c r="L4" s="304" t="e">
        <f>IF('Monitoring Data R3'!B276="",#N/A,'Monitoring Data R3'!B276)</f>
        <v>#N/A</v>
      </c>
      <c r="M4" s="304" t="e">
        <f>IF('Monitoring Data R3'!B316="",#N/A,'Monitoring Data R3'!B316)</f>
        <v>#N/A</v>
      </c>
      <c r="N4" s="304" t="e">
        <f>IF('Monitoring Data R3'!B356="",#N/A,'Monitoring Data R3'!B356)</f>
        <v>#N/A</v>
      </c>
      <c r="O4" s="304" t="e">
        <f>IF('Monitoring Data R3'!B396="",#N/A,'Monitoring Data R3'!B396)</f>
        <v>#N/A</v>
      </c>
    </row>
    <row r="5" spans="1:15" ht="15.6" x14ac:dyDescent="0.3">
      <c r="A5" s="540" t="s">
        <v>60</v>
      </c>
      <c r="B5" s="75" t="s">
        <v>86</v>
      </c>
      <c r="C5" s="149" t="str">
        <f>'Quantification Tool R3'!C27</f>
        <v/>
      </c>
      <c r="D5" s="149" t="str">
        <f>'Quantification Tool R3'!D27</f>
        <v/>
      </c>
      <c r="E5" s="48" t="str">
        <f>'Monitoring Data R3'!G3</f>
        <v/>
      </c>
      <c r="F5" s="48" t="str">
        <f>'Monitoring Data R3'!G42</f>
        <v/>
      </c>
      <c r="G5" s="48" t="str">
        <f>'Monitoring Data R3'!G81</f>
        <v/>
      </c>
      <c r="H5" s="48" t="str">
        <f>'Monitoring Data R3'!G120</f>
        <v/>
      </c>
      <c r="I5" s="48" t="str">
        <f>'Monitoring Data R3'!G159</f>
        <v/>
      </c>
      <c r="J5" s="48" t="str">
        <f>'Monitoring Data R3'!G198</f>
        <v/>
      </c>
      <c r="K5" s="48" t="str">
        <f>'Monitoring Data R3'!G238</f>
        <v/>
      </c>
      <c r="L5" s="48" t="str">
        <f>'Monitoring Data R3'!G278</f>
        <v/>
      </c>
      <c r="M5" s="48" t="str">
        <f>'Monitoring Data R3'!G318</f>
        <v/>
      </c>
      <c r="N5" s="48" t="str">
        <f>'Monitoring Data R3'!G358</f>
        <v/>
      </c>
      <c r="O5" s="48" t="str">
        <f>'Monitoring Data R3'!G398</f>
        <v/>
      </c>
    </row>
    <row r="6" spans="1:15" ht="15.6" x14ac:dyDescent="0.3">
      <c r="A6" s="541"/>
      <c r="B6" s="75" t="s">
        <v>128</v>
      </c>
      <c r="C6" s="149" t="str">
        <f>'Quantification Tool R3'!C28</f>
        <v/>
      </c>
      <c r="D6" s="149" t="str">
        <f>'Quantification Tool R3'!D28</f>
        <v/>
      </c>
      <c r="E6" s="48" t="str">
        <f>'Monitoring Data R3'!G4</f>
        <v/>
      </c>
      <c r="F6" s="48" t="str">
        <f>'Monitoring Data R3'!G43</f>
        <v/>
      </c>
      <c r="G6" s="48" t="str">
        <f>'Monitoring Data R3'!G82</f>
        <v/>
      </c>
      <c r="H6" s="48" t="str">
        <f>'Monitoring Data R3'!G121</f>
        <v/>
      </c>
      <c r="I6" s="48" t="str">
        <f>'Monitoring Data R3'!G160</f>
        <v/>
      </c>
      <c r="J6" s="48" t="str">
        <f>'Monitoring Data R3'!G199</f>
        <v/>
      </c>
      <c r="K6" s="48" t="str">
        <f>'Monitoring Data R3'!G239</f>
        <v/>
      </c>
      <c r="L6" s="48" t="str">
        <f>'Monitoring Data R3'!G279</f>
        <v/>
      </c>
      <c r="M6" s="48" t="str">
        <f>'Monitoring Data R3'!G319</f>
        <v/>
      </c>
      <c r="N6" s="48" t="str">
        <f>'Monitoring Data R3'!G359</f>
        <v/>
      </c>
      <c r="O6" s="48" t="str">
        <f>'Monitoring Data R3'!G399</f>
        <v/>
      </c>
    </row>
    <row r="7" spans="1:15" ht="15.6" x14ac:dyDescent="0.3">
      <c r="A7" s="76" t="s">
        <v>6</v>
      </c>
      <c r="B7" s="76" t="s">
        <v>7</v>
      </c>
      <c r="C7" s="149" t="str">
        <f>'Quantification Tool R3'!C29</f>
        <v/>
      </c>
      <c r="D7" s="149" t="str">
        <f>'Quantification Tool R3'!D29</f>
        <v/>
      </c>
      <c r="E7" s="48" t="str">
        <f>'Monitoring Data R3'!G5</f>
        <v/>
      </c>
      <c r="F7" s="48" t="str">
        <f>'Monitoring Data R3'!G44</f>
        <v/>
      </c>
      <c r="G7" s="48" t="str">
        <f>'Monitoring Data R3'!G83</f>
        <v/>
      </c>
      <c r="H7" s="48" t="str">
        <f>'Monitoring Data R3'!G122</f>
        <v/>
      </c>
      <c r="I7" s="48" t="str">
        <f>'Monitoring Data R3'!G161</f>
        <v/>
      </c>
      <c r="J7" s="48" t="str">
        <f>'Monitoring Data R3'!G200</f>
        <v/>
      </c>
      <c r="K7" s="48" t="str">
        <f>'Monitoring Data R3'!G240</f>
        <v/>
      </c>
      <c r="L7" s="48" t="str">
        <f>'Monitoring Data R3'!G280</f>
        <v/>
      </c>
      <c r="M7" s="48" t="str">
        <f>'Monitoring Data R3'!G320</f>
        <v/>
      </c>
      <c r="N7" s="48" t="str">
        <f>'Monitoring Data R3'!G360</f>
        <v/>
      </c>
      <c r="O7" s="48" t="str">
        <f>'Monitoring Data R3'!G400</f>
        <v/>
      </c>
    </row>
    <row r="8" spans="1:15" ht="15.6" x14ac:dyDescent="0.3">
      <c r="A8" s="526" t="s">
        <v>26</v>
      </c>
      <c r="B8" s="77" t="s">
        <v>27</v>
      </c>
      <c r="C8" s="149" t="str">
        <f>'Quantification Tool R3'!C30</f>
        <v/>
      </c>
      <c r="D8" s="149" t="str">
        <f>'Quantification Tool R3'!D30</f>
        <v/>
      </c>
      <c r="E8" s="48" t="str">
        <f>'Monitoring Data R3'!G7</f>
        <v/>
      </c>
      <c r="F8" s="48" t="str">
        <f>'Monitoring Data R3'!G46</f>
        <v/>
      </c>
      <c r="G8" s="48" t="str">
        <f>'Monitoring Data R3'!G85</f>
        <v/>
      </c>
      <c r="H8" s="48" t="str">
        <f>'Monitoring Data R3'!G124</f>
        <v/>
      </c>
      <c r="I8" s="48" t="str">
        <f>'Monitoring Data R3'!G163</f>
        <v/>
      </c>
      <c r="J8" s="48" t="str">
        <f>'Monitoring Data R3'!G202</f>
        <v/>
      </c>
      <c r="K8" s="48" t="str">
        <f>'Monitoring Data R3'!G242</f>
        <v/>
      </c>
      <c r="L8" s="48" t="str">
        <f>'Monitoring Data R3'!G282</f>
        <v/>
      </c>
      <c r="M8" s="48" t="str">
        <f>'Monitoring Data R3'!G322</f>
        <v/>
      </c>
      <c r="N8" s="48" t="str">
        <f>'Monitoring Data R3'!G362</f>
        <v/>
      </c>
      <c r="O8" s="48" t="str">
        <f>'Monitoring Data R3'!G402</f>
        <v/>
      </c>
    </row>
    <row r="9" spans="1:15" ht="15.6" x14ac:dyDescent="0.3">
      <c r="A9" s="520"/>
      <c r="B9" s="77" t="s">
        <v>395</v>
      </c>
      <c r="C9" s="149" t="str">
        <f>'Quantification Tool R3'!C31</f>
        <v/>
      </c>
      <c r="D9" s="149" t="str">
        <f>'Quantification Tool R3'!D31</f>
        <v/>
      </c>
      <c r="E9" s="48" t="str">
        <f>'Monitoring Data R3'!G9</f>
        <v/>
      </c>
      <c r="F9" s="48" t="str">
        <f>'Monitoring Data R3'!G48</f>
        <v/>
      </c>
      <c r="G9" s="48" t="str">
        <f>'Monitoring Data R3'!G87</f>
        <v/>
      </c>
      <c r="H9" s="48" t="str">
        <f>'Monitoring Data R3'!G126</f>
        <v/>
      </c>
      <c r="I9" s="48" t="str">
        <f>'Monitoring Data R3'!G165</f>
        <v/>
      </c>
      <c r="J9" s="48" t="str">
        <f>'Monitoring Data R3'!G204</f>
        <v/>
      </c>
      <c r="K9" s="48" t="str">
        <f>'Monitoring Data R3'!G244</f>
        <v/>
      </c>
      <c r="L9" s="48" t="str">
        <f>'Monitoring Data R3'!G284</f>
        <v/>
      </c>
      <c r="M9" s="48" t="str">
        <f>'Monitoring Data R3'!G324</f>
        <v/>
      </c>
      <c r="N9" s="48" t="str">
        <f>'Monitoring Data R3'!G364</f>
        <v/>
      </c>
      <c r="O9" s="48" t="str">
        <f>'Monitoring Data R3'!G404</f>
        <v/>
      </c>
    </row>
    <row r="10" spans="1:15" ht="15.6" x14ac:dyDescent="0.3">
      <c r="A10" s="520"/>
      <c r="B10" s="77" t="s">
        <v>50</v>
      </c>
      <c r="C10" s="149" t="str">
        <f>'Quantification Tool R3'!C32</f>
        <v/>
      </c>
      <c r="D10" s="149" t="str">
        <f>'Quantification Tool R3'!D32</f>
        <v/>
      </c>
      <c r="E10" s="48" t="str">
        <f>'Monitoring Data R3'!G13</f>
        <v/>
      </c>
      <c r="F10" s="48" t="str">
        <f>'Monitoring Data R3'!G52</f>
        <v/>
      </c>
      <c r="G10" s="48" t="str">
        <f>'Monitoring Data R3'!G91</f>
        <v/>
      </c>
      <c r="H10" s="48" t="str">
        <f>'Monitoring Data R3'!G130</f>
        <v/>
      </c>
      <c r="I10" s="48" t="str">
        <f>'Monitoring Data R3'!G169</f>
        <v/>
      </c>
      <c r="J10" s="48" t="str">
        <f>'Monitoring Data R3'!G208</f>
        <v/>
      </c>
      <c r="K10" s="48" t="str">
        <f>'Monitoring Data R3'!G248</f>
        <v/>
      </c>
      <c r="L10" s="48" t="str">
        <f>'Monitoring Data R3'!G288</f>
        <v/>
      </c>
      <c r="M10" s="48" t="str">
        <f>'Monitoring Data R3'!G328</f>
        <v/>
      </c>
      <c r="N10" s="48" t="str">
        <f>'Monitoring Data R3'!G368</f>
        <v/>
      </c>
      <c r="O10" s="48" t="str">
        <f>'Monitoring Data R3'!G408</f>
        <v/>
      </c>
    </row>
    <row r="11" spans="1:15" ht="15.6" x14ac:dyDescent="0.3">
      <c r="A11" s="520"/>
      <c r="B11" s="77" t="s">
        <v>108</v>
      </c>
      <c r="C11" s="149" t="str">
        <f>'Quantification Tool R3'!C33</f>
        <v/>
      </c>
      <c r="D11" s="149" t="str">
        <f>'Quantification Tool R3'!D33</f>
        <v/>
      </c>
      <c r="E11" s="48" t="str">
        <f>'Monitoring Data R3'!G23</f>
        <v/>
      </c>
      <c r="F11" s="48" t="str">
        <f>'Monitoring Data R3'!G62</f>
        <v/>
      </c>
      <c r="G11" s="48" t="str">
        <f>'Monitoring Data R3'!G101</f>
        <v/>
      </c>
      <c r="H11" s="48" t="str">
        <f>'Monitoring Data R3'!G140</f>
        <v/>
      </c>
      <c r="I11" s="48" t="str">
        <f>'Monitoring Data R3'!G179</f>
        <v/>
      </c>
      <c r="J11" s="48" t="str">
        <f>'Monitoring Data R3'!G218</f>
        <v/>
      </c>
      <c r="K11" s="48" t="str">
        <f>'Monitoring Data R3'!G258</f>
        <v/>
      </c>
      <c r="L11" s="48" t="str">
        <f>'Monitoring Data R3'!G298</f>
        <v/>
      </c>
      <c r="M11" s="48" t="str">
        <f>'Monitoring Data R3'!G338</f>
        <v/>
      </c>
      <c r="N11" s="48" t="str">
        <f>'Monitoring Data R3'!G378</f>
        <v/>
      </c>
      <c r="O11" s="48" t="str">
        <f>'Monitoring Data R3'!G418</f>
        <v/>
      </c>
    </row>
    <row r="12" spans="1:15" ht="15.6" x14ac:dyDescent="0.3">
      <c r="A12" s="520"/>
      <c r="B12" s="77" t="s">
        <v>51</v>
      </c>
      <c r="C12" s="149" t="str">
        <f>'Quantification Tool R3'!C34</f>
        <v/>
      </c>
      <c r="D12" s="149" t="str">
        <f>'Quantification Tool R3'!D34</f>
        <v/>
      </c>
      <c r="E12" s="48" t="str">
        <f>'Monitoring Data R3'!G24</f>
        <v/>
      </c>
      <c r="F12" s="48" t="str">
        <f>'Monitoring Data R3'!G63</f>
        <v/>
      </c>
      <c r="G12" s="48" t="str">
        <f>'Monitoring Data R3'!G102</f>
        <v/>
      </c>
      <c r="H12" s="48" t="str">
        <f>'Monitoring Data R3'!G141</f>
        <v/>
      </c>
      <c r="I12" s="48" t="str">
        <f>'Monitoring Data R3'!G180</f>
        <v/>
      </c>
      <c r="J12" s="48" t="str">
        <f>'Monitoring Data R3'!G219</f>
        <v/>
      </c>
      <c r="K12" s="48" t="str">
        <f>'Monitoring Data R3'!G259</f>
        <v/>
      </c>
      <c r="L12" s="48" t="str">
        <f>'Monitoring Data R3'!G299</f>
        <v/>
      </c>
      <c r="M12" s="48" t="str">
        <f>'Monitoring Data R3'!G339</f>
        <v/>
      </c>
      <c r="N12" s="48" t="str">
        <f>'Monitoring Data R3'!G379</f>
        <v/>
      </c>
      <c r="O12" s="48" t="str">
        <f>'Monitoring Data R3'!G419</f>
        <v/>
      </c>
    </row>
    <row r="13" spans="1:15" ht="15.6" x14ac:dyDescent="0.3">
      <c r="A13" s="521"/>
      <c r="B13" s="77" t="s">
        <v>55</v>
      </c>
      <c r="C13" s="149" t="str">
        <f>'Quantification Tool R3'!C35</f>
        <v/>
      </c>
      <c r="D13" s="149" t="str">
        <f>'Quantification Tool R3'!D35</f>
        <v/>
      </c>
      <c r="E13" s="48" t="str">
        <f>'Monitoring Data R3'!G28</f>
        <v/>
      </c>
      <c r="F13" s="48" t="str">
        <f>'Monitoring Data R3'!G67</f>
        <v/>
      </c>
      <c r="G13" s="48" t="str">
        <f>'Monitoring Data R3'!G106</f>
        <v/>
      </c>
      <c r="H13" s="48" t="str">
        <f>'Monitoring Data R3'!G145</f>
        <v/>
      </c>
      <c r="I13" s="48" t="str">
        <f>'Monitoring Data R3'!G184</f>
        <v/>
      </c>
      <c r="J13" s="48" t="str">
        <f>'Monitoring Data R3'!G223</f>
        <v/>
      </c>
      <c r="K13" s="48" t="str">
        <f>'Monitoring Data R3'!G263</f>
        <v/>
      </c>
      <c r="L13" s="48" t="str">
        <f>'Monitoring Data R3'!G303</f>
        <v/>
      </c>
      <c r="M13" s="48" t="str">
        <f>'Monitoring Data R3'!G343</f>
        <v/>
      </c>
      <c r="N13" s="48" t="str">
        <f>'Monitoring Data R3'!G383</f>
        <v/>
      </c>
      <c r="O13" s="48" t="str">
        <f>'Monitoring Data R3'!G423</f>
        <v/>
      </c>
    </row>
    <row r="14" spans="1:15" ht="15.6" x14ac:dyDescent="0.3">
      <c r="A14" s="537" t="s">
        <v>58</v>
      </c>
      <c r="B14" s="67" t="s">
        <v>88</v>
      </c>
      <c r="C14" s="149" t="str">
        <f>'Quantification Tool R3'!C36</f>
        <v/>
      </c>
      <c r="D14" s="149" t="str">
        <f>'Quantification Tool R3'!D36</f>
        <v/>
      </c>
      <c r="E14" s="48" t="str">
        <f>'Monitoring Data R3'!G29</f>
        <v/>
      </c>
      <c r="F14" s="48" t="str">
        <f>'Monitoring Data R3'!G68</f>
        <v/>
      </c>
      <c r="G14" s="48" t="str">
        <f>'Monitoring Data R3'!G107</f>
        <v/>
      </c>
      <c r="H14" s="48" t="str">
        <f>'Monitoring Data R3'!G146</f>
        <v/>
      </c>
      <c r="I14" s="48" t="str">
        <f>'Monitoring Data R3'!G185</f>
        <v/>
      </c>
      <c r="J14" s="48" t="str">
        <f>'Monitoring Data R3'!G224</f>
        <v/>
      </c>
      <c r="K14" s="48" t="str">
        <f>'Monitoring Data R3'!G264</f>
        <v/>
      </c>
      <c r="L14" s="48" t="str">
        <f>'Monitoring Data R3'!G304</f>
        <v/>
      </c>
      <c r="M14" s="48" t="str">
        <f>'Monitoring Data R3'!G344</f>
        <v/>
      </c>
      <c r="N14" s="48" t="str">
        <f>'Monitoring Data R3'!G384</f>
        <v/>
      </c>
      <c r="O14" s="48" t="str">
        <f>'Monitoring Data R3'!G424</f>
        <v/>
      </c>
    </row>
    <row r="15" spans="1:15" ht="15.6" x14ac:dyDescent="0.3">
      <c r="A15" s="538"/>
      <c r="B15" s="297" t="s">
        <v>362</v>
      </c>
      <c r="C15" s="149" t="str">
        <f>'Quantification Tool R3'!C37</f>
        <v/>
      </c>
      <c r="D15" s="149" t="str">
        <f>'Quantification Tool R3'!D37</f>
        <v/>
      </c>
      <c r="E15" s="48" t="str">
        <f>'Monitoring Data R3'!G30</f>
        <v/>
      </c>
      <c r="F15" s="48" t="str">
        <f>'Monitoring Data R3'!G69</f>
        <v/>
      </c>
      <c r="G15" s="48" t="str">
        <f>'Monitoring Data R3'!G108</f>
        <v/>
      </c>
      <c r="H15" s="48" t="str">
        <f>'Monitoring Data R3'!G147</f>
        <v/>
      </c>
      <c r="I15" s="48" t="str">
        <f>'Monitoring Data R3'!G186</f>
        <v/>
      </c>
      <c r="J15" s="48" t="str">
        <f>'Monitoring Data R3'!G225</f>
        <v/>
      </c>
      <c r="K15" s="48" t="str">
        <f>'Monitoring Data R3'!G265</f>
        <v/>
      </c>
      <c r="L15" s="48" t="str">
        <f>'Monitoring Data R3'!G305</f>
        <v/>
      </c>
      <c r="M15" s="48" t="str">
        <f>'Monitoring Data R3'!G345</f>
        <v/>
      </c>
      <c r="N15" s="48" t="str">
        <f>'Monitoring Data R3'!G385</f>
        <v/>
      </c>
      <c r="O15" s="48" t="str">
        <f>'Monitoring Data R3'!G425</f>
        <v/>
      </c>
    </row>
    <row r="16" spans="1:15" ht="15.6" x14ac:dyDescent="0.3">
      <c r="A16" s="538"/>
      <c r="B16" s="67" t="s">
        <v>81</v>
      </c>
      <c r="C16" s="149" t="str">
        <f>'Quantification Tool R3'!C38</f>
        <v/>
      </c>
      <c r="D16" s="149" t="str">
        <f>'Quantification Tool R3'!D38</f>
        <v/>
      </c>
      <c r="E16" s="48" t="str">
        <f>'Monitoring Data R3'!G31</f>
        <v/>
      </c>
      <c r="F16" s="48" t="str">
        <f>'Monitoring Data R3'!G70</f>
        <v/>
      </c>
      <c r="G16" s="48" t="str">
        <f>'Monitoring Data R3'!G109</f>
        <v/>
      </c>
      <c r="H16" s="48" t="str">
        <f>'Monitoring Data R3'!G148</f>
        <v/>
      </c>
      <c r="I16" s="48" t="str">
        <f>'Monitoring Data R3'!G187</f>
        <v/>
      </c>
      <c r="J16" s="48" t="str">
        <f>'Monitoring Data R3'!G226</f>
        <v/>
      </c>
      <c r="K16" s="48" t="str">
        <f>'Monitoring Data R3'!G266</f>
        <v/>
      </c>
      <c r="L16" s="48" t="str">
        <f>'Monitoring Data R3'!G306</f>
        <v/>
      </c>
      <c r="M16" s="48" t="str">
        <f>'Monitoring Data R3'!G346</f>
        <v/>
      </c>
      <c r="N16" s="48" t="str">
        <f>'Monitoring Data R3'!G386</f>
        <v/>
      </c>
      <c r="O16" s="48" t="str">
        <f>'Monitoring Data R3'!G426</f>
        <v/>
      </c>
    </row>
    <row r="17" spans="1:19" ht="15.6" x14ac:dyDescent="0.3">
      <c r="A17" s="539"/>
      <c r="B17" s="298" t="s">
        <v>82</v>
      </c>
      <c r="C17" s="149" t="str">
        <f>'Quantification Tool R3'!C39</f>
        <v/>
      </c>
      <c r="D17" s="149" t="str">
        <f>'Quantification Tool R3'!D39</f>
        <v/>
      </c>
      <c r="E17" s="48" t="str">
        <f>'Monitoring Data R3'!G32</f>
        <v/>
      </c>
      <c r="F17" s="48" t="str">
        <f>'Monitoring Data R3'!G71</f>
        <v/>
      </c>
      <c r="G17" s="48" t="str">
        <f>'Monitoring Data R3'!G110</f>
        <v/>
      </c>
      <c r="H17" s="48" t="str">
        <f>'Monitoring Data R3'!G149</f>
        <v/>
      </c>
      <c r="I17" s="48" t="str">
        <f>'Monitoring Data R3'!G188</f>
        <v/>
      </c>
      <c r="J17" s="48" t="str">
        <f>'Monitoring Data R3'!G227</f>
        <v/>
      </c>
      <c r="K17" s="48" t="str">
        <f>'Monitoring Data R3'!G267</f>
        <v/>
      </c>
      <c r="L17" s="48" t="str">
        <f>'Monitoring Data R3'!G307</f>
        <v/>
      </c>
      <c r="M17" s="48" t="str">
        <f>'Monitoring Data R3'!G347</f>
        <v/>
      </c>
      <c r="N17" s="48" t="str">
        <f>'Monitoring Data R3'!G387</f>
        <v/>
      </c>
      <c r="O17" s="48" t="str">
        <f>'Monitoring Data R3'!G427</f>
        <v/>
      </c>
    </row>
    <row r="18" spans="1:19" ht="15.6" x14ac:dyDescent="0.3">
      <c r="A18" s="550" t="s">
        <v>59</v>
      </c>
      <c r="B18" s="78" t="s">
        <v>340</v>
      </c>
      <c r="C18" s="149" t="str">
        <f>'Quantification Tool R3'!C40</f>
        <v/>
      </c>
      <c r="D18" s="149" t="str">
        <f>'Quantification Tool R3'!D40</f>
        <v/>
      </c>
      <c r="E18" s="48" t="str">
        <f>'Monitoring Data R3'!G33</f>
        <v/>
      </c>
      <c r="F18" s="48" t="str">
        <f>'Monitoring Data R3'!G72</f>
        <v/>
      </c>
      <c r="G18" s="48" t="str">
        <f>'Monitoring Data R3'!G111</f>
        <v/>
      </c>
      <c r="H18" s="48" t="str">
        <f>'Monitoring Data R3'!G150</f>
        <v/>
      </c>
      <c r="I18" s="48" t="str">
        <f>'Monitoring Data R3'!G189</f>
        <v/>
      </c>
      <c r="J18" s="48" t="str">
        <f>'Monitoring Data R3'!G228</f>
        <v/>
      </c>
      <c r="K18" s="48" t="str">
        <f>'Monitoring Data R3'!G268</f>
        <v/>
      </c>
      <c r="L18" s="48" t="str">
        <f>'Monitoring Data R3'!G308</f>
        <v/>
      </c>
      <c r="M18" s="48" t="str">
        <f>'Monitoring Data R3'!G348</f>
        <v/>
      </c>
      <c r="N18" s="48" t="str">
        <f>'Monitoring Data R3'!G388</f>
        <v/>
      </c>
      <c r="O18" s="48" t="str">
        <f>'Monitoring Data R3'!G428</f>
        <v/>
      </c>
    </row>
    <row r="19" spans="1:19" ht="15.6" x14ac:dyDescent="0.3">
      <c r="A19" s="551"/>
      <c r="B19" s="78" t="s">
        <v>74</v>
      </c>
      <c r="C19" s="149" t="str">
        <f>'Quantification Tool R3'!C41</f>
        <v/>
      </c>
      <c r="D19" s="149" t="str">
        <f>'Quantification Tool R3'!D41</f>
        <v/>
      </c>
      <c r="E19" s="48" t="str">
        <f>'Monitoring Data R3'!G37</f>
        <v/>
      </c>
      <c r="F19" s="48" t="str">
        <f>'Monitoring Data R3'!G76</f>
        <v/>
      </c>
      <c r="G19" s="48" t="str">
        <f>'Monitoring Data R3'!G115</f>
        <v/>
      </c>
      <c r="H19" s="48" t="str">
        <f>'Monitoring Data R3'!G154</f>
        <v/>
      </c>
      <c r="I19" s="48" t="str">
        <f>'Monitoring Data R3'!G193</f>
        <v/>
      </c>
      <c r="J19" s="48" t="str">
        <f>'Monitoring Data R3'!G232</f>
        <v/>
      </c>
      <c r="K19" s="48" t="str">
        <f>'Monitoring Data R3'!G272</f>
        <v/>
      </c>
      <c r="L19" s="48" t="str">
        <f>'Monitoring Data R3'!G312</f>
        <v/>
      </c>
      <c r="M19" s="48" t="str">
        <f>'Monitoring Data R3'!G352</f>
        <v/>
      </c>
      <c r="N19" s="48" t="str">
        <f>'Monitoring Data R3'!G392</f>
        <v/>
      </c>
      <c r="O19" s="48" t="str">
        <f>'Monitoring Data R3'!G432</f>
        <v/>
      </c>
    </row>
    <row r="22" spans="1:19" ht="21" x14ac:dyDescent="0.3">
      <c r="A22" s="625" t="s">
        <v>102</v>
      </c>
      <c r="B22" s="626"/>
      <c r="C22" s="626"/>
      <c r="D22" s="626"/>
      <c r="E22" s="626"/>
      <c r="F22" s="626"/>
      <c r="G22" s="626"/>
      <c r="H22" s="626"/>
      <c r="I22" s="626"/>
      <c r="J22" s="626"/>
      <c r="K22" s="626"/>
      <c r="L22" s="626"/>
      <c r="M22" s="626"/>
      <c r="N22" s="626"/>
      <c r="O22" s="627"/>
    </row>
    <row r="23" spans="1:19" ht="14.4" customHeight="1" x14ac:dyDescent="0.3">
      <c r="A23" s="655" t="s">
        <v>103</v>
      </c>
      <c r="B23" s="656"/>
      <c r="C23" s="646" t="s">
        <v>104</v>
      </c>
      <c r="D23" s="646" t="s">
        <v>105</v>
      </c>
      <c r="E23" s="648" t="s">
        <v>132</v>
      </c>
      <c r="F23" s="650" t="s">
        <v>135</v>
      </c>
      <c r="G23" s="651"/>
      <c r="H23" s="651"/>
      <c r="I23" s="651"/>
      <c r="J23" s="651"/>
      <c r="K23" s="651"/>
      <c r="L23" s="651"/>
      <c r="M23" s="651"/>
      <c r="N23" s="651"/>
      <c r="O23" s="652"/>
      <c r="P23" s="141"/>
      <c r="Q23" s="141"/>
    </row>
    <row r="24" spans="1:19" ht="14.4" customHeight="1" x14ac:dyDescent="0.3">
      <c r="A24" s="657"/>
      <c r="B24" s="658"/>
      <c r="C24" s="647"/>
      <c r="D24" s="647"/>
      <c r="E24" s="649"/>
      <c r="F24" s="155" t="e">
        <f t="shared" ref="F24:O24" si="0">F4</f>
        <v>#N/A</v>
      </c>
      <c r="G24" s="155" t="e">
        <f t="shared" si="0"/>
        <v>#N/A</v>
      </c>
      <c r="H24" s="155" t="e">
        <f t="shared" si="0"/>
        <v>#N/A</v>
      </c>
      <c r="I24" s="155" t="e">
        <f t="shared" si="0"/>
        <v>#N/A</v>
      </c>
      <c r="J24" s="155" t="e">
        <f t="shared" si="0"/>
        <v>#N/A</v>
      </c>
      <c r="K24" s="155" t="e">
        <f t="shared" si="0"/>
        <v>#N/A</v>
      </c>
      <c r="L24" s="155" t="e">
        <f t="shared" si="0"/>
        <v>#N/A</v>
      </c>
      <c r="M24" s="155" t="e">
        <f t="shared" si="0"/>
        <v>#N/A</v>
      </c>
      <c r="N24" s="155" t="e">
        <f t="shared" si="0"/>
        <v>#N/A</v>
      </c>
      <c r="O24" s="155" t="e">
        <f t="shared" si="0"/>
        <v>#N/A</v>
      </c>
      <c r="P24" s="141"/>
      <c r="Q24" s="141"/>
    </row>
    <row r="25" spans="1:19" ht="14.4" customHeight="1" x14ac:dyDescent="0.3">
      <c r="A25" s="601" t="s">
        <v>60</v>
      </c>
      <c r="B25" s="601"/>
      <c r="C25" s="150" t="str">
        <f>'Quantification Tool R3'!H46</f>
        <v/>
      </c>
      <c r="D25" s="150" t="str">
        <f>'Quantification Tool R3'!H86</f>
        <v/>
      </c>
      <c r="E25" s="301" t="str">
        <f>'Monitoring Data R3'!H3</f>
        <v/>
      </c>
      <c r="F25" s="301" t="str">
        <f>'Monitoring Data R3'!H42</f>
        <v/>
      </c>
      <c r="G25" s="301" t="str">
        <f>'Monitoring Data R3'!H81</f>
        <v/>
      </c>
      <c r="H25" s="301" t="str">
        <f>'Monitoring Data R3'!H120</f>
        <v/>
      </c>
      <c r="I25" s="301" t="str">
        <f>'Monitoring Data R3'!H159</f>
        <v/>
      </c>
      <c r="J25" s="301" t="str">
        <f>'Monitoring Data R3'!H198</f>
        <v/>
      </c>
      <c r="K25" s="301" t="str">
        <f>'Monitoring Data R3'!H238</f>
        <v/>
      </c>
      <c r="L25" s="301" t="str">
        <f>'Monitoring Data R3'!H278</f>
        <v/>
      </c>
      <c r="M25" s="301" t="str">
        <f>'Monitoring Data R3'!H318</f>
        <v/>
      </c>
      <c r="N25" s="301" t="str">
        <f>'Monitoring Data R3'!H358</f>
        <v/>
      </c>
      <c r="O25" s="301" t="str">
        <f>'Monitoring Data R3'!H398</f>
        <v/>
      </c>
      <c r="P25" s="139"/>
      <c r="Q25" s="140"/>
      <c r="R25" s="138"/>
      <c r="S25" s="138"/>
    </row>
    <row r="26" spans="1:19" ht="14.4" customHeight="1" x14ac:dyDescent="0.3">
      <c r="A26" s="602" t="s">
        <v>6</v>
      </c>
      <c r="B26" s="602"/>
      <c r="C26" s="150" t="str">
        <f>'Quantification Tool R3'!H48</f>
        <v/>
      </c>
      <c r="D26" s="150" t="str">
        <f>'Quantification Tool R3'!H88</f>
        <v/>
      </c>
      <c r="E26" s="301" t="str">
        <f>'Monitoring Data R3'!H5</f>
        <v/>
      </c>
      <c r="F26" s="301" t="str">
        <f>'Monitoring Data R3'!H44</f>
        <v/>
      </c>
      <c r="G26" s="301" t="str">
        <f>'Monitoring Data R3'!H83</f>
        <v/>
      </c>
      <c r="H26" s="301" t="str">
        <f>'Monitoring Data R3'!H122</f>
        <v/>
      </c>
      <c r="I26" s="301" t="str">
        <f>'Monitoring Data R3'!H161</f>
        <v/>
      </c>
      <c r="J26" s="301" t="str">
        <f>'Monitoring Data R3'!H200</f>
        <v/>
      </c>
      <c r="K26" s="301" t="str">
        <f>'Monitoring Data R3'!H240</f>
        <v/>
      </c>
      <c r="L26" s="301" t="str">
        <f>'Monitoring Data R3'!H280</f>
        <v/>
      </c>
      <c r="M26" s="301" t="str">
        <f>'Monitoring Data R3'!H320</f>
        <v/>
      </c>
      <c r="N26" s="301" t="str">
        <f>'Monitoring Data R3'!H360</f>
        <v/>
      </c>
      <c r="O26" s="301" t="str">
        <f>'Monitoring Data R3'!H400</f>
        <v/>
      </c>
      <c r="P26" s="139"/>
      <c r="Q26" s="139"/>
      <c r="R26" s="138"/>
      <c r="S26" s="138"/>
    </row>
    <row r="27" spans="1:19" ht="14.4" customHeight="1" x14ac:dyDescent="0.3">
      <c r="A27" s="661" t="s">
        <v>26</v>
      </c>
      <c r="B27" s="661"/>
      <c r="C27" s="150" t="str">
        <f>'Quantification Tool R3'!H50</f>
        <v/>
      </c>
      <c r="D27" s="150" t="str">
        <f>'Quantification Tool R3'!H90</f>
        <v/>
      </c>
      <c r="E27" s="301" t="str">
        <f>'Monitoring Data R3'!H7</f>
        <v/>
      </c>
      <c r="F27" s="301" t="str">
        <f>'Monitoring Data R3'!H46</f>
        <v/>
      </c>
      <c r="G27" s="301" t="str">
        <f>'Monitoring Data R3'!H85</f>
        <v/>
      </c>
      <c r="H27" s="301" t="str">
        <f>'Monitoring Data R3'!H124</f>
        <v/>
      </c>
      <c r="I27" s="301" t="str">
        <f>'Monitoring Data R3'!H163</f>
        <v/>
      </c>
      <c r="J27" s="301" t="str">
        <f>'Monitoring Data R3'!H202</f>
        <v/>
      </c>
      <c r="K27" s="301" t="str">
        <f>'Monitoring Data R3'!H242</f>
        <v/>
      </c>
      <c r="L27" s="301" t="str">
        <f>'Monitoring Data R3'!H282</f>
        <v/>
      </c>
      <c r="M27" s="301" t="str">
        <f>'Monitoring Data R3'!H322</f>
        <v/>
      </c>
      <c r="N27" s="301" t="str">
        <f>'Monitoring Data R3'!H362</f>
        <v/>
      </c>
      <c r="O27" s="301" t="str">
        <f>'Monitoring Data R3'!H402</f>
        <v/>
      </c>
      <c r="P27" s="139"/>
      <c r="Q27" s="140"/>
      <c r="R27" s="138"/>
      <c r="S27" s="138"/>
    </row>
    <row r="28" spans="1:19" ht="18" x14ac:dyDescent="0.3">
      <c r="A28" s="662" t="s">
        <v>58</v>
      </c>
      <c r="B28" s="662"/>
      <c r="C28" s="150" t="str">
        <f>'Quantification Tool R3'!H72</f>
        <v/>
      </c>
      <c r="D28" s="150" t="str">
        <f>'Quantification Tool R3'!H112</f>
        <v/>
      </c>
      <c r="E28" s="301" t="str">
        <f>'Monitoring Data R3'!H29</f>
        <v/>
      </c>
      <c r="F28" s="301" t="str">
        <f>'Monitoring Data R3'!H68</f>
        <v/>
      </c>
      <c r="G28" s="301" t="str">
        <f>'Monitoring Data R3'!H107</f>
        <v/>
      </c>
      <c r="H28" s="301" t="str">
        <f>'Monitoring Data R3'!H146</f>
        <v/>
      </c>
      <c r="I28" s="301" t="str">
        <f>'Monitoring Data R3'!H185</f>
        <v/>
      </c>
      <c r="J28" s="301" t="str">
        <f>'Monitoring Data R3'!H224</f>
        <v/>
      </c>
      <c r="K28" s="301" t="str">
        <f>'Monitoring Data R3'!H264</f>
        <v/>
      </c>
      <c r="L28" s="301" t="str">
        <f>'Monitoring Data R3'!H304</f>
        <v/>
      </c>
      <c r="M28" s="301" t="str">
        <f>'Monitoring Data R3'!H344</f>
        <v/>
      </c>
      <c r="N28" s="301" t="str">
        <f>'Monitoring Data R3'!H384</f>
        <v/>
      </c>
      <c r="O28" s="301" t="str">
        <f>'Monitoring Data R3'!H424</f>
        <v/>
      </c>
      <c r="P28" s="139"/>
      <c r="Q28" s="140"/>
      <c r="R28" s="138"/>
      <c r="S28" s="138"/>
    </row>
    <row r="29" spans="1:19" ht="18" x14ac:dyDescent="0.3">
      <c r="A29" s="660" t="s">
        <v>59</v>
      </c>
      <c r="B29" s="660"/>
      <c r="C29" s="150" t="str">
        <f>'Quantification Tool R3'!H76</f>
        <v/>
      </c>
      <c r="D29" s="150" t="str">
        <f>'Quantification Tool R3'!H116</f>
        <v/>
      </c>
      <c r="E29" s="301" t="str">
        <f>'Monitoring Data R3'!H33</f>
        <v/>
      </c>
      <c r="F29" s="301" t="str">
        <f>'Monitoring Data R3'!H72</f>
        <v/>
      </c>
      <c r="G29" s="301" t="str">
        <f>'Monitoring Data R3'!H111</f>
        <v/>
      </c>
      <c r="H29" s="301" t="str">
        <f>'Monitoring Data R3'!H150</f>
        <v/>
      </c>
      <c r="I29" s="301" t="str">
        <f>'Monitoring Data R3'!H189</f>
        <v/>
      </c>
      <c r="J29" s="301" t="str">
        <f>'Monitoring Data R3'!H228</f>
        <v/>
      </c>
      <c r="K29" s="301" t="str">
        <f>'Monitoring Data R3'!H268</f>
        <v/>
      </c>
      <c r="L29" s="301" t="str">
        <f>'Monitoring Data R3'!H308</f>
        <v/>
      </c>
      <c r="M29" s="301" t="str">
        <f>'Monitoring Data R3'!H348</f>
        <v/>
      </c>
      <c r="N29" s="301" t="str">
        <f>'Monitoring Data R3'!H388</f>
        <v/>
      </c>
      <c r="O29" s="301" t="str">
        <f>'Monitoring Data R3'!H428</f>
        <v/>
      </c>
      <c r="P29" s="139"/>
      <c r="Q29" s="139"/>
      <c r="R29" s="138"/>
      <c r="S29" s="138"/>
    </row>
    <row r="30" spans="1:19" ht="18" x14ac:dyDescent="0.35">
      <c r="A30" s="659" t="s">
        <v>133</v>
      </c>
      <c r="B30" s="659"/>
      <c r="C30" s="151">
        <f>ROUND(0.2*SUM(C25:C29),2)</f>
        <v>0</v>
      </c>
      <c r="D30" s="151">
        <f>ROUND(0.2*SUM(D25:D29),2)</f>
        <v>0</v>
      </c>
      <c r="E30" s="305">
        <f t="shared" ref="E30" si="1">ROUND(0.2*SUM(E25:E29),2)</f>
        <v>0</v>
      </c>
      <c r="F30" s="142" t="e">
        <f>IF(F24="","",ROUND(0.2*SUM(F25:F29),2))</f>
        <v>#N/A</v>
      </c>
      <c r="G30" s="142" t="e">
        <f>IF(G24="","",ROUND(0.2*SUM(G25:G29),2))</f>
        <v>#N/A</v>
      </c>
      <c r="H30" s="142" t="e">
        <f>IF(H24="","",ROUND(0.2*SUM(H25:H29),2))</f>
        <v>#N/A</v>
      </c>
      <c r="I30" s="142" t="e">
        <f t="shared" ref="I30:O30" si="2">IF(I24="","",ROUND(0.2*SUM(I25:I29),2))</f>
        <v>#N/A</v>
      </c>
      <c r="J30" s="142" t="e">
        <f t="shared" si="2"/>
        <v>#N/A</v>
      </c>
      <c r="K30" s="142" t="e">
        <f t="shared" si="2"/>
        <v>#N/A</v>
      </c>
      <c r="L30" s="142" t="e">
        <f t="shared" si="2"/>
        <v>#N/A</v>
      </c>
      <c r="M30" s="142" t="e">
        <f t="shared" si="2"/>
        <v>#N/A</v>
      </c>
      <c r="N30" s="142" t="e">
        <f t="shared" si="2"/>
        <v>#N/A</v>
      </c>
      <c r="O30" s="142" t="e">
        <f t="shared" si="2"/>
        <v>#N/A</v>
      </c>
    </row>
    <row r="31" spans="1:19" ht="18" x14ac:dyDescent="0.35">
      <c r="A31" s="659" t="s">
        <v>134</v>
      </c>
      <c r="B31" s="659"/>
      <c r="C31" s="151">
        <f>ROUND(C30*'Quantification Tool R3'!B15,0)</f>
        <v>0</v>
      </c>
      <c r="D31" s="152">
        <f>ROUND(D30*'Quantification Tool R3'!$B$16,0)</f>
        <v>0</v>
      </c>
      <c r="E31" s="300">
        <f>ROUND(E30*'Quantification Tool R3'!$B$16,0)</f>
        <v>0</v>
      </c>
      <c r="F31" s="300" t="str">
        <f>IFERROR(ROUND(F30*'Quantification Tool R3'!$B$16,0),"")</f>
        <v/>
      </c>
      <c r="G31" s="300" t="str">
        <f>IFERROR(ROUND(G30*'Quantification Tool R3'!$B$16,0),"")</f>
        <v/>
      </c>
      <c r="H31" s="300" t="str">
        <f>IFERROR(ROUND(H30*'Quantification Tool R3'!$B$16,0),"")</f>
        <v/>
      </c>
      <c r="I31" s="300" t="str">
        <f>IFERROR(ROUND(I30*'Quantification Tool R3'!$B$16,0),"")</f>
        <v/>
      </c>
      <c r="J31" s="300" t="str">
        <f>IFERROR(ROUND(J30*'Quantification Tool R3'!$B$16,0),"")</f>
        <v/>
      </c>
      <c r="K31" s="300" t="str">
        <f>IFERROR(ROUND(K30*'Quantification Tool R3'!$B$16,0),"")</f>
        <v/>
      </c>
      <c r="L31" s="300" t="str">
        <f>IFERROR(ROUND(L30*'Quantification Tool R3'!$B$16,0),"")</f>
        <v/>
      </c>
      <c r="M31" s="300" t="str">
        <f>IFERROR(ROUND(M30*'Quantification Tool R3'!$B$16,0),"")</f>
        <v/>
      </c>
      <c r="N31" s="300" t="str">
        <f>IFERROR(ROUND(N30*'Quantification Tool R3'!$B$16,0),"")</f>
        <v/>
      </c>
      <c r="O31" s="300" t="str">
        <f>IFERROR(ROUND(O30*'Quantification Tool R3'!$B$16,0),"")</f>
        <v/>
      </c>
    </row>
    <row r="32" spans="1:19" ht="18" x14ac:dyDescent="0.35">
      <c r="C32" s="143"/>
    </row>
    <row r="34" spans="1:1" x14ac:dyDescent="0.3">
      <c r="A34" s="295" t="s">
        <v>136</v>
      </c>
    </row>
    <row r="35" spans="1:1" x14ac:dyDescent="0.3">
      <c r="A35" s="295" t="e">
        <f>IFERROR(O24,IFERROR(N24,IFERROR(M24,IFERROR(L24,IFERROR(K24,IFERROR(J24,IFERROR(I24,IFERROR(H24,IFERROR(G24,F24)))))))))</f>
        <v>#N/A</v>
      </c>
    </row>
  </sheetData>
  <sheetProtection password="9A90" sheet="1" objects="1" scenarios="1" selectLockedCells="1"/>
  <mergeCells count="24">
    <mergeCell ref="A2:O2"/>
    <mergeCell ref="A3:A4"/>
    <mergeCell ref="B3:B4"/>
    <mergeCell ref="C3:C4"/>
    <mergeCell ref="D3:D4"/>
    <mergeCell ref="E3:E4"/>
    <mergeCell ref="F3:O3"/>
    <mergeCell ref="A23:B24"/>
    <mergeCell ref="C23:C24"/>
    <mergeCell ref="D23:D24"/>
    <mergeCell ref="E23:E24"/>
    <mergeCell ref="F23:O23"/>
    <mergeCell ref="A5:A6"/>
    <mergeCell ref="A8:A13"/>
    <mergeCell ref="A14:A17"/>
    <mergeCell ref="A18:A19"/>
    <mergeCell ref="A22:O22"/>
    <mergeCell ref="A31:B31"/>
    <mergeCell ref="A25:B25"/>
    <mergeCell ref="A26:B26"/>
    <mergeCell ref="A27:B27"/>
    <mergeCell ref="A28:B28"/>
    <mergeCell ref="A29:B29"/>
    <mergeCell ref="A30:B30"/>
  </mergeCells>
  <conditionalFormatting sqref="A18">
    <cfRule type="beginsWith" dxfId="4647" priority="47" stopIfTrue="1" operator="beginsWith" text="Functioning At Risk">
      <formula>LEFT(A18,LEN("Functioning At Risk"))="Functioning At Risk"</formula>
    </cfRule>
    <cfRule type="beginsWith" dxfId="4646" priority="48" stopIfTrue="1" operator="beginsWith" text="Not Functioning">
      <formula>LEFT(A18,LEN("Not Functioning"))="Not Functioning"</formula>
    </cfRule>
    <cfRule type="containsText" dxfId="4645" priority="49" operator="containsText" text="Functioning">
      <formula>NOT(ISERROR(SEARCH("Functioning",A18)))</formula>
    </cfRule>
  </conditionalFormatting>
  <conditionalFormatting sqref="B18">
    <cfRule type="beginsWith" dxfId="4644" priority="41" stopIfTrue="1" operator="beginsWith" text="Functioning At Risk">
      <formula>LEFT(B18,LEN("Functioning At Risk"))="Functioning At Risk"</formula>
    </cfRule>
    <cfRule type="beginsWith" dxfId="4643" priority="42" stopIfTrue="1" operator="beginsWith" text="Not Functioning">
      <formula>LEFT(B18,LEN("Not Functioning"))="Not Functioning"</formula>
    </cfRule>
    <cfRule type="containsText" dxfId="4642" priority="43" operator="containsText" text="Functioning">
      <formula>NOT(ISERROR(SEARCH("Functioning",B18)))</formula>
    </cfRule>
  </conditionalFormatting>
  <conditionalFormatting sqref="B19">
    <cfRule type="beginsWith" dxfId="4641" priority="38" stopIfTrue="1" operator="beginsWith" text="Functioning At Risk">
      <formula>LEFT(B19,LEN("Functioning At Risk"))="Functioning At Risk"</formula>
    </cfRule>
    <cfRule type="beginsWith" dxfId="4640" priority="39" stopIfTrue="1" operator="beginsWith" text="Not Functioning">
      <formula>LEFT(B19,LEN("Not Functioning"))="Not Functioning"</formula>
    </cfRule>
    <cfRule type="containsText" dxfId="4639" priority="40" operator="containsText" text="Functioning">
      <formula>NOT(ISERROR(SEARCH("Functioning",B19)))</formula>
    </cfRule>
  </conditionalFormatting>
  <conditionalFormatting sqref="A14">
    <cfRule type="beginsWith" dxfId="4638" priority="35" stopIfTrue="1" operator="beginsWith" text="Functioning At Risk">
      <formula>LEFT(A14,LEN("Functioning At Risk"))="Functioning At Risk"</formula>
    </cfRule>
    <cfRule type="beginsWith" dxfId="4637" priority="36" stopIfTrue="1" operator="beginsWith" text="Not Functioning">
      <formula>LEFT(A14,LEN("Not Functioning"))="Not Functioning"</formula>
    </cfRule>
    <cfRule type="containsText" dxfId="4636" priority="37" operator="containsText" text="Functioning">
      <formula>NOT(ISERROR(SEARCH("Functioning",A14)))</formula>
    </cfRule>
  </conditionalFormatting>
  <conditionalFormatting sqref="C25:O29 C5:O19">
    <cfRule type="cellIs" dxfId="4635" priority="44" operator="between">
      <formula>0</formula>
      <formula>0.299999</formula>
    </cfRule>
    <cfRule type="cellIs" dxfId="4634" priority="45" operator="between">
      <formula>0.6999999</formula>
      <formula>0.3</formula>
    </cfRule>
    <cfRule type="cellIs" dxfId="4633" priority="46" operator="between">
      <formula>0.7</formula>
      <formula>1</formula>
    </cfRule>
  </conditionalFormatting>
  <conditionalFormatting sqref="Q28:S28">
    <cfRule type="beginsWith" dxfId="4632" priority="11" stopIfTrue="1" operator="beginsWith" text="Functioning At Risk">
      <formula>LEFT(Q28,LEN("Functioning At Risk"))="Functioning At Risk"</formula>
    </cfRule>
    <cfRule type="beginsWith" dxfId="4631" priority="12" stopIfTrue="1" operator="beginsWith" text="Not Functioning">
      <formula>LEFT(Q28,LEN("Not Functioning"))="Not Functioning"</formula>
    </cfRule>
    <cfRule type="containsText" dxfId="4630" priority="13" operator="containsText" text="Functioning">
      <formula>NOT(ISERROR(SEARCH("Functioning",Q28)))</formula>
    </cfRule>
  </conditionalFormatting>
  <conditionalFormatting sqref="P28">
    <cfRule type="beginsWith" dxfId="4629" priority="8" stopIfTrue="1" operator="beginsWith" text="Functioning At Risk">
      <formula>LEFT(P28,LEN("Functioning At Risk"))="Functioning At Risk"</formula>
    </cfRule>
    <cfRule type="beginsWith" dxfId="4628" priority="9" stopIfTrue="1" operator="beginsWith" text="Not Functioning">
      <formula>LEFT(P28,LEN("Not Functioning"))="Not Functioning"</formula>
    </cfRule>
    <cfRule type="containsText" dxfId="4627" priority="10" operator="containsText" text="Functioning">
      <formula>NOT(ISERROR(SEARCH("Functioning",P28)))</formula>
    </cfRule>
  </conditionalFormatting>
  <conditionalFormatting sqref="P23:P24">
    <cfRule type="beginsWith" dxfId="4626" priority="32" stopIfTrue="1" operator="beginsWith" text="Functioning At Risk">
      <formula>LEFT(P23,LEN("Functioning At Risk"))="Functioning At Risk"</formula>
    </cfRule>
    <cfRule type="beginsWith" dxfId="4625" priority="33" stopIfTrue="1" operator="beginsWith" text="Not Functioning">
      <formula>LEFT(P23,LEN("Not Functioning"))="Not Functioning"</formula>
    </cfRule>
    <cfRule type="containsText" dxfId="4624" priority="34" operator="containsText" text="Functioning">
      <formula>NOT(ISERROR(SEARCH("Functioning",P23)))</formula>
    </cfRule>
  </conditionalFormatting>
  <conditionalFormatting sqref="A22">
    <cfRule type="beginsWith" dxfId="4623" priority="29" stopIfTrue="1" operator="beginsWith" text="Functioning At Risk">
      <formula>LEFT(A22,LEN("Functioning At Risk"))="Functioning At Risk"</formula>
    </cfRule>
    <cfRule type="beginsWith" dxfId="4622" priority="30" stopIfTrue="1" operator="beginsWith" text="Not Functioning">
      <formula>LEFT(A22,LEN("Not Functioning"))="Not Functioning"</formula>
    </cfRule>
    <cfRule type="containsText" dxfId="4621" priority="31" operator="containsText" text="Functioning">
      <formula>NOT(ISERROR(SEARCH("Functioning",A22)))</formula>
    </cfRule>
  </conditionalFormatting>
  <conditionalFormatting sqref="A28">
    <cfRule type="beginsWith" dxfId="4620" priority="26" stopIfTrue="1" operator="beginsWith" text="Functioning At Risk">
      <formula>LEFT(A28,LEN("Functioning At Risk"))="Functioning At Risk"</formula>
    </cfRule>
    <cfRule type="beginsWith" dxfId="4619" priority="27" stopIfTrue="1" operator="beginsWith" text="Not Functioning">
      <formula>LEFT(A28,LEN("Not Functioning"))="Not Functioning"</formula>
    </cfRule>
    <cfRule type="containsText" dxfId="4618" priority="28" operator="containsText" text="Functioning">
      <formula>NOT(ISERROR(SEARCH("Functioning",A28)))</formula>
    </cfRule>
  </conditionalFormatting>
  <conditionalFormatting sqref="A27">
    <cfRule type="beginsWith" dxfId="4617" priority="23" stopIfTrue="1" operator="beginsWith" text="Functioning At Risk">
      <formula>LEFT(A27,LEN("Functioning At Risk"))="Functioning At Risk"</formula>
    </cfRule>
    <cfRule type="beginsWith" dxfId="4616" priority="24" stopIfTrue="1" operator="beginsWith" text="Not Functioning">
      <formula>LEFT(A27,LEN("Not Functioning"))="Not Functioning"</formula>
    </cfRule>
    <cfRule type="containsText" dxfId="4615" priority="25" operator="containsText" text="Functioning">
      <formula>NOT(ISERROR(SEARCH("Functioning",A27)))</formula>
    </cfRule>
  </conditionalFormatting>
  <conditionalFormatting sqref="A26">
    <cfRule type="beginsWith" dxfId="4614" priority="20" stopIfTrue="1" operator="beginsWith" text="Functioning At Risk">
      <formula>LEFT(A26,LEN("Functioning At Risk"))="Functioning At Risk"</formula>
    </cfRule>
    <cfRule type="beginsWith" dxfId="4613" priority="21" stopIfTrue="1" operator="beginsWith" text="Not Functioning">
      <formula>LEFT(A26,LEN("Not Functioning"))="Not Functioning"</formula>
    </cfRule>
    <cfRule type="containsText" dxfId="4612" priority="22" operator="containsText" text="Functioning">
      <formula>NOT(ISERROR(SEARCH("Functioning",A26)))</formula>
    </cfRule>
  </conditionalFormatting>
  <conditionalFormatting sqref="A29">
    <cfRule type="beginsWith" dxfId="4611" priority="17" stopIfTrue="1" operator="beginsWith" text="Functioning At Risk">
      <formula>LEFT(A29,LEN("Functioning At Risk"))="Functioning At Risk"</formula>
    </cfRule>
    <cfRule type="beginsWith" dxfId="4610" priority="18" stopIfTrue="1" operator="beginsWith" text="Not Functioning">
      <formula>LEFT(A29,LEN("Not Functioning"))="Not Functioning"</formula>
    </cfRule>
    <cfRule type="containsText" dxfId="4609" priority="19" operator="containsText" text="Functioning">
      <formula>NOT(ISERROR(SEARCH("Functioning",A29)))</formula>
    </cfRule>
  </conditionalFormatting>
  <conditionalFormatting sqref="P29:S29 P26:S27">
    <cfRule type="beginsWith" dxfId="4608" priority="14" stopIfTrue="1" operator="beginsWith" text="Functioning At Risk">
      <formula>LEFT(P26,LEN("Functioning At Risk"))="Functioning At Risk"</formula>
    </cfRule>
    <cfRule type="beginsWith" dxfId="4607" priority="15" stopIfTrue="1" operator="beginsWith" text="Not Functioning">
      <formula>LEFT(P26,LEN("Not Functioning"))="Not Functioning"</formula>
    </cfRule>
    <cfRule type="containsText" dxfId="4606" priority="16" operator="containsText" text="Functioning">
      <formula>NOT(ISERROR(SEARCH("Functioning",P26)))</formula>
    </cfRule>
  </conditionalFormatting>
  <conditionalFormatting sqref="F4:O4">
    <cfRule type="containsErrors" dxfId="4605" priority="7">
      <formula>ISERROR(F4)</formula>
    </cfRule>
  </conditionalFormatting>
  <conditionalFormatting sqref="F24:O24">
    <cfRule type="containsErrors" dxfId="4604" priority="6">
      <formula>ISERROR(F24)</formula>
    </cfRule>
  </conditionalFormatting>
  <conditionalFormatting sqref="E30:O30">
    <cfRule type="containsErrors" dxfId="4603" priority="5">
      <formula>ISERROR(E30)</formula>
    </cfRule>
  </conditionalFormatting>
  <conditionalFormatting sqref="B16:B17 B14">
    <cfRule type="beginsWith" dxfId="4602" priority="2" stopIfTrue="1" operator="beginsWith" text="Functioning At Risk">
      <formula>LEFT(B14,LEN("Functioning At Risk"))="Functioning At Risk"</formula>
    </cfRule>
    <cfRule type="beginsWith" dxfId="4601" priority="3" stopIfTrue="1" operator="beginsWith" text="Not Functioning">
      <formula>LEFT(B14,LEN("Not Functioning"))="Not Functioning"</formula>
    </cfRule>
    <cfRule type="containsText" dxfId="4600" priority="4" operator="containsText" text="Functioning">
      <formula>NOT(ISERROR(SEARCH("Functioning",B14)))</formula>
    </cfRule>
  </conditionalFormatting>
  <pageMargins left="0.7" right="0.7" top="0.75" bottom="0.75" header="0.3" footer="0.3"/>
  <pageSetup paperSize="3" orientation="landscape" r:id="rId1"/>
  <headerFooter>
    <oddHeader>&amp;C&amp;"-,Bold"TN SQT v1.0
Data Summary Spreadsheet Reach 3</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A05B2EE1-AB85-4370-8A12-6307DF6FE6A9}">
            <xm:f>'Quantification Tool R3'!$B$18="Ephemeral"</xm:f>
            <x14:dxf>
              <fill>
                <patternFill patternType="darkDown"/>
              </fill>
            </x14:dxf>
          </x14:cfRule>
          <xm:sqref>C7:O7 C11:O19 C26:O26 C28:O29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1"/>
  <sheetViews>
    <sheetView topLeftCell="A94" zoomScale="70" zoomScaleNormal="70" zoomScalePageLayoutView="70" workbookViewId="0">
      <selection activeCell="E45" sqref="E45:E80"/>
    </sheetView>
  </sheetViews>
  <sheetFormatPr defaultColWidth="9.109375" defaultRowHeight="14.4" x14ac:dyDescent="0.3"/>
  <cols>
    <col min="1" max="1" width="30.6640625" style="14" customWidth="1"/>
    <col min="2" max="2" width="30.88671875" style="14" customWidth="1"/>
    <col min="3" max="4" width="24" style="14" customWidth="1"/>
    <col min="5" max="5" width="21.6640625" style="14" customWidth="1"/>
    <col min="6" max="7" width="14" style="14" customWidth="1"/>
    <col min="8" max="8" width="13.109375" style="14" customWidth="1"/>
    <col min="9" max="9" width="13.109375" style="316" customWidth="1"/>
    <col min="10" max="10" width="9.6640625" style="14" customWidth="1"/>
    <col min="11" max="11" width="12.44140625" style="316" customWidth="1"/>
    <col min="12" max="12" width="18.5546875" style="14" customWidth="1"/>
    <col min="13" max="13" width="13.6640625" style="14" customWidth="1"/>
    <col min="14" max="16384" width="9.109375" style="14"/>
  </cols>
  <sheetData>
    <row r="1" spans="1:11" ht="21" x14ac:dyDescent="0.4">
      <c r="A1" s="669" t="s">
        <v>438</v>
      </c>
      <c r="B1" s="669"/>
      <c r="D1" s="544" t="s">
        <v>64</v>
      </c>
      <c r="E1" s="545"/>
      <c r="F1" s="545"/>
      <c r="G1" s="545"/>
      <c r="H1" s="545"/>
      <c r="I1" s="545"/>
      <c r="J1" s="546"/>
    </row>
    <row r="2" spans="1:11" ht="15.6" x14ac:dyDescent="0.3">
      <c r="A2" s="669"/>
      <c r="B2" s="669"/>
      <c r="D2" s="613" t="s">
        <v>65</v>
      </c>
      <c r="E2" s="614"/>
      <c r="F2" s="614"/>
      <c r="G2" s="614"/>
      <c r="H2" s="614"/>
      <c r="I2" s="614"/>
      <c r="J2" s="615"/>
    </row>
    <row r="3" spans="1:11" ht="15.75" customHeight="1" x14ac:dyDescent="0.3">
      <c r="A3" s="670"/>
      <c r="B3" s="670"/>
      <c r="D3" s="619" t="s">
        <v>138</v>
      </c>
      <c r="E3" s="620"/>
      <c r="F3" s="620"/>
      <c r="G3" s="620"/>
      <c r="H3" s="620"/>
      <c r="I3" s="620"/>
      <c r="J3" s="621"/>
    </row>
    <row r="4" spans="1:11" ht="15.6" x14ac:dyDescent="0.3">
      <c r="A4" s="42" t="s">
        <v>109</v>
      </c>
      <c r="B4" s="43"/>
      <c r="D4" s="622" t="s">
        <v>137</v>
      </c>
      <c r="E4" s="623"/>
      <c r="F4" s="623"/>
      <c r="G4" s="623"/>
      <c r="H4" s="623"/>
      <c r="I4" s="623"/>
      <c r="J4" s="624"/>
    </row>
    <row r="5" spans="1:11" ht="15.6" x14ac:dyDescent="0.3">
      <c r="A5" s="42" t="s">
        <v>100</v>
      </c>
      <c r="B5" s="43"/>
      <c r="D5" s="616" t="s">
        <v>390</v>
      </c>
      <c r="E5" s="617"/>
      <c r="F5" s="617"/>
      <c r="G5" s="617"/>
      <c r="H5" s="617"/>
      <c r="I5" s="617"/>
      <c r="J5" s="618"/>
    </row>
    <row r="6" spans="1:11" ht="15.6" x14ac:dyDescent="0.3">
      <c r="A6" s="335" t="s">
        <v>434</v>
      </c>
      <c r="B6" s="43"/>
      <c r="D6" s="362"/>
      <c r="E6" s="362"/>
      <c r="F6" s="362"/>
      <c r="G6" s="362"/>
      <c r="H6" s="362"/>
      <c r="I6" s="362"/>
      <c r="J6" s="362"/>
    </row>
    <row r="7" spans="1:11" ht="15.6" x14ac:dyDescent="0.3">
      <c r="A7" s="335" t="s">
        <v>435</v>
      </c>
      <c r="B7" s="43"/>
      <c r="D7" s="362"/>
      <c r="E7" s="362"/>
      <c r="F7" s="362"/>
      <c r="G7" s="362"/>
      <c r="H7" s="362"/>
      <c r="I7" s="362"/>
      <c r="J7" s="362"/>
    </row>
    <row r="8" spans="1:11" ht="15.6" x14ac:dyDescent="0.3">
      <c r="A8" s="335" t="s">
        <v>436</v>
      </c>
      <c r="B8" s="43"/>
      <c r="D8" s="362"/>
      <c r="E8" s="362"/>
      <c r="F8" s="362"/>
      <c r="G8" s="362"/>
      <c r="H8" s="362"/>
      <c r="I8" s="362"/>
      <c r="J8" s="362"/>
    </row>
    <row r="9" spans="1:11" ht="15.6" x14ac:dyDescent="0.3">
      <c r="A9" s="335" t="s">
        <v>437</v>
      </c>
      <c r="B9" s="43"/>
      <c r="D9" s="362"/>
      <c r="E9" s="362"/>
      <c r="F9" s="362"/>
      <c r="G9" s="362"/>
      <c r="H9" s="362"/>
      <c r="I9" s="362"/>
      <c r="J9" s="362"/>
    </row>
    <row r="10" spans="1:11" ht="16.2" thickBot="1" x14ac:dyDescent="0.35">
      <c r="A10" s="42" t="s">
        <v>101</v>
      </c>
      <c r="B10" s="161"/>
      <c r="C10" s="13"/>
    </row>
    <row r="11" spans="1:11" ht="19.95" customHeight="1" x14ac:dyDescent="0.4">
      <c r="A11" s="42" t="s">
        <v>329</v>
      </c>
      <c r="B11" s="161"/>
      <c r="C11" s="13"/>
      <c r="D11" s="544" t="s">
        <v>63</v>
      </c>
      <c r="E11" s="545"/>
      <c r="F11" s="546"/>
      <c r="H11" s="605" t="s">
        <v>400</v>
      </c>
      <c r="I11" s="606"/>
      <c r="J11" s="607"/>
      <c r="K11" s="318"/>
    </row>
    <row r="12" spans="1:11" ht="21.6" thickBot="1" x14ac:dyDescent="0.45">
      <c r="A12" s="42" t="s">
        <v>363</v>
      </c>
      <c r="B12" s="161"/>
      <c r="C12" s="40"/>
      <c r="D12" s="88" t="s">
        <v>116</v>
      </c>
      <c r="E12" s="89"/>
      <c r="F12" s="303" t="str">
        <f>IFERROR(ROUND(J45,2),"")</f>
        <v/>
      </c>
      <c r="G12" s="114"/>
      <c r="H12" s="331" t="str">
        <f>F20</f>
        <v/>
      </c>
      <c r="I12" s="666" t="s">
        <v>401</v>
      </c>
      <c r="J12" s="667"/>
      <c r="K12" s="319"/>
    </row>
    <row r="13" spans="1:11" ht="15.6" x14ac:dyDescent="0.3">
      <c r="A13" s="42" t="s">
        <v>17</v>
      </c>
      <c r="B13" s="43"/>
      <c r="C13" s="40"/>
      <c r="D13" s="90" t="s">
        <v>117</v>
      </c>
      <c r="E13" s="91"/>
      <c r="F13" s="303" t="str">
        <f>IFERROR(ROUND(J85,2),"")</f>
        <v/>
      </c>
      <c r="G13" s="117"/>
      <c r="H13" s="176"/>
      <c r="I13" s="321"/>
      <c r="J13" s="21"/>
      <c r="K13" s="319"/>
    </row>
    <row r="14" spans="1:11" ht="15.6" x14ac:dyDescent="0.3">
      <c r="A14" s="42" t="s">
        <v>85</v>
      </c>
      <c r="B14" s="161"/>
      <c r="C14" s="40"/>
      <c r="D14" s="603" t="s">
        <v>396</v>
      </c>
      <c r="E14" s="604"/>
      <c r="F14" s="113" t="str">
        <f>IFERROR(F13-F12,"")</f>
        <v/>
      </c>
      <c r="G14" s="117"/>
      <c r="H14" s="176"/>
      <c r="I14" s="321"/>
      <c r="J14" s="21"/>
      <c r="K14" s="319"/>
    </row>
    <row r="15" spans="1:11" ht="15.6" x14ac:dyDescent="0.3">
      <c r="A15" s="42" t="s">
        <v>341</v>
      </c>
      <c r="B15" s="43"/>
      <c r="C15" s="41"/>
      <c r="D15" s="88" t="s">
        <v>343</v>
      </c>
      <c r="E15" s="89"/>
      <c r="F15" s="46" t="str">
        <f>IF(B15="","",B15)</f>
        <v/>
      </c>
      <c r="G15" s="118"/>
      <c r="H15" s="178"/>
      <c r="I15" s="323"/>
      <c r="J15" s="178"/>
      <c r="K15" s="320"/>
    </row>
    <row r="16" spans="1:11" ht="15.6" x14ac:dyDescent="0.3">
      <c r="A16" s="42" t="s">
        <v>342</v>
      </c>
      <c r="B16" s="43"/>
      <c r="C16" s="40"/>
      <c r="D16" s="88" t="s">
        <v>344</v>
      </c>
      <c r="E16" s="89"/>
      <c r="F16" s="46" t="str">
        <f>IF(B16="","",B16)</f>
        <v/>
      </c>
      <c r="G16" s="117"/>
      <c r="H16" s="21"/>
      <c r="I16" s="321"/>
      <c r="J16" s="21"/>
      <c r="K16" s="321"/>
    </row>
    <row r="17" spans="1:12" ht="15.6" x14ac:dyDescent="0.3">
      <c r="A17" s="42" t="s">
        <v>209</v>
      </c>
      <c r="B17" s="43"/>
      <c r="C17" s="41"/>
      <c r="D17" s="80" t="s">
        <v>345</v>
      </c>
      <c r="E17" s="81"/>
      <c r="F17" s="46" t="str">
        <f>IFERROR(F16-F15,"")</f>
        <v/>
      </c>
      <c r="G17" s="117"/>
      <c r="H17" s="21"/>
      <c r="I17" s="321"/>
      <c r="J17" s="21"/>
      <c r="K17" s="321"/>
    </row>
    <row r="18" spans="1:12" ht="16.2" customHeight="1" x14ac:dyDescent="0.4">
      <c r="A18" s="333" t="s">
        <v>403</v>
      </c>
      <c r="B18" s="334"/>
      <c r="C18" s="41"/>
      <c r="D18" s="80" t="s">
        <v>397</v>
      </c>
      <c r="E18" s="81"/>
      <c r="F18" s="47" t="str">
        <f>IFERROR(F12*F15,"")</f>
        <v/>
      </c>
      <c r="G18" s="117"/>
      <c r="H18" s="114"/>
      <c r="I18" s="318"/>
      <c r="J18" s="114"/>
      <c r="K18" s="318"/>
    </row>
    <row r="19" spans="1:12" ht="16.2" thickBot="1" x14ac:dyDescent="0.35">
      <c r="A19" s="44" t="s">
        <v>119</v>
      </c>
      <c r="B19" s="161"/>
      <c r="C19" s="40"/>
      <c r="D19" s="92" t="s">
        <v>398</v>
      </c>
      <c r="E19" s="93"/>
      <c r="F19" s="328" t="str">
        <f>IFERROR(F16*F13,"")</f>
        <v/>
      </c>
      <c r="G19" s="116"/>
      <c r="H19" s="176"/>
      <c r="I19" s="321"/>
      <c r="J19" s="21"/>
      <c r="K19" s="319"/>
    </row>
    <row r="20" spans="1:12" ht="16.2" thickBot="1" x14ac:dyDescent="0.35">
      <c r="A20" s="181" t="s">
        <v>186</v>
      </c>
      <c r="B20" s="161"/>
      <c r="C20" s="41"/>
      <c r="D20" s="327" t="s">
        <v>399</v>
      </c>
      <c r="E20" s="329"/>
      <c r="F20" s="330" t="str">
        <f>IFERROR(F19-F18,"")</f>
        <v/>
      </c>
      <c r="G20" s="116"/>
      <c r="H20" s="176"/>
      <c r="I20" s="321"/>
      <c r="J20" s="21"/>
      <c r="K20" s="319"/>
    </row>
    <row r="21" spans="1:12" ht="15.6" x14ac:dyDescent="0.3">
      <c r="A21" s="42" t="s">
        <v>316</v>
      </c>
      <c r="B21" s="161"/>
      <c r="C21" s="41"/>
      <c r="G21" s="116"/>
      <c r="H21" s="118"/>
      <c r="I21" s="321"/>
      <c r="J21" s="21"/>
      <c r="K21" s="319"/>
    </row>
    <row r="22" spans="1:12" ht="23.4" x14ac:dyDescent="0.45">
      <c r="C22" s="41"/>
      <c r="D22" s="628" t="str">
        <f>IF(OR(C28="",C30="",C31="",C33="",D28="",D30="",D31="",D33=""),"WARNING: Sufficient data are not provided.","")</f>
        <v>WARNING: Sufficient data are not provided.</v>
      </c>
      <c r="E22" s="628"/>
      <c r="F22" s="628"/>
      <c r="G22" s="628"/>
      <c r="H22" s="628"/>
      <c r="I22" s="628"/>
      <c r="J22" s="628"/>
      <c r="K22" s="628"/>
      <c r="L22" s="21"/>
    </row>
    <row r="23" spans="1:12" ht="30.75" customHeight="1" x14ac:dyDescent="0.3">
      <c r="A23" s="625" t="s">
        <v>118</v>
      </c>
      <c r="B23" s="626"/>
      <c r="C23" s="626"/>
      <c r="D23" s="627"/>
      <c r="E23" s="120"/>
      <c r="F23" s="629" t="s">
        <v>102</v>
      </c>
      <c r="G23" s="629"/>
      <c r="H23" s="629"/>
      <c r="I23" s="629"/>
      <c r="J23" s="629"/>
      <c r="K23" s="629"/>
    </row>
    <row r="24" spans="1:12" ht="15" customHeight="1" x14ac:dyDescent="0.3">
      <c r="A24" s="532" t="s">
        <v>1</v>
      </c>
      <c r="B24" s="532" t="s">
        <v>2</v>
      </c>
      <c r="C24" s="642" t="s">
        <v>66</v>
      </c>
      <c r="D24" s="642" t="s">
        <v>67</v>
      </c>
      <c r="E24" s="121"/>
      <c r="F24" s="527" t="s">
        <v>103</v>
      </c>
      <c r="G24" s="527"/>
      <c r="H24" s="527" t="s">
        <v>104</v>
      </c>
      <c r="I24" s="671" t="s">
        <v>105</v>
      </c>
      <c r="J24" s="527" t="s">
        <v>106</v>
      </c>
      <c r="K24" s="527"/>
    </row>
    <row r="25" spans="1:12" ht="15" customHeight="1" x14ac:dyDescent="0.3">
      <c r="A25" s="533"/>
      <c r="B25" s="533"/>
      <c r="C25" s="643"/>
      <c r="D25" s="643"/>
      <c r="E25" s="121"/>
      <c r="F25" s="527"/>
      <c r="G25" s="527"/>
      <c r="H25" s="527"/>
      <c r="I25" s="671"/>
      <c r="J25" s="527"/>
      <c r="K25" s="527"/>
    </row>
    <row r="26" spans="1:12" ht="15.75" customHeight="1" x14ac:dyDescent="0.3">
      <c r="A26" s="540" t="s">
        <v>60</v>
      </c>
      <c r="B26" s="75" t="s">
        <v>86</v>
      </c>
      <c r="C26" s="48" t="str">
        <f>G45</f>
        <v/>
      </c>
      <c r="D26" s="48" t="str">
        <f>G85</f>
        <v/>
      </c>
      <c r="E26" s="122"/>
      <c r="F26" s="601" t="s">
        <v>60</v>
      </c>
      <c r="G26" s="601"/>
      <c r="H26" s="591" t="str">
        <f>H45</f>
        <v/>
      </c>
      <c r="I26" s="668" t="str">
        <f>H85</f>
        <v/>
      </c>
      <c r="J26" s="591" t="str">
        <f>IFERROR(ROUND(I26-H26,2),"")</f>
        <v/>
      </c>
      <c r="K26" s="591"/>
    </row>
    <row r="27" spans="1:12" ht="17.25" customHeight="1" x14ac:dyDescent="0.3">
      <c r="A27" s="571"/>
      <c r="B27" s="75" t="s">
        <v>128</v>
      </c>
      <c r="C27" s="48" t="str">
        <f>G46</f>
        <v/>
      </c>
      <c r="D27" s="48" t="str">
        <f>G86</f>
        <v/>
      </c>
      <c r="E27" s="122"/>
      <c r="F27" s="601"/>
      <c r="G27" s="601"/>
      <c r="H27" s="591"/>
      <c r="I27" s="668"/>
      <c r="J27" s="591"/>
      <c r="K27" s="591"/>
    </row>
    <row r="28" spans="1:12" ht="15.75" customHeight="1" x14ac:dyDescent="0.3">
      <c r="A28" s="76" t="s">
        <v>6</v>
      </c>
      <c r="B28" s="76" t="s">
        <v>7</v>
      </c>
      <c r="C28" s="48" t="str">
        <f>G47</f>
        <v/>
      </c>
      <c r="D28" s="48" t="str">
        <f>G87</f>
        <v/>
      </c>
      <c r="E28" s="122"/>
      <c r="F28" s="601"/>
      <c r="G28" s="601"/>
      <c r="H28" s="591"/>
      <c r="I28" s="668"/>
      <c r="J28" s="591"/>
      <c r="K28" s="591"/>
    </row>
    <row r="29" spans="1:12" ht="15.75" customHeight="1" x14ac:dyDescent="0.3">
      <c r="A29" s="526" t="s">
        <v>26</v>
      </c>
      <c r="B29" s="77" t="s">
        <v>27</v>
      </c>
      <c r="C29" s="48" t="str">
        <f>G49</f>
        <v/>
      </c>
      <c r="D29" s="48" t="str">
        <f>G89</f>
        <v/>
      </c>
      <c r="E29" s="122"/>
      <c r="F29" s="602" t="s">
        <v>6</v>
      </c>
      <c r="G29" s="602"/>
      <c r="H29" s="591" t="str">
        <f>H47</f>
        <v/>
      </c>
      <c r="I29" s="668" t="str">
        <f>H87</f>
        <v/>
      </c>
      <c r="J29" s="591" t="str">
        <f>IFERROR(ROUND(I29-H29,2),"")</f>
        <v/>
      </c>
      <c r="K29" s="591"/>
    </row>
    <row r="30" spans="1:12" ht="15.75" customHeight="1" x14ac:dyDescent="0.3">
      <c r="A30" s="520"/>
      <c r="B30" s="77" t="s">
        <v>395</v>
      </c>
      <c r="C30" s="48" t="str">
        <f>G51</f>
        <v/>
      </c>
      <c r="D30" s="48" t="str">
        <f>G91</f>
        <v/>
      </c>
      <c r="E30" s="122"/>
      <c r="F30" s="602"/>
      <c r="G30" s="602"/>
      <c r="H30" s="591"/>
      <c r="I30" s="668"/>
      <c r="J30" s="591"/>
      <c r="K30" s="591"/>
    </row>
    <row r="31" spans="1:12" ht="15.75" customHeight="1" x14ac:dyDescent="0.3">
      <c r="A31" s="520"/>
      <c r="B31" s="77" t="s">
        <v>50</v>
      </c>
      <c r="C31" s="48" t="str">
        <f>G55</f>
        <v/>
      </c>
      <c r="D31" s="48" t="str">
        <f>G95</f>
        <v/>
      </c>
      <c r="E31" s="122"/>
      <c r="F31" s="602"/>
      <c r="G31" s="602"/>
      <c r="H31" s="591"/>
      <c r="I31" s="668"/>
      <c r="J31" s="591"/>
      <c r="K31" s="591"/>
    </row>
    <row r="32" spans="1:12" ht="15.75" customHeight="1" x14ac:dyDescent="0.3">
      <c r="A32" s="520"/>
      <c r="B32" s="77" t="s">
        <v>107</v>
      </c>
      <c r="C32" s="48" t="str">
        <f>G65</f>
        <v/>
      </c>
      <c r="D32" s="48" t="str">
        <f>G105</f>
        <v/>
      </c>
      <c r="E32" s="122"/>
      <c r="F32" s="592" t="s">
        <v>26</v>
      </c>
      <c r="G32" s="593"/>
      <c r="H32" s="598" t="str">
        <f>H49</f>
        <v/>
      </c>
      <c r="I32" s="663" t="str">
        <f>H89</f>
        <v/>
      </c>
      <c r="J32" s="585" t="str">
        <f>IFERROR(ROUND(I32-H32,2),"")</f>
        <v/>
      </c>
      <c r="K32" s="586"/>
    </row>
    <row r="33" spans="1:15" ht="15.75" customHeight="1" x14ac:dyDescent="0.3">
      <c r="A33" s="520"/>
      <c r="B33" s="77" t="s">
        <v>51</v>
      </c>
      <c r="C33" s="48" t="str">
        <f>G66</f>
        <v/>
      </c>
      <c r="D33" s="48" t="str">
        <f>G106</f>
        <v/>
      </c>
      <c r="E33" s="122"/>
      <c r="F33" s="594"/>
      <c r="G33" s="595"/>
      <c r="H33" s="599"/>
      <c r="I33" s="664"/>
      <c r="J33" s="587"/>
      <c r="K33" s="588"/>
    </row>
    <row r="34" spans="1:15" ht="15.75" customHeight="1" x14ac:dyDescent="0.3">
      <c r="A34" s="521"/>
      <c r="B34" s="77" t="s">
        <v>54</v>
      </c>
      <c r="C34" s="48" t="str">
        <f t="shared" ref="C34:C35" si="0">G70</f>
        <v/>
      </c>
      <c r="D34" s="48" t="str">
        <f t="shared" ref="D34:D35" si="1">G110</f>
        <v/>
      </c>
      <c r="E34" s="122"/>
      <c r="F34" s="596"/>
      <c r="G34" s="597"/>
      <c r="H34" s="600"/>
      <c r="I34" s="665"/>
      <c r="J34" s="589"/>
      <c r="K34" s="590"/>
    </row>
    <row r="35" spans="1:15" ht="15.75" customHeight="1" x14ac:dyDescent="0.3">
      <c r="A35" s="537" t="s">
        <v>58</v>
      </c>
      <c r="B35" s="290" t="s">
        <v>88</v>
      </c>
      <c r="C35" s="48" t="str">
        <f t="shared" si="0"/>
        <v/>
      </c>
      <c r="D35" s="48" t="str">
        <f t="shared" si="1"/>
        <v/>
      </c>
      <c r="E35" s="122"/>
      <c r="F35" s="630" t="s">
        <v>58</v>
      </c>
      <c r="G35" s="631"/>
      <c r="H35" s="598" t="str">
        <f>H71</f>
        <v/>
      </c>
      <c r="I35" s="663" t="str">
        <f>H111</f>
        <v/>
      </c>
      <c r="J35" s="585" t="str">
        <f>IFERROR(ROUND(I35-H35,2),"")</f>
        <v/>
      </c>
      <c r="K35" s="586"/>
    </row>
    <row r="36" spans="1:15" ht="15.75" customHeight="1" x14ac:dyDescent="0.3">
      <c r="A36" s="538"/>
      <c r="B36" s="297" t="s">
        <v>362</v>
      </c>
      <c r="C36" s="48" t="str">
        <f>G72</f>
        <v/>
      </c>
      <c r="D36" s="48" t="str">
        <f>G112</f>
        <v/>
      </c>
      <c r="E36" s="122"/>
      <c r="F36" s="632"/>
      <c r="G36" s="633"/>
      <c r="H36" s="599"/>
      <c r="I36" s="664"/>
      <c r="J36" s="587"/>
      <c r="K36" s="588"/>
    </row>
    <row r="37" spans="1:15" ht="15.75" customHeight="1" x14ac:dyDescent="0.3">
      <c r="A37" s="538"/>
      <c r="B37" s="290" t="s">
        <v>81</v>
      </c>
      <c r="C37" s="48" t="str">
        <f>G73</f>
        <v/>
      </c>
      <c r="D37" s="48" t="str">
        <f>G113</f>
        <v/>
      </c>
      <c r="E37" s="122"/>
      <c r="F37" s="634"/>
      <c r="G37" s="635"/>
      <c r="H37" s="600"/>
      <c r="I37" s="665"/>
      <c r="J37" s="589"/>
      <c r="K37" s="590"/>
      <c r="L37" s="18"/>
    </row>
    <row r="38" spans="1:15" ht="15.75" customHeight="1" x14ac:dyDescent="0.3">
      <c r="A38" s="539"/>
      <c r="B38" s="290" t="s">
        <v>82</v>
      </c>
      <c r="C38" s="48" t="str">
        <f>G74</f>
        <v/>
      </c>
      <c r="D38" s="48" t="str">
        <f>G114</f>
        <v/>
      </c>
      <c r="E38" s="122"/>
      <c r="F38" s="636" t="s">
        <v>59</v>
      </c>
      <c r="G38" s="637"/>
      <c r="H38" s="598" t="str">
        <f>H75</f>
        <v/>
      </c>
      <c r="I38" s="663" t="str">
        <f>H115</f>
        <v/>
      </c>
      <c r="J38" s="585" t="str">
        <f>IFERROR(I38-H38,"")</f>
        <v/>
      </c>
      <c r="K38" s="586"/>
      <c r="L38" s="21"/>
    </row>
    <row r="39" spans="1:15" ht="15.75" customHeight="1" x14ac:dyDescent="0.3">
      <c r="A39" s="550" t="s">
        <v>59</v>
      </c>
      <c r="B39" s="78" t="s">
        <v>340</v>
      </c>
      <c r="C39" s="48" t="str">
        <f>G75</f>
        <v/>
      </c>
      <c r="D39" s="48" t="str">
        <f>G115</f>
        <v/>
      </c>
      <c r="E39" s="122"/>
      <c r="F39" s="638"/>
      <c r="G39" s="639"/>
      <c r="H39" s="599"/>
      <c r="I39" s="664"/>
      <c r="J39" s="587"/>
      <c r="K39" s="588"/>
    </row>
    <row r="40" spans="1:15" ht="15.6" customHeight="1" x14ac:dyDescent="0.3">
      <c r="A40" s="551"/>
      <c r="B40" s="78" t="s">
        <v>74</v>
      </c>
      <c r="C40" s="48" t="str">
        <f>G79</f>
        <v/>
      </c>
      <c r="D40" s="48" t="str">
        <f>G119</f>
        <v/>
      </c>
      <c r="E40" s="122"/>
      <c r="F40" s="640"/>
      <c r="G40" s="641"/>
      <c r="H40" s="600"/>
      <c r="I40" s="665"/>
      <c r="J40" s="589"/>
      <c r="K40" s="590"/>
    </row>
    <row r="41" spans="1:15" ht="15" customHeight="1" x14ac:dyDescent="0.3">
      <c r="A41" s="1"/>
      <c r="B41" s="13"/>
      <c r="C41" s="13"/>
      <c r="D41" s="13"/>
      <c r="E41" s="13"/>
      <c r="F41" s="13"/>
      <c r="G41" s="13"/>
      <c r="H41" s="36"/>
      <c r="I41" s="322"/>
      <c r="J41" s="36"/>
      <c r="K41" s="322"/>
      <c r="L41" s="21"/>
    </row>
    <row r="42" spans="1:15" ht="15" customHeight="1" x14ac:dyDescent="0.3">
      <c r="A42" s="1"/>
      <c r="B42" s="13"/>
      <c r="C42" s="13"/>
      <c r="D42" s="13"/>
      <c r="E42" s="13"/>
      <c r="F42" s="13"/>
      <c r="G42" s="13"/>
      <c r="H42" s="36"/>
      <c r="I42" s="322"/>
      <c r="J42" s="36"/>
      <c r="K42" s="322"/>
      <c r="L42" s="21"/>
    </row>
    <row r="43" spans="1:15" ht="21" x14ac:dyDescent="0.4">
      <c r="A43" s="544" t="s">
        <v>56</v>
      </c>
      <c r="B43" s="545"/>
      <c r="C43" s="545"/>
      <c r="D43" s="545"/>
      <c r="E43" s="545"/>
      <c r="F43" s="546"/>
      <c r="G43" s="544" t="s">
        <v>18</v>
      </c>
      <c r="H43" s="545"/>
      <c r="I43" s="545"/>
      <c r="J43" s="545"/>
      <c r="K43" s="546"/>
      <c r="L43" s="21"/>
    </row>
    <row r="44" spans="1:15" ht="15.6" x14ac:dyDescent="0.3">
      <c r="A44" s="158" t="s">
        <v>1</v>
      </c>
      <c r="B44" s="158" t="s">
        <v>2</v>
      </c>
      <c r="C44" s="542" t="s">
        <v>3</v>
      </c>
      <c r="D44" s="543"/>
      <c r="E44" s="158" t="s">
        <v>15</v>
      </c>
      <c r="F44" s="302" t="s">
        <v>16</v>
      </c>
      <c r="G44" s="158" t="s">
        <v>19</v>
      </c>
      <c r="H44" s="158" t="s">
        <v>20</v>
      </c>
      <c r="I44" s="314" t="s">
        <v>20</v>
      </c>
      <c r="J44" s="158" t="s">
        <v>104</v>
      </c>
      <c r="K44" s="315" t="s">
        <v>104</v>
      </c>
      <c r="L44" s="21"/>
    </row>
    <row r="45" spans="1:15" ht="15.6" x14ac:dyDescent="0.3">
      <c r="A45" s="540" t="s">
        <v>60</v>
      </c>
      <c r="B45" s="299" t="s">
        <v>86</v>
      </c>
      <c r="C45" s="52" t="s">
        <v>388</v>
      </c>
      <c r="D45" s="52"/>
      <c r="E45" s="162"/>
      <c r="F45" s="338" t="str">
        <f>IF(E45="","",IF(E45&lt;=0,0,IF(E45&gt;=0.95,1,ROUND('Reference Standards'!C$14*E45+'Reference Standards'!C$15,2))))</f>
        <v/>
      </c>
      <c r="G45" s="83" t="str">
        <f>IFERROR(AVERAGE(F45),"")</f>
        <v/>
      </c>
      <c r="H45" s="522" t="str">
        <f>IFERROR(ROUND(AVERAGE(G45:G46),2),"")</f>
        <v/>
      </c>
      <c r="I45" s="519" t="str">
        <f>IF(H45="","",IF(H45&gt;0.69,"Functioning",IF(H45&gt;0.29,"Functioning At Risk",IF(H45&gt;-1,"Not Functioning"))))</f>
        <v/>
      </c>
      <c r="J45" s="559" t="str">
        <f>IF(AND(H45="",H47="",H49="",H71="",H75=""),"",ROUND((IF(H45="",0,H45)*0.2)+(IF(H47="",0,H47)*0.2)+(IF(H49="",0,H49)*0.2)+(IF(H71="",0,H71)*0.2)+(IF(H75="",0,H75)*0.2),2))</f>
        <v/>
      </c>
      <c r="K45" s="555" t="str">
        <f>IF(J45="","",IF(J45&lt;0.3, "Not Functioning",IF(OR(H45&lt;0.7,H47&lt;0.7,H49&lt;0.7,H71&lt;0.7,H75&lt;0.7),"Functioning At Risk",IF(J45&lt;0.7,"Functioning At Risk","Functioning"))))</f>
        <v/>
      </c>
      <c r="L45" s="21"/>
      <c r="N45" s="19"/>
    </row>
    <row r="46" spans="1:15" ht="15.6" x14ac:dyDescent="0.3">
      <c r="A46" s="541"/>
      <c r="B46" s="371" t="s">
        <v>128</v>
      </c>
      <c r="C46" s="373" t="s">
        <v>161</v>
      </c>
      <c r="D46" s="374"/>
      <c r="E46" s="43"/>
      <c r="F46" s="372" t="str">
        <f>IF(E46="","",IF(E46&gt;=1,1,IF(E46&lt;=0,0,ROUND(E46,2))))</f>
        <v/>
      </c>
      <c r="G46" s="367" t="str">
        <f>IFERROR(AVERAGE(F46:F46),"")</f>
        <v/>
      </c>
      <c r="H46" s="523"/>
      <c r="I46" s="519"/>
      <c r="J46" s="559"/>
      <c r="K46" s="555"/>
      <c r="L46" s="21"/>
      <c r="N46" s="19"/>
    </row>
    <row r="47" spans="1:15" ht="15.6" x14ac:dyDescent="0.3">
      <c r="A47" s="524" t="s">
        <v>6</v>
      </c>
      <c r="B47" s="572" t="s">
        <v>7</v>
      </c>
      <c r="C47" s="54" t="s">
        <v>8</v>
      </c>
      <c r="D47" s="54"/>
      <c r="E47" s="162"/>
      <c r="F47" s="339" t="str">
        <f>IF(E47="","",ROUND(IF(E47&gt;1.6,0,IF(E47&lt;=1,1,E47^2*'Reference Standards'!K$14+E47*'Reference Standards'!K$15+'Reference Standards'!K$16)),2))</f>
        <v/>
      </c>
      <c r="G47" s="579" t="str">
        <f>IFERROR(AVERAGE(F47:F48),"")</f>
        <v/>
      </c>
      <c r="H47" s="579" t="str">
        <f>IFERROR(ROUND(AVERAGE(G47),2),"")</f>
        <v/>
      </c>
      <c r="I47" s="569" t="str">
        <f>IF(H47="","",IF(H47&gt;0.69,"Functioning",IF(H47&gt;0.29,"Functioning At Risk",IF(H47&gt;-1,"Not Functioning"))))</f>
        <v/>
      </c>
      <c r="J47" s="559"/>
      <c r="K47" s="555"/>
      <c r="L47" s="21"/>
      <c r="N47" s="19"/>
      <c r="O47" s="19"/>
    </row>
    <row r="48" spans="1:15" ht="15.6" x14ac:dyDescent="0.3">
      <c r="A48" s="525"/>
      <c r="B48" s="572"/>
      <c r="C48" s="54" t="s">
        <v>9</v>
      </c>
      <c r="D48" s="54"/>
      <c r="E48" s="162"/>
      <c r="F48" s="339" t="str">
        <f>IF(E48="","",(IF(OR(B$11="A",B$11="B",$B$11="Bc"),IF(E48&lt;1.2,0,IF(E48&gt;=2.2,1,ROUND(IF(E48&lt;1.4,E48*'Reference Standards'!$K$84+'Reference Standards'!$K$85,E48*'Reference Standards'!$L$84+'Reference Standards'!$L$85),2))),IF(OR(B$11="C",B$11="E"),IF(E48&lt;2,0,IF(E48&gt;=5,1,ROUND(IF(E48&lt;2.4,E48*'Reference Standards'!$L$49+'Reference Standards'!$L$50,E48*'Reference Standards'!$K$49+'Reference Standards'!$K$50),2)))))))</f>
        <v/>
      </c>
      <c r="G48" s="581"/>
      <c r="H48" s="580"/>
      <c r="I48" s="570"/>
      <c r="J48" s="559"/>
      <c r="K48" s="555"/>
      <c r="L48" s="21"/>
      <c r="N48" s="19"/>
      <c r="O48" s="19"/>
    </row>
    <row r="49" spans="1:15" ht="15.6" x14ac:dyDescent="0.3">
      <c r="A49" s="526" t="s">
        <v>26</v>
      </c>
      <c r="B49" s="557" t="s">
        <v>27</v>
      </c>
      <c r="C49" s="60" t="s">
        <v>333</v>
      </c>
      <c r="D49" s="244"/>
      <c r="E49" s="61"/>
      <c r="F49" s="340" t="str">
        <f>IF(E49="","",IF(OR(LEFT('Quantification Tool R4'!$B$12,2)="65",LEFT('Quantification Tool R4'!$B$12,2)="66",LEFT('Quantification Tool R4'!$B$12,2)="71"),IF(E49&gt;=850,1,IF(E49&lt;250,ROUND('Reference Standards'!$S$17*(E49)+'Reference Standards'!$S$18,2),ROUND('Reference Standards'!$T$17*E49+'Reference Standards'!$T$18,2))),  IF(E49&gt;=345,1,IF(E49&lt;=180,ROUND('Reference Standards'!$U$17*(E49)+'Reference Standards'!$U$18,2),ROUND('Reference Standards'!$V$17*E49+'Reference Standards'!$V$18,2))))    )</f>
        <v/>
      </c>
      <c r="G49" s="528" t="str">
        <f>IFERROR(AVERAGE(F49:F50),"")</f>
        <v/>
      </c>
      <c r="H49" s="566" t="str">
        <f>IFERROR(ROUND(AVERAGE(G49:G70),2),"")</f>
        <v/>
      </c>
      <c r="I49" s="555" t="str">
        <f>IF(H49="","",IF(H49&gt;0.69,"Functioning",IF(H49&gt;0.29,"Functioning At Risk",IF(H49&gt;-1,"Not Functioning"))))</f>
        <v/>
      </c>
      <c r="J49" s="559"/>
      <c r="K49" s="555"/>
      <c r="L49" s="21"/>
      <c r="N49" s="19"/>
      <c r="O49" s="19"/>
    </row>
    <row r="50" spans="1:15" ht="15.6" x14ac:dyDescent="0.3">
      <c r="A50" s="520"/>
      <c r="B50" s="558"/>
      <c r="C50" s="63" t="s">
        <v>323</v>
      </c>
      <c r="D50" s="245"/>
      <c r="E50" s="53"/>
      <c r="F50" s="341" t="str">
        <f>IF(E50="","",IF(OR(LEFT('Quantification Tool R4'!$B$12,2)="65",LEFT('Quantification Tool R4'!$B$12,2)="66",LEFT('Quantification Tool R4'!$B$12,2)="71"),IF(E50&gt;=30,1,IF(E50&lt;13,ROUND('Reference Standards'!$S$53*(E50)+'Reference Standards'!$S$54,2),ROUND('Reference Standards'!$T$53*E50+'Reference Standards'!$T$54,2))),  IF(E50&gt;=16,1,IF(E50&lt;=9,ROUND('Reference Standards'!$U$53*(E50)+'Reference Standards'!$U$54,2),ROUND('Reference Standards'!$V$53*E50+'Reference Standards'!$V$54,2))))    )</f>
        <v/>
      </c>
      <c r="G50" s="530"/>
      <c r="H50" s="566"/>
      <c r="I50" s="555"/>
      <c r="J50" s="559"/>
      <c r="K50" s="555"/>
      <c r="L50" s="21"/>
      <c r="N50" s="19"/>
      <c r="O50" s="19"/>
    </row>
    <row r="51" spans="1:15" ht="15.6" x14ac:dyDescent="0.3">
      <c r="A51" s="520"/>
      <c r="B51" s="520" t="s">
        <v>395</v>
      </c>
      <c r="C51" s="58" t="s">
        <v>80</v>
      </c>
      <c r="D51" s="58"/>
      <c r="E51" s="165"/>
      <c r="F51" s="340" t="str">
        <f>IF(E51="","",ROUND(IF(E51&gt;0.7,0,IF(E51&lt;=0.1,1,E51^3*'Reference Standards'!S$87+E51^2*'Reference Standards'!S$88+E51*'Reference Standards'!S$89+'Reference Standards'!S$90)),2))</f>
        <v/>
      </c>
      <c r="G51" s="528" t="str">
        <f>IFERROR(ROUND(AVERAGE(F51:F54),2),"")</f>
        <v/>
      </c>
      <c r="H51" s="567"/>
      <c r="I51" s="555"/>
      <c r="J51" s="559"/>
      <c r="K51" s="555"/>
      <c r="L51" s="21"/>
      <c r="N51" s="19"/>
      <c r="O51" s="19"/>
    </row>
    <row r="52" spans="1:15" ht="15.6" x14ac:dyDescent="0.3">
      <c r="A52" s="520"/>
      <c r="B52" s="520"/>
      <c r="C52" s="58" t="s">
        <v>49</v>
      </c>
      <c r="D52" s="58"/>
      <c r="E52" s="165"/>
      <c r="F52" s="84" t="str">
        <f>IF(E52="","",IF(OR(E52="Ex/Ex",E52="Ex/VH"),0, IF(OR(E52="Ex/H",E52="VH/Ex",E52="VH/VH", E52="H/Ex",E52="H/VH",E52="M/Ex"),0.1,IF(OR(E52="Ex/M",E52="VH/H",E52="H/H", E52="M/VH"),0.2, IF(OR(E52="Ex/L",E52="VH/M",E52="H/M", E52="M/H",E52="L/Ex"),0.3, IF(OR(E52="Ex/VL",E52="VH/L",E52="H/L"),0.4, IF(OR(E52="VH/VL",E52="H/VL",E52="M/M", E52="L/VH"),0.5, IF(OR(E52="M/L",E52="L/H"),0.6, IF(OR(E52="M/VL",E52="L/M"),0.7, IF(OR(E52="L/L",E52="L/VL"),1))))))))))</f>
        <v/>
      </c>
      <c r="G52" s="529"/>
      <c r="H52" s="567"/>
      <c r="I52" s="555"/>
      <c r="J52" s="559"/>
      <c r="K52" s="555"/>
      <c r="L52" s="21"/>
      <c r="N52" s="19"/>
      <c r="O52" s="19"/>
    </row>
    <row r="53" spans="1:15" ht="15.6" x14ac:dyDescent="0.3">
      <c r="A53" s="520"/>
      <c r="B53" s="520"/>
      <c r="C53" s="58" t="s">
        <v>87</v>
      </c>
      <c r="D53" s="58"/>
      <c r="E53" s="165"/>
      <c r="F53" s="84" t="str">
        <f>IF(E53="","",ROUND(IF(E53&gt;40,0,IF(E53&lt;5,1,E53^3*'Reference Standards'!S$122+E53^2*'Reference Standards'!S$123+E53*'Reference Standards'!S$124+'Reference Standards'!S$125)),2))</f>
        <v/>
      </c>
      <c r="G53" s="529"/>
      <c r="H53" s="567"/>
      <c r="I53" s="555"/>
      <c r="J53" s="559"/>
      <c r="K53" s="555"/>
      <c r="L53" s="21"/>
      <c r="N53" s="19"/>
      <c r="O53" s="19"/>
    </row>
    <row r="54" spans="1:15" ht="15.6" x14ac:dyDescent="0.3">
      <c r="A54" s="520"/>
      <c r="B54" s="521"/>
      <c r="C54" s="59" t="s">
        <v>394</v>
      </c>
      <c r="D54" s="59"/>
      <c r="E54" s="167"/>
      <c r="F54" s="341" t="str">
        <f>IF(E54="","",ROUND(IF(E54&gt;=30,0,IF(E54&lt;=0,1,E54*'Reference Standards'!S$156+'Reference Standards'!S$157)),2))</f>
        <v/>
      </c>
      <c r="G54" s="530"/>
      <c r="H54" s="567"/>
      <c r="I54" s="555"/>
      <c r="J54" s="559"/>
      <c r="K54" s="555"/>
      <c r="L54" s="21"/>
      <c r="N54" s="19"/>
      <c r="O54" s="19"/>
    </row>
    <row r="55" spans="1:15" ht="15.6" x14ac:dyDescent="0.3">
      <c r="A55" s="520"/>
      <c r="B55" s="520" t="s">
        <v>50</v>
      </c>
      <c r="C55" s="60" t="s">
        <v>377</v>
      </c>
      <c r="D55" s="64"/>
      <c r="E55" s="136"/>
      <c r="F55" s="294" t="str">
        <f>IF(E55="","",ROUND(IF(E55&gt;9.2,1,E55*'Reference Standards'!$S$189+'Reference Standards'!$S$190),2))</f>
        <v/>
      </c>
      <c r="G55" s="552" t="str">
        <f>IFERROR(ROUND(AVERAGE(F55:F64),2),"")</f>
        <v/>
      </c>
      <c r="H55" s="567"/>
      <c r="I55" s="555"/>
      <c r="J55" s="559"/>
      <c r="K55" s="555"/>
      <c r="L55" s="21"/>
      <c r="N55" s="19"/>
      <c r="O55" s="19"/>
    </row>
    <row r="56" spans="1:15" ht="15.6" x14ac:dyDescent="0.3">
      <c r="A56" s="520"/>
      <c r="B56" s="520"/>
      <c r="C56" s="62" t="s">
        <v>378</v>
      </c>
      <c r="D56" s="58"/>
      <c r="E56" s="162"/>
      <c r="F56" s="294" t="str">
        <f>IF(E56="","",ROUND(IF(E56&gt;9.2,1,E56*'Reference Standards'!$S$189+'Reference Standards'!$S$190),2))</f>
        <v/>
      </c>
      <c r="G56" s="553"/>
      <c r="H56" s="567"/>
      <c r="I56" s="555"/>
      <c r="J56" s="559"/>
      <c r="K56" s="555"/>
      <c r="L56" s="21"/>
      <c r="N56" s="19"/>
      <c r="O56" s="19"/>
    </row>
    <row r="57" spans="1:15" ht="15.6" x14ac:dyDescent="0.3">
      <c r="A57" s="520"/>
      <c r="B57" s="520"/>
      <c r="C57" s="62" t="s">
        <v>379</v>
      </c>
      <c r="D57" s="58"/>
      <c r="E57" s="162"/>
      <c r="F57" s="294" t="str">
        <f>IF(E57="","",ROUND( IF(E57&gt;=200,1,IF(E57&lt;50, E57^2*'Reference Standards'!S$224+E57*'Reference Standards'!S$225+'Reference Standards'!S$226, E57*'Reference Standards'!T$224+'Reference Standards'!T$225)),2))</f>
        <v/>
      </c>
      <c r="G57" s="553"/>
      <c r="H57" s="567"/>
      <c r="I57" s="555"/>
      <c r="J57" s="559"/>
      <c r="K57" s="555"/>
      <c r="L57" s="21"/>
      <c r="N57" s="19"/>
      <c r="O57" s="19"/>
    </row>
    <row r="58" spans="1:15" ht="15.6" x14ac:dyDescent="0.3">
      <c r="A58" s="520"/>
      <c r="B58" s="520"/>
      <c r="C58" s="62" t="s">
        <v>380</v>
      </c>
      <c r="D58" s="58"/>
      <c r="E58" s="162"/>
      <c r="F58" s="294" t="str">
        <f>IF(E58="","",ROUND( IF(E58&gt;=200,1,IF(E58&lt;50, E58^2*'Reference Standards'!S$224+E58*'Reference Standards'!S$225+'Reference Standards'!S$226, E58*'Reference Standards'!T$224+'Reference Standards'!T$225)),2))</f>
        <v/>
      </c>
      <c r="G58" s="553"/>
      <c r="H58" s="567"/>
      <c r="I58" s="555"/>
      <c r="J58" s="559"/>
      <c r="K58" s="555"/>
      <c r="L58" s="21"/>
      <c r="N58" s="19"/>
      <c r="O58" s="19"/>
    </row>
    <row r="59" spans="1:15" ht="15.6" x14ac:dyDescent="0.3">
      <c r="A59" s="520"/>
      <c r="B59" s="520"/>
      <c r="C59" s="58" t="s">
        <v>381</v>
      </c>
      <c r="D59" s="58"/>
      <c r="E59" s="162"/>
      <c r="F59" s="294" t="str">
        <f>IF(E59="","",ROUND(IF(AND(E59&gt;=135,E59&lt;=262),1,IF(  E59&gt;=366,0.5, IF(E59&lt;135,E59*'Reference Standards'!S$259+'Reference Standards'!S$260, E59*'Reference Standards'!T$259+'Reference Standards'!T$260))),2))</f>
        <v/>
      </c>
      <c r="G59" s="553"/>
      <c r="H59" s="567"/>
      <c r="I59" s="555"/>
      <c r="J59" s="559"/>
      <c r="K59" s="555"/>
      <c r="L59" s="21"/>
      <c r="N59" s="19"/>
      <c r="O59" s="19"/>
    </row>
    <row r="60" spans="1:15" ht="15.6" x14ac:dyDescent="0.3">
      <c r="A60" s="520"/>
      <c r="B60" s="520"/>
      <c r="C60" s="58" t="s">
        <v>382</v>
      </c>
      <c r="D60" s="58"/>
      <c r="E60" s="162"/>
      <c r="F60" s="294" t="str">
        <f>IF(E60="","",ROUND(IF(AND(E60&gt;=135,E60&lt;=262),1,IF(  E60&gt;=366,0.5, IF(E60&lt;135,E60*'Reference Standards'!S$259+'Reference Standards'!S$260, E60*'Reference Standards'!T$259+'Reference Standards'!T$260))),2))</f>
        <v/>
      </c>
      <c r="G60" s="553"/>
      <c r="H60" s="567"/>
      <c r="I60" s="555"/>
      <c r="J60" s="559"/>
      <c r="K60" s="555"/>
      <c r="L60" s="21"/>
      <c r="N60" s="19"/>
      <c r="O60" s="19"/>
    </row>
    <row r="61" spans="1:15" ht="15.6" x14ac:dyDescent="0.3">
      <c r="A61" s="520"/>
      <c r="B61" s="520"/>
      <c r="C61" s="58" t="s">
        <v>383</v>
      </c>
      <c r="D61" s="58"/>
      <c r="E61" s="162"/>
      <c r="F61" s="84" t="str">
        <f>IF(E61="","",ROUND(IF(E61&gt;=75,1,IF(E61&lt;=0,0,E61*'Reference Standards'!S$330)),2))</f>
        <v/>
      </c>
      <c r="G61" s="553"/>
      <c r="H61" s="567"/>
      <c r="I61" s="555"/>
      <c r="J61" s="559"/>
      <c r="K61" s="555"/>
      <c r="L61" s="21"/>
      <c r="N61" s="19"/>
      <c r="O61" s="19"/>
    </row>
    <row r="62" spans="1:15" ht="15.6" x14ac:dyDescent="0.3">
      <c r="A62" s="520"/>
      <c r="B62" s="520"/>
      <c r="C62" s="58" t="s">
        <v>384</v>
      </c>
      <c r="D62" s="58"/>
      <c r="E62" s="162"/>
      <c r="F62" s="84" t="str">
        <f>IF(E62="","",ROUND(IF(E62&gt;=75,1,IF(E62&lt;=0,0,E62*'Reference Standards'!S$330)),2))</f>
        <v/>
      </c>
      <c r="G62" s="553"/>
      <c r="H62" s="567"/>
      <c r="I62" s="555"/>
      <c r="J62" s="559"/>
      <c r="K62" s="555"/>
      <c r="L62" s="21"/>
      <c r="N62" s="19"/>
      <c r="O62" s="19"/>
    </row>
    <row r="63" spans="1:15" ht="15.6" x14ac:dyDescent="0.3">
      <c r="A63" s="520"/>
      <c r="B63" s="520"/>
      <c r="C63" s="58" t="s">
        <v>385</v>
      </c>
      <c r="D63" s="58"/>
      <c r="E63" s="162"/>
      <c r="F63" s="294" t="str">
        <f>IF(E63="","",ROUND(IF(AND(E63&gt;=36.3,E63&lt;=68),1,IF(E63&gt;100,0,IF(E63&lt;36.3,(('Reference Standards'!S$297*(E63^2))+('Reference Standards'!S$298*E63)+'Reference Standards'!S$299),IF(E63&gt;68,(('Reference Standards'!T$297*(E63^2))+('Reference Standards'!T$298*E63)+'Reference Standards'!T$299))))),2))</f>
        <v/>
      </c>
      <c r="G63" s="553"/>
      <c r="H63" s="567"/>
      <c r="I63" s="555"/>
      <c r="J63" s="559"/>
      <c r="K63" s="555"/>
      <c r="L63" s="21"/>
      <c r="N63" s="19"/>
      <c r="O63" s="19"/>
    </row>
    <row r="64" spans="1:15" ht="15.6" x14ac:dyDescent="0.3">
      <c r="A64" s="520"/>
      <c r="B64" s="521"/>
      <c r="C64" s="58" t="s">
        <v>386</v>
      </c>
      <c r="D64" s="65"/>
      <c r="E64" s="162"/>
      <c r="F64" s="294" t="str">
        <f>IF(E64="","",ROUND(IF(AND(E64&gt;=36.3,E64&lt;=68),1,IF(E64&gt;100,0,IF(E64&lt;36.3,(('Reference Standards'!S$297*(E64^2))+('Reference Standards'!S$298*E64)+'Reference Standards'!S$299),IF(E64&gt;68,(('Reference Standards'!T$297*(E64^2))+('Reference Standards'!T$298*E64)+'Reference Standards'!T$299))))),2))</f>
        <v/>
      </c>
      <c r="G64" s="554"/>
      <c r="H64" s="567"/>
      <c r="I64" s="555"/>
      <c r="J64" s="559"/>
      <c r="K64" s="555"/>
      <c r="L64" s="21"/>
      <c r="N64" s="19"/>
      <c r="O64" s="19"/>
    </row>
    <row r="65" spans="1:15" ht="15.6" x14ac:dyDescent="0.3">
      <c r="A65" s="520"/>
      <c r="B65" s="56" t="s">
        <v>108</v>
      </c>
      <c r="C65" s="72" t="s">
        <v>130</v>
      </c>
      <c r="D65" s="58"/>
      <c r="E65" s="43"/>
      <c r="F65" s="82" t="str">
        <f>IF(E65="","",IF(OR(B$14="Gravel",B$14="Cobble"),IF(E65&gt;0.1,1,IF(E65&lt;=0.01,0,ROUND(E65*'Reference Standards'!$S$362+'Reference Standards'!$S$363,2)))))</f>
        <v/>
      </c>
      <c r="G65" s="82" t="str">
        <f>IFERROR(AVERAGE(F65),"")</f>
        <v/>
      </c>
      <c r="H65" s="567"/>
      <c r="I65" s="555"/>
      <c r="J65" s="559"/>
      <c r="K65" s="555"/>
      <c r="L65" s="21"/>
      <c r="N65" s="19"/>
      <c r="O65" s="19"/>
    </row>
    <row r="66" spans="1:15" ht="15.6" x14ac:dyDescent="0.3">
      <c r="A66" s="520"/>
      <c r="B66" s="526" t="s">
        <v>51</v>
      </c>
      <c r="C66" s="64" t="s">
        <v>52</v>
      </c>
      <c r="D66" s="64"/>
      <c r="E66" s="166"/>
      <c r="F66" s="337" t="str">
        <f>IF(E66="","",IF(ISNUMBER($B$17),IF($B$17&lt;=2,IF(AND(E66&gt;=3,E66&lt;=5),1,IF(OR(E66&lt;=1,E66&gt;=7),0,ROUND(IF(E66&lt;3,E66*'Reference Standards'!S$398+'Reference Standards'!S$399,E66*'Reference Standards'!T$398+'Reference Standards'!T$399),2))),IF(E66&lt;=2.5,1,IF(E66&gt;=5.8,0,E66*'Reference Standards'!S$430+'Reference Standards'!S$431)))))</f>
        <v/>
      </c>
      <c r="G66" s="528" t="str">
        <f>IFERROR(AVERAGE(F66:F69),"")</f>
        <v/>
      </c>
      <c r="H66" s="567"/>
      <c r="I66" s="555"/>
      <c r="J66" s="559"/>
      <c r="K66" s="555"/>
      <c r="L66" s="21"/>
      <c r="N66" s="19"/>
      <c r="O66" s="19"/>
    </row>
    <row r="67" spans="1:15" ht="15.6" x14ac:dyDescent="0.3">
      <c r="A67" s="520"/>
      <c r="B67" s="520"/>
      <c r="C67" s="58" t="s">
        <v>53</v>
      </c>
      <c r="D67" s="58"/>
      <c r="E67" s="165"/>
      <c r="F67" s="84" t="str">
        <f>IF(E67="","", IF( E67&gt;=2.4,1, IF(E67&lt;=1,0,  ROUND(IF(E67&lt;2.4, E67*'Reference Standards'!$S$464+'Reference Standards'!$S$465  ),2))))</f>
        <v/>
      </c>
      <c r="G67" s="529"/>
      <c r="H67" s="567"/>
      <c r="I67" s="555"/>
      <c r="J67" s="559"/>
      <c r="K67" s="555"/>
      <c r="L67" s="21"/>
      <c r="N67" s="19"/>
      <c r="O67" s="19"/>
    </row>
    <row r="68" spans="1:15" ht="15.6" x14ac:dyDescent="0.3">
      <c r="A68" s="520"/>
      <c r="B68" s="520"/>
      <c r="C68" s="58" t="s">
        <v>334</v>
      </c>
      <c r="D68" s="58"/>
      <c r="E68" s="165"/>
      <c r="F68" s="390" t="str">
        <f>IF(E68="","", IF(LEFT($B$12,2)="67",  IF( AND(E68&gt;=45,E68&lt;=65),1, IF(OR(E68&lt;=20,E68&gt;=90),0, ROUND(  IF(E68&lt;45, E68*'Reference Standards'!$S$498+'Reference Standards'!$S$499,E68*'Reference Standards'!$T$498+'Reference Standards'!$T$499),2))), IF(OR(  LEFT($B$12,2)="68", LEFT($B$12,2)="69",LEFT($B$12,2)="71"),  IF( AND(E68&gt;=30,E68&lt;=50),1, IF(OR(E68&lt;=10,E68&gt;=70),0, ROUND(  IF(E68&lt;30, E68*'Reference Standards'!$S$533+'Reference Standards'!$S$534,E68*'Reference Standards'!$T$533+'Reference Standards'!$T$534),2))), IF(LEFT($B$12,2)="66",  IF( AND(E68&gt;=20,E68&lt;=45),1, IF(OR(E68&lt;=0,E68&gt;=90),0, ROUND(  IF(E68&lt;20, E68*'Reference Standards'!$S$567+'Reference Standards'!$S$568,E68*'Reference Standards'!$T$567+'Reference Standards'!$T$568),2))), IF(OR(  LEFT($B$12,2)="65", LEFT($B$12,2)="74", LEFT($B$12,2)="73"),  IF( AND(E68&gt;=20,E68&lt;=30),1, IF(OR(E68&lt;=0,E68&gt;=50),0, ROUND(  IF(E68&lt;20, E68*'Reference Standards'!$S$601+'Reference Standards'!$S$602,E68*'Reference Standards'!$T$601+'Reference Standards'!$T$602),2))))))))</f>
        <v/>
      </c>
      <c r="G68" s="529"/>
      <c r="H68" s="567"/>
      <c r="I68" s="555"/>
      <c r="J68" s="559"/>
      <c r="K68" s="555"/>
      <c r="L68" s="21"/>
      <c r="N68" s="19"/>
      <c r="O68" s="19"/>
    </row>
    <row r="69" spans="1:15" ht="15.6" x14ac:dyDescent="0.3">
      <c r="A69" s="520"/>
      <c r="B69" s="521"/>
      <c r="C69" s="62" t="s">
        <v>210</v>
      </c>
      <c r="D69" s="58"/>
      <c r="E69" s="167"/>
      <c r="F69" s="391" t="str">
        <f>IF(E69="","",IF(E69&gt;=1.6,0,IF(E69&lt;=1,1,ROUND('Reference Standards'!$S$633*E69^3+'Reference Standards'!$S$634*E69^2+'Reference Standards'!$S$635*E69+'Reference Standards'!$S$636,2))))</f>
        <v/>
      </c>
      <c r="G69" s="530"/>
      <c r="H69" s="567"/>
      <c r="I69" s="555"/>
      <c r="J69" s="559"/>
      <c r="K69" s="555"/>
      <c r="L69" s="21"/>
      <c r="N69" s="19"/>
      <c r="O69" s="19"/>
    </row>
    <row r="70" spans="1:15" ht="15.6" x14ac:dyDescent="0.3">
      <c r="A70" s="521"/>
      <c r="B70" s="296" t="s">
        <v>55</v>
      </c>
      <c r="C70" s="242" t="s">
        <v>54</v>
      </c>
      <c r="D70" s="243"/>
      <c r="E70" s="241"/>
      <c r="F70" s="342" t="str">
        <f>IF(E70="","",IF(AND(B$11="E",$B$14="Sand",$B$21="Unconfined Alluvial"),ROUND(IF(OR(E70&gt;1.8,E70&lt;1.3),0,IF(E70&lt;=1.6,1,E70*'Reference Standards'!S$667+'Reference Standards'!S$668)),2),    IF($B$21="Unconfined Alluvial",ROUND(IF(OR(E70&lt;1.2, E70&gt;1.5),0,IF(E70&lt;=1.4,1,E70*'Reference Standards'!$S$700+'Reference Standards'!$S$701)),2), IF($B$21="Confined Alluvial",ROUND(IF(E70&lt;1.15,0,IF(E70&lt;=1.4,E70*'Reference Standards'!$S$729+'Reference Standards'!$S$730,1)),2),  IF($B$21="Colluvial",ROUND(IF(E70&gt;1.3,0,IF(E70&gt;1.2,E70*'Reference Standards'!$S$760+'Reference Standards'!$S$761,1)),2) )))))</f>
        <v/>
      </c>
      <c r="G70" s="84" t="str">
        <f>IFERROR(AVERAGE(F70),"")</f>
        <v/>
      </c>
      <c r="H70" s="567"/>
      <c r="I70" s="555"/>
      <c r="J70" s="559"/>
      <c r="K70" s="555"/>
      <c r="L70" s="21"/>
      <c r="N70" s="19"/>
      <c r="O70" s="19"/>
    </row>
    <row r="71" spans="1:15" ht="15.6" x14ac:dyDescent="0.3">
      <c r="A71" s="537" t="s">
        <v>58</v>
      </c>
      <c r="B71" s="67" t="s">
        <v>88</v>
      </c>
      <c r="C71" s="70" t="s">
        <v>338</v>
      </c>
      <c r="D71" s="70"/>
      <c r="E71" s="43"/>
      <c r="F71" s="343" t="str">
        <f>IF(E71="","",ROUND(IF(E71&gt;=942,0,IF(E71&lt;=487,E71*'Reference Standards'!AB$15+'Reference Standards'!AB$16,E71*'Reference Standards'!$AC$15+'Reference Standards'!$AC$16)),2))</f>
        <v/>
      </c>
      <c r="G71" s="85" t="str">
        <f>IFERROR(AVERAGE(F71),"")</f>
        <v/>
      </c>
      <c r="H71" s="547" t="str">
        <f>IFERROR(ROUND(AVERAGE(G71:G74),2),"")</f>
        <v/>
      </c>
      <c r="I71" s="534" t="str">
        <f>IF(H71="","",IF(H71&gt;0.69,"Functioning",IF(H71&gt;0.29,"Functioning At Risk",IF(H71&gt;-1,"Not Functioning"))))</f>
        <v/>
      </c>
      <c r="J71" s="559"/>
      <c r="K71" s="555"/>
      <c r="L71" s="21"/>
      <c r="O71" s="19"/>
    </row>
    <row r="72" spans="1:15" ht="15.6" x14ac:dyDescent="0.3">
      <c r="A72" s="538"/>
      <c r="B72" s="297" t="s">
        <v>362</v>
      </c>
      <c r="C72" s="66" t="s">
        <v>354</v>
      </c>
      <c r="D72" s="66"/>
      <c r="E72" s="163"/>
      <c r="F72" s="344" t="str">
        <f>IF(E72="","",IF(OR($B$12="65abei", $B$12="65j", $B$12="66d", $B$12="66e", $B$12="66ik", $B$12="66f", $B$12="66g", $B$12="66j", $B$12="68a", $B$12="69de", $B$12="74b",AND(OR($B$12="67fhi", $B$12="67g"),$B$13&lt;=2),AND(OR($B$12="68c", $B$12="68d"),$B$19="January - June")),IF(E72&gt;93,0,IF(E72&lt;13,1,ROUND('Reference Standards'!$AB$53*E72^2+'Reference Standards'!$AB$54*E72+'Reference Standards'!$AB$55,2))),   IF(OR(AND(OR($B$12="67fhi", $B$12="67g",$B$12="71f",$B$12="71g",$B$12="71h"),$B$13&gt;2),AND(OR($B$12="68c", $B$12="68d"),$B$19="July - December"),$B$12="73a",$B$12="73b"),IF(E72&gt;94,0,IF(E72&lt;17,1,ROUND('Reference Standards'!$AC$53*E72^2+'Reference Standards'!$AC$54*E72+'Reference Standards'!$AC$55,2))),    IF(OR(AND(OR($B$12="68b",$B$12="71i"),$B$13&gt;2), $B$12="71e"),IF(E72&gt;91,0,IF(E72&lt;24,1,ROUND('Reference Standards'!$AD$53*E72^2+'Reference Standards'!$AD$54*E72+'Reference Standards'!$AD$55,2))),  IF(OR(AND(OR($B$12="71f",$B$12="71g",$B$12="71h",$B$12="71i"),$B$13&lt;=2), AND($B$12="74a",$B$13&gt;2)),IF(E72&gt;95,0,IF(E72&lt;=36,1,ROUND('Reference Standards'!$AE$53*E72^2+'Reference Standards'!$AE$54*E72+'Reference Standards'!$AE$55,2))))))))</f>
        <v/>
      </c>
      <c r="G72" s="236" t="str">
        <f>IFERROR(AVERAGE(F72:F72),"")</f>
        <v/>
      </c>
      <c r="H72" s="548"/>
      <c r="I72" s="535"/>
      <c r="J72" s="559"/>
      <c r="K72" s="555"/>
      <c r="L72" s="21"/>
      <c r="O72" s="19"/>
    </row>
    <row r="73" spans="1:15" ht="15.6" x14ac:dyDescent="0.3">
      <c r="A73" s="538"/>
      <c r="B73" s="67" t="s">
        <v>81</v>
      </c>
      <c r="C73" s="68" t="s">
        <v>281</v>
      </c>
      <c r="D73" s="68"/>
      <c r="E73" s="162"/>
      <c r="F73" s="344" t="str">
        <f>IF(E73="","",IF(ISNUMBER($B$13),IF(OR($B$12="66e",$B$12="66f",$B$12="66g"),ROUND(IF(E73&gt;=0.61,0,IF(E73&lt;=0.01,1,IF(E73&lt;=0.06,E73*'Reference Standards'!$AD$197+'Reference Standards'!$AD$198,E73^2*'Reference Standards'!$AB$196+E73*'Reference Standards'!$AB$197+'Reference Standards'!$AB$198))),2),IF($B$12="68b",ROUND(IF(E73&gt;=1.1,0,IF(E73&lt;=0.17,1,IF(E73&lt;=0.22,E73*'Reference Standards'!$AE$197+'Reference Standards'!$AE$198,E73^2*'Reference Standards'!$AC$196+E73*'Reference Standards'!$AC$197+'Reference Standards'!$AC$198))),2),IF($B$13&lt;=2.5,IF($B$12="69de",ROUND(IF(E73&gt;=0.22,0,IF(E73&lt;=0.01,1,E73^2*'Reference Standards'!$AB$90+E73*'Reference Standards'!$AB$91+'Reference Standards'!$AB$92)),2),IF($B$12="68c",ROUND(IF(E73&gt;=0.87,0,IF(E73&lt;=0.01,1,E73^2*'Reference Standards'!$AC$90+E73*'Reference Standards'!$AC$91+'Reference Standards'!$AC$92)),2),IF($B$12="68a",ROUND(IF(E73&gt;=0.81,0,IF(E73&lt;=0.01,1,E73^2*'Reference Standards'!$AD$90+E73*'Reference Standards'!$AD$91+'Reference Standards'!$AD$92)),2),IF($B$12="65abei",ROUND(IF(E73&gt;=0.67,0,IF(E73&lt;=0.01,1,IF(E73&lt;=0.18,E73*'Reference Standards'!$AG$91+'Reference Standards'!$AG$92,E73*'Reference Standards'!$AE$91+'Reference Standards'!$AE$92))),2),IF($B$12="65j",ROUND(IF(E73&gt;=0.32,0,IF(E73&lt;=0.01,1,IF(E73&lt;=0.25,E73*'Reference Standards'!$AH$91+'Reference Standards'!$AH$92,E73*'Reference Standards'!$AF$91+'Reference Standards'!$AF$92))),2),IF($B$12="71f",ROUND(IF(E73&gt;=3,0,IF(E73&lt;=0,1,IF(E73&lt;=0.01,0.7,E73^2*'Reference Standards'!$AB$126+E73*'Reference Standards'!$AB$127+'Reference Standards'!$AB$128))),2),IF($B$12="74a",ROUND(IF(E73&gt;=0.14,0,IF(E73&lt;=0.01,1,IF(E73&lt;=0.02,0.7,E73^2*'Reference Standards'!$AC$126+E73*'Reference Standards'!$AC$127+'Reference Standards'!$AC$128))),2),IF(OR($B$12="67fhi",$B$12="67g"),ROUND(IF(E73&gt;=1.9,0,IF(E73&lt;=0.01,1,IF(E73&lt;=0.05,E73*'Reference Standards'!$AF$127+'Reference Standards'!$AF$128,E73^2*'Reference Standards'!$AD$126+E73*'Reference Standards'!$AD$127+'Reference Standards'!$AD$128))),2),IF($B$12="73a",ROUND(IF(E73&gt;=1.44,0,IF(E73&lt;=0.01,1,IF(E73&lt;=0.12,E73*'Reference Standards'!$AG$127+'Reference Standards'!$AG$128,E73^2*'Reference Standards'!$AE$126+E73*'Reference Standards'!$AE$127+'Reference Standards'!$AE$128))),2),IF($B$12="66d",ROUND(IF(E73&gt;=0.46,0,IF(E73&lt;=0.02,1,IF(E73&lt;=0.08,E73*'Reference Standards'!$AF$163+'Reference Standards'!$AF$164,E73^2*'Reference Standards'!$AB$162+E73*'Reference Standards'!$AB$163+'Reference Standards'!$AB$164))),2),IF(OR($B$12="71g",$B$12="71h",$B$12="71i"),ROUND(IF(E73&gt;=3,0,IF(E73&lt;=0.06,1,IF(E73&lt;=0.24,E73*'Reference Standards'!$AG$163+'Reference Standards'!$AG$164,E73^2*'Reference Standards'!$AC$162+E73*'Reference Standards'!$AC$163+'Reference Standards'!$AC$164))),2),IF($B$12="74b",ROUND(IF(E73&gt;=1.3,0,IF(E73&lt;=0.29,1,IF(E73&lt;=0.48,E73*'Reference Standards'!$AH$163+'Reference Standards'!$AH$164,E73^2*'Reference Standards'!$AD$162+E73*'Reference Standards'!$AD$163+'Reference Standards'!$AD$164))),2),IF($B$12="71e",ROUND(IF(E73&gt;=4.3,0,IF(E73&lt;=0.53,1,IF(E73&lt;=0.67,E73*'Reference Standards'!$AI$163+'Reference Standards'!$AI$164,E73^2*'Reference Standards'!$AE$162+E73*'Reference Standards'!$AE$163+'Reference Standards'!$AE$164))),2)))))))))))))),IF($B$13&gt;2.5,IF($B$12="73a",ROUND(IF(E73&gt;=0.55,0,IF(E73&lt;=0,1,E73^2*'Reference Standards'!$AB$232+E73*'Reference Standards'!$AB$233+'Reference Standards'!$AB$234)),2),IF($B$12="68a",ROUND(IF(E73&gt;=0.54,0,IF(E73&lt;=0,1,IF(E73&lt;=0.01,0.85,E73^2*'Reference Standards'!$AC$232+E73*'Reference Standards'!$AC$233+'Reference Standards'!$AC$234))),2),IF($B$12="74a",ROUND(IF(E73&gt;=0.47,0,IF(E73&lt;=0.01,1,IF(E73&lt;=0.02,0.7,E73^2*'Reference Standards'!$AD$232+E73*'Reference Standards'!$AD$233+'Reference Standards'!$AD$234))),2),IF($B$12="69de",ROUND(IF(E73&gt;=0.26,0,IF(E73&lt;=0.01,1,IF(E73&lt;=0.02,0.85,E73^2*'Reference Standards'!$AE$232+E73*'Reference Standards'!$AE$233+'Reference Standards'!$AE$234))),2),IF($B$12="71f",ROUND(IF(E73&gt;=0.87,0,IF(E73&lt;=0.01,1,IF(E73&lt;=0.04,E73*'Reference Standards'!$AF$269+'Reference Standards'!$AF$270,E73^2*'Reference Standards'!$AB$268+E73*'Reference Standards'!$AB$269+'Reference Standards'!$AB$270))),2),IF($B$12="65abei",ROUND(IF(E73&gt;=0.82,0,IF(E73&lt;=0.01,1,IF(E73&lt;=0.06,E73*'Reference Standards'!$AG$269+'Reference Standards'!$AG$270,E73^2*'Reference Standards'!$AC$268+E73*'Reference Standards'!$AC$269+'Reference Standards'!$AC$270))),2),IF($B$12="65j",ROUND(IF(E73&gt;=0.33,0,IF(E73&lt;=0.03,1,IF(E73&lt;=0.09,E73*'Reference Standards'!$AH$269+'Reference Standards'!$AH$270,E73^2*'Reference Standards'!$AD$268+E73*'Reference Standards'!$AD$269+'Reference Standards'!$AD$270))),2),IF($B$12="68c",ROUND(IF(E73&gt;=0.7,0,IF(E73&lt;=0.07,1,IF(E73&lt;=0.12,E73*'Reference Standards'!$AI$269+'Reference Standards'!$AI$270,E73^2*'Reference Standards'!$AE$268+E73*'Reference Standards'!$AE$269+'Reference Standards'!$AE$270))),2),IF(OR($B$12="67fhi",$B$12="67g"),ROUND(IF(E73&gt;=1.8,0,IF(E73&lt;=0.08,1,IF(E73&lt;=0.2,E73*'Reference Standards'!$AF$306+'Reference Standards'!$AF$307,E73^2*'Reference Standards'!$AB$305+E73*'Reference Standards'!$AB$306+'Reference Standards'!$AB$307))),2),IF($B$12="74b",ROUND(IF(E73&gt;=0.96,0,IF(E73&lt;=0.12,1,IF(E73&lt;=0.16,E73*'Reference Standards'!$AG$306+'Reference Standards'!$AG$307,E73^2*'Reference Standards'!$AC$305+E73*'Reference Standards'!$AC$306+'Reference Standards'!$AC$307))),2),IF($B$12="66d",ROUND(IF(E73&gt;=0.75,0,IF(E73&lt;=0.13,1,IF(E73&lt;=0.2,E73*'Reference Standards'!$AH$306+'Reference Standards'!$AH$307,E73^2*'Reference Standards'!$AD$305+E73*'Reference Standards'!$AD$306+'Reference Standards'!$AD$307))),2),IF(OR($B$12="71g",$B$12="71h",$B$12="71i"),ROUND(IF(E73&gt;=1.68,0,IF(E73&lt;=0.08,1,IF(E73&lt;=0.23,E73*'Reference Standards'!$AI$306+'Reference Standards'!$AI$307,E73^2*'Reference Standards'!$AE$305+E73*'Reference Standards'!$AE$306+'Reference Standards'!$AE$307))),2),IF($B$12="71e",ROUND(IF(E73&gt;=5.3,0,IF(E73&lt;=0.94,1,IF(E73&lt;=1.4,E73*'Reference Standards'!$AF$310+'Reference Standards'!$AF$311,E73^2*'Reference Standards'!$AB$309+E73*'Reference Standards'!$AB$310+'Reference Standards'!$AB$311))),2))))))))))))))))))))</f>
        <v/>
      </c>
      <c r="G73" s="86" t="str">
        <f>IFERROR(AVERAGE(F73),"")</f>
        <v/>
      </c>
      <c r="H73" s="548"/>
      <c r="I73" s="535"/>
      <c r="J73" s="559"/>
      <c r="K73" s="555"/>
      <c r="L73" s="21"/>
      <c r="O73" s="19"/>
    </row>
    <row r="74" spans="1:15" ht="15.6" x14ac:dyDescent="0.3">
      <c r="A74" s="539"/>
      <c r="B74" s="298" t="s">
        <v>82</v>
      </c>
      <c r="C74" s="66" t="s">
        <v>280</v>
      </c>
      <c r="D74" s="66"/>
      <c r="E74" s="136"/>
      <c r="F74" s="343" t="str">
        <f>IF(E74="","",IF(ISNUMBER($B$13),IF($B$13&gt;2.5,IF(OR($B$12="71h",$B$12="71i",$B$12="73a",$B$12="74a"),IF(E74&lt;=0.01,1,IF(OR($B$12="71h",$B$12="71i"),IF(E74&gt;0.37,0,ROUND(IF(E74&gt;0.03,'Reference Standards'!$AB$425*E74^2+'Reference Standards'!$AB$426*E74+'Reference Standards'!$AB$427,'Reference Standards'!$AF$426*E74+'Reference Standards'!$AF$427),2)),IF($B$12="73a",IF(E74&gt;0.405,0,ROUND(IF(E74&gt;0.046,'Reference Standards'!$AC$425*E74^2+'Reference Standards'!$AC$426*E74+'Reference Standards'!$AC$427,'Reference Standards'!$AG$426*E74+'Reference Standards'!$AG$427),2)),IF($B$12="74a",IF(E74&gt;0.3,0,ROUND(IF(E74&gt;0.052,'Reference Standards'!$AD$425*E74^2+'Reference Standards'!$AD$426*E74+'Reference Standards'!$AD$427,'Reference Standards'!$AH$426*E74+'Reference Standards'!$AH$427),2)))))),IF(E74&lt;=0.002,1,IF(OR($B$12="66d",$B$12="66e",$B$12="66g"),IF(E74&gt;0.053,0,ROUND(E74^2*'Reference Standards'!$AB$347+E74*'Reference Standards'!$AB$348+'Reference Standards'!$AB$349,2)),IF($B$12="68b",IF(E74&gt;0.05,0,ROUND(E74^2*'Reference Standards'!$AC$347+E74*'Reference Standards'!$AC$348+'Reference Standards'!$AC$349,2)),IF(OR($B$12="68a",$B$12="68c"),IF(E74&gt;0.07,0,ROUND(E74^2*'Reference Standards'!$AD$347+E74*'Reference Standards'!$AD$348+'Reference Standards'!$AD$349,2)),IF(OR($B$12="71f",$B$12="71g"),IF(E74&gt;0.13,0,ROUND(IF(E74&gt;0.042,E74*'Reference Standards'!$AE$348+'Reference Standards'!$AE$349,E74*'Reference Standards'!$AF$348+'Reference Standards'!$AF$349),2)),IF($B$12="67fhi",IF(E74&gt;0.16,0,ROUND(E74^2*'Reference Standards'!$AG$347+E74*'Reference Standards'!$AG$348+'Reference Standards'!$AG$349,2)),IF($B$12="65j",IF(E74&gt;0.035,0,ROUND(IF(E74&lt;=0.003,0.7,E74^2*'Reference Standards'!$AB$387+E74*'Reference Standards'!$AB$388+'Reference Standards'!$AB$389),2)),IF($B$12="69de",IF(E74&gt;0.037,0,ROUND(IF(E74&lt;=0.003,0.7,E74^2*'Reference Standards'!$AC$387+E74*'Reference Standards'!$AC$388+'Reference Standards'!$AC$389),2)),IF($B$12="71e",IF(E74&gt;0.23,0,ROUND(IF(E74&lt;=0.003,0.7,E74^2*'Reference Standards'!$AD$387+E74*'Reference Standards'!$AD$388+'Reference Standards'!$AD$389),2)),IF($B$12="66f",IF(E74&gt;0.06,0,ROUND(IF(E74&lt;=0.003,0.85,IF(E74&lt;=0.004,0.7,E74^2*'Reference Standards'!$AE$387+E74*'Reference Standards'!$AE$388+'Reference Standards'!$AE$389)),2)),IF($B$12="67g",IF(E74&gt;0.11,0,ROUND(IF(E74&lt;=0.01,E74*'Reference Standards'!$AH$388+'Reference Standards'!$AH$389,E74^2*'Reference Standards'!$AF$387+E74*'Reference Standards'!$AF$388+'Reference Standards'!$AF$389),2)),IF($B$12="74b",IF(E74&gt;0.49,0,ROUND(IF(E74&lt;=0.01,E74*'Reference Standards'!$AH$388+'Reference Standards'!$AH$389,E74^2*'Reference Standards'!$AG$387+E74*'Reference Standards'!$AG$388+'Reference Standards'!$AG$389),2)),IF($B$12="65abei",IF(E74&gt;0.199,0,ROUND(IF(E74&lt;=0.01,E74*'Reference Standards'!$AI$426+'Reference Standards'!$AI$427,E74^2*'Reference Standards'!$AE$425+E74*'Reference Standards'!$AE$426+'Reference Standards'!$AE$427),2)))))))))))))))),IF($B$13&lt;=2.5,IF(OR($B$12="66d",$B$12="66e",$B$12="66g"),IF(E74&gt;0.05,0,ROUND(IF(E74&lt;=0.002,1,IF(E74&lt;=0.005,E74*'Reference Standards'!$AF$464+'Reference Standards'!$AF$465,E74^2*'Reference Standards'!$AB$463+E74*'Reference Standards'!$AB$464+'Reference Standards'!$AB$465)),2)),IF($B$12="67fhi",IF(E74&gt;0.1,0,ROUND(IF(E74&lt;=0.002,1,IF(E74&lt;=0.006,E74*'Reference Standards'!$AG$464+'Reference Standards'!$AG$465,E74^2*'Reference Standards'!$AC$463+E74*'Reference Standards'!$AC$464+'Reference Standards'!$AC$465)),2)),IF($B$12="65abei",IF(E74&gt;0.13,0,ROUND(IF(E74&lt;=0.003,1,IF(E74&lt;=0.008,E74*'Reference Standards'!$AH$464+'Reference Standards'!$AH$465,E74^2*'Reference Standards'!$AD$463+E74*'Reference Standards'!$AD$464+'Reference Standards'!$AD$465)),2)),IF($B$12="68b",IF(E74&gt;0.043,0,ROUND(IF(E74&lt;=0.004,1,IF(E74&lt;=0.005,0.7,E74^2*'Reference Standards'!$AE$463+E74*'Reference Standards'!$AE$464+'Reference Standards'!$AE$465)),2)),IF($B$12="69de",IF(E74&gt;=0.034,0,ROUND(IF(E74&lt;=0.003,1,IF(E74&lt;=0.006,E74*'Reference Standards'!$AG$500+'Reference Standards'!$AG$501,E74*'Reference Standards'!$AB$500+'Reference Standards'!$AB$501)),2)),IF(OR($B$12="68a",$B$12="68c"),IF(E74&gt;0.202,0,ROUND(IF(E74&lt;=0.003,1,IF(E74&lt;=0.006,E74*'Reference Standards'!$AG$500+'Reference Standards'!$AG$501,IF(E74&gt;=0.04,E74*'Reference Standards'!$AC$500+'Reference Standards'!$AC$501,E74*'Reference Standards'!$AE$500+'Reference Standards'!$AE$501))),2)),IF(OR($B$12="71f",$B$12="71g"),IF(E74&gt;0.631,0,ROUND(IF(E74&lt;=0.003,1,IF(E74&lt;=0.006,E74*'Reference Standards'!$AG$500+'Reference Standards'!$AG$501,IF(E74&gt;=0.17,E74*'Reference Standards'!$AD$500+'Reference Standards'!$AD$501,E74*'Reference Standards'!$AF$500+'Reference Standards'!$AF$501))),2)),IF($B$12="71e",IF(E74&gt;1.23,0,ROUND(IF(E74&lt;=0.004,1,IF(E74&lt;=0.006,E74*'Reference Standards'!$AF$538+'Reference Standards'!$AF$539,E74^2*'Reference Standards'!$AB$537+E74*'Reference Standards'!$AB$538+'Reference Standards'!$AB$539)),2)),IF($B$12="67g",IF(E74&gt;0.11,0,ROUND(IF(E74&lt;=0.006,1,IF(E74&lt;=0.011,E74*'Reference Standards'!$AG$538+'Reference Standards'!$AG$539,E74^2*'Reference Standards'!$AC$537+E74*'Reference Standards'!$AC$538+'Reference Standards'!$AC$539)),2)),IF($B$12="65j",IF(E74&gt;0.046,0,ROUND(IF(E74&lt;=0.007,1,IF(E74&lt;=0.012,E74*'Reference Standards'!$AH$538+'Reference Standards'!$AH$539,E74^2*'Reference Standards'!$AD$537+E74*'Reference Standards'!$AD$538+'Reference Standards'!$AD$539)),2)),IF($B$12="66f",IF(E74&gt;0.081,0,ROUND(IF(E74&lt;=0.008,1,IF(E74&lt;=0.011,E74*'Reference Standards'!$AI$538+'Reference Standards'!$AI$539,E74^2*'Reference Standards'!$AE$537+E74*'Reference Standards'!$AE$538+'Reference Standards'!$AE$539)),2)),IF(OR($B$12="71h",$B$12="71i"),IF(E74&gt;0.37,0,ROUND(IF(E74&lt;=0.013,1,IF(E74&lt;=0.032,E74*'Reference Standards'!$AH$576+'Reference Standards'!$AH$577,IF(E74&lt;=0.3,E74*'Reference Standards'!$AF$576+'Reference Standards'!$AF$577,E74*'Reference Standards'!$AB$576+'Reference Standards'!$AB$577))),2)),IF($B$12="73a",IF(E74&gt;0.448,0,ROUND(IF(E74&lt;=0.071,1,IF(E74&lt;=0.086,E74*'Reference Standards'!$AJ$576+'Reference Standards'!$AJ$577,IF(E74&lt;=0.165,E74*'Reference Standards'!$AG$576+'Reference Standards'!$AG$577,E74*'Reference Standards'!$AE$576+'Reference Standards'!$AE$577))),2)),IF($B$12="74b",IF(E74&gt;0.43,0,ROUND(IF(E74&lt;=0.018,1,IF(E74&lt;=0.019,0.85,IF(E74&lt;=0.02,0.7,E74^2*'Reference Standards'!$AC$575+E74*'Reference Standards'!$AC$576+'Reference Standards'!$AC$577))),2)),IF($B$12="74a",IF(E74&gt;0.217,0,ROUND(IF(E74&lt;=0.02,1,IF(E74&lt;=0.033,E74*'Reference Standards'!$AI$576+'Reference Standards'!$AI$577,E74^2*'Reference Standards'!$AD$575+E74*'Reference Standards'!$AD$576+'Reference Standards'!$AD$577)),2)))))))))))))))))))))</f>
        <v/>
      </c>
      <c r="G74" s="87" t="str">
        <f>IFERROR(AVERAGE(F74),"")</f>
        <v/>
      </c>
      <c r="H74" s="549"/>
      <c r="I74" s="536"/>
      <c r="J74" s="559"/>
      <c r="K74" s="555"/>
      <c r="L74" s="21"/>
      <c r="O74" s="19"/>
    </row>
    <row r="75" spans="1:15" ht="15.6" x14ac:dyDescent="0.3">
      <c r="A75" s="550" t="s">
        <v>59</v>
      </c>
      <c r="B75" s="560" t="s">
        <v>340</v>
      </c>
      <c r="C75" s="125" t="s">
        <v>331</v>
      </c>
      <c r="D75" s="126"/>
      <c r="E75" s="166"/>
      <c r="F75" s="345" t="str">
        <f>IF(E75="","",IF(OR(B$12="73a",B$12="73b"),IF(E75&lt;1,0,IF(E75&gt;=30,1,ROUND(IF(E75&lt;22,'Reference Standards'!$AL$16*E75+'Reference Standards'!$AL$17,'Reference Standards'!$AM$16*E75+'Reference Standards'!$AM$17),2))), IF(E75&lt;1,0, IF(E75&gt;=42,1, ROUND(IF(E75&lt;32,'Reference Standards'!$AN$16*E75+'Reference Standards'!$AN$17,'Reference Standards'!$AO$16*E75+'Reference Standards'!$AO$17),2)))))</f>
        <v/>
      </c>
      <c r="G75" s="531" t="str">
        <f>IFERROR(AVERAGE(F75:F78),"")</f>
        <v/>
      </c>
      <c r="H75" s="568" t="str">
        <f>IFERROR(ROUND(AVERAGE(G75:G80),2),"")</f>
        <v/>
      </c>
      <c r="I75" s="519" t="str">
        <f>IF(H75="","",IF(H75&gt;0.69,"Functioning",IF(H75&gt;0.29,"Functioning At Risk",IF(H75&gt;-1,"Not Functioning"))))</f>
        <v/>
      </c>
      <c r="J75" s="559"/>
      <c r="K75" s="555"/>
      <c r="L75" s="21"/>
      <c r="O75" s="19"/>
    </row>
    <row r="76" spans="1:15" ht="15.6" x14ac:dyDescent="0.3">
      <c r="A76" s="556"/>
      <c r="B76" s="561"/>
      <c r="C76" s="174" t="s">
        <v>335</v>
      </c>
      <c r="D76" s="175"/>
      <c r="E76" s="165"/>
      <c r="F76" s="346" t="str">
        <f>IF(E76="","",IF(AND($B$12="74b",$B$13&lt;=2),IF(E76&lt;0,0,IF(E76&gt;15.6,0.69,ROUND('Reference Standards'!$AL$54*E76^2+'Reference Standards'!$AL$55*E76+'Reference Standards'!$AL$56,2))),IF(AND($B$12="65abei",$B$13&lt;=2),IF(E76&lt;0,0,IF(E76&gt;=20,0.69,ROUND('Reference Standards'!$AM$54*E76^2+'Reference Standards'!$AM$55*E76+'Reference Standards'!$AM$56,2))),IF(OR(AND($B$12="74a",$B$13&gt;2,$B$19="January - June"),AND($B$12="71i",$B$13&gt;2,$B$20="SQBANK")),IF(E76&lt;0,0,IF(E76&gt;24.7,0.69,ROUND('Reference Standards'!$AN$54*E76^2+'Reference Standards'!$AN$55*E76+'Reference Standards'!$AN$56,2))),IF(OR($B$12="74b",$B$12="65abei"),IF(E76&lt;0,0,IF(E76&gt;32.7,0.69,ROUND('Reference Standards'!$AO$54*E76^2+'Reference Standards'!$AO$55*E76+'Reference Standards'!$AO$56,2))),IF(AND($B$12="68b",$B$13&gt;2),IF(E76&lt;0,0,IF(E76&gt;41.2,0.69,ROUND('Reference Standards'!$AP$54*E76^2+'Reference Standards'!$AP$55*E76+'Reference Standards'!$AP$56,2))),IF(OR(AND($B$12="71i",$B$13&lt;=2),AND(OR($B$12="68c",$B$12="68d"),$B$19="January - June")),IF(E76&lt;0,0,IF(E76&gt;49.2,0.69,ROUND('Reference Standards'!$AL$94*E76^2+'Reference Standards'!$AL$95*E76+'Reference Standards'!$AL$96,2))),IF(OR(AND($B$12="68a",$B$19="January - June"),AND(OR($B$12="68c",$B$12="68d"),$B$19="July - December")),IF(E76&lt;0,0,IF(E76&gt;53.4,0.69,ROUND('Reference Standards'!$AM$94*E76^2+'Reference Standards'!$AM$95*E76+'Reference Standards'!$AM$96,2))),IF(OR(AND($B$12="71i",$B$13&gt;2,$B$20="SQKICK"),AND(OR($B$12="67fhi",$B$12="67g"),$B$13&lt;=2),$B$12="65j"),IF(E76&lt;0,0,IF(E76&gt;57.8,0.69,ROUND('Reference Standards'!$AN$94*E76^2+'Reference Standards'!$AN$95*E76+'Reference Standards'!$AN$96,2))),IF(OR(AND($B$12="74a",$B$13&gt;2,$B$19="July - December"),AND(OR($B$12="67fhi",$B$12="67g"),$B$13&gt;2),$B$12="69de"),IF(E76&lt;0,0,IF(E76&gt;62.5,0.69,ROUND('Reference Standards'!$AO$94*E76^2+'Reference Standards'!$AO$95*E76+'Reference Standards'!$AO$96,2))),  IF(OR($B$12="66d",$B$12="66e",$B$12="66ik",$B$12="71e",$B$12="71f",$B$12="71g",$B$12="71h"),IF(E76&lt;0,0,IF(E76&gt;66.5,0.69,ROUND('Reference Standards'!$AP$94*E76^2+'Reference Standards'!$AP$95*E76+'Reference Standards'!$AP$96,2))),IF(OR($B$12="66f",$B$12="66g",$B$12="66j",AND($B$12="68a",$B$19="July - December")), IF(E76&lt;0,0,IF(E76&gt;69,0.69,ROUND('Reference Standards'!$AQ$94*E76^2+'Reference Standards'!$AQ$95*E76+'Reference Standards'!$AQ$96,2))))   )))))))))))</f>
        <v/>
      </c>
      <c r="G76" s="531"/>
      <c r="H76" s="568"/>
      <c r="I76" s="519"/>
      <c r="J76" s="559"/>
      <c r="K76" s="555"/>
      <c r="L76" s="21"/>
      <c r="O76" s="19"/>
    </row>
    <row r="77" spans="1:15" ht="15.6" x14ac:dyDescent="0.3">
      <c r="A77" s="556"/>
      <c r="B77" s="561"/>
      <c r="C77" s="174" t="s">
        <v>339</v>
      </c>
      <c r="D77" s="175"/>
      <c r="E77" s="165"/>
      <c r="F77" s="346" t="str">
        <f>IF(E77="","",IF(AND($B$12="74b",$B$13&lt;=2),IF(E77&lt;0,0,IF(E77&gt;8.1,0.69,ROUND('Reference Standards'!$AL$131*E77^2+'Reference Standards'!$AL$132*E77+'Reference Standards'!$AL$133,2))),IF(OR($B$12="73a",$B$12="73b"),IF(E77&lt;0,0,IF(E77&gt;=28,0.69,ROUND('Reference Standards'!$AM$131*E77^2+'Reference Standards'!$AM$132*E77+'Reference Standards'!$AM$133,2))),IF(AND($B$12="74a",$B$13&gt;2,$B$19="January - June"),IF(E77&lt;0,0,IF(E77&gt;=32.5,0.69,ROUND('Reference Standards'!$AN$131*E77^2+'Reference Standards'!$AN$132*E77+'Reference Standards'!$AN$133,2))),IF(AND($B$12="71i",$B$13&gt;2,$B$20="SQBANK"),IF(E77&lt;0,0,IF(E77&gt;=37,0.69,ROUND('Reference Standards'!$AO$131*E77^2+'Reference Standards'!$AO$132*E77+'Reference Standards'!$AO$133,2))),IF(OR(AND(OR($B$12="65abei",$B$12="74b"),$B$13&gt;2),AND($B$12="71i",$B$13&gt;2,$B$20="SQKICK")),IF(E77&lt;0,0,IF(E77&gt;42.6,0.69,ROUND('Reference Standards'!$AP$131*E77^2+'Reference Standards'!$AP$132*E77+'Reference Standards'!$AP$133,2))),     IF(OR(AND($B$12="65abei",$B$13&lt;=2),AND(OR($B$12="68c",$B$12="68d"),$B$19="July - December"),$B$12="71e"),IF(E77&lt;0,0,IF(E77&gt;=48,0.69,ROUND('Reference Standards'!$AL$171*E77^2+'Reference Standards'!$AL$172*E77+'Reference Standards'!$AL$173,2))),IF(OR($B$12="65j",$B$12="67fhi",$B$12="67g",AND($B$12="74a",$B$19="July - December",$B$13&gt;2),AND($B$12="71i",$B$13&lt;=2)),IF(E77&lt;0,0,IF(E77&gt;=53,0.69,ROUND('Reference Standards'!$AM$171*E77^2+'Reference Standards'!$AM$172*E77+'Reference Standards'!$AM$173,2))),IF(OR(AND(OR($B$12="68b",$B$12="71f",$B$12="71g",$B$12="71h"),$B$13&gt;2),$B$12="68a"),IF(E77&lt;0,0,IF(E77&gt;=57,0.69,ROUND('Reference Standards'!$AN$171*E77^2+'Reference Standards'!$AN$172*E77+'Reference Standards'!$AN$173,2))),IF(OR($B$12="66f",$B$12="66g",$B$12="66j",AND(OR($B$12="71f",$B$12="71g",$B$12="71h"),$B$13&lt;=2)),IF(E77&lt;0,0,IF(E77&gt;=60,0.69,ROUND('Reference Standards'!$AO$171*E77^2+'Reference Standards'!$AO$172*E77+'Reference Standards'!$AO$173,2))),  IF(OR($B$12="66d",$B$12="66e",$B$12="66ik", AND(OR($B$12="68c",$B$12="68d"),$B$19="January - June"),AND($B$12="69de",$B$19="July - December")),IF(E77&lt;0,0,IF(E77&gt;=67.5,0.69,ROUND('Reference Standards'!$AP$171*E77^2+'Reference Standards'!$AP$172*E77+'Reference Standards'!$AP$173,2))),IF(AND($B$12="69de",$B$19="January - June"), IF(E77&lt;0,0,IF(E77&gt;=72,0.69,ROUND('Reference Standards'!$AQ$171*E77^2+'Reference Standards'!$AQ$172*E77+'Reference Standards'!$AQ$173,2))))   )))))))))))</f>
        <v/>
      </c>
      <c r="G77" s="531"/>
      <c r="H77" s="568"/>
      <c r="I77" s="519"/>
      <c r="J77" s="559"/>
      <c r="K77" s="555"/>
      <c r="L77" s="21"/>
      <c r="O77" s="19"/>
    </row>
    <row r="78" spans="1:15" ht="15.6" x14ac:dyDescent="0.3">
      <c r="A78" s="556"/>
      <c r="B78" s="562"/>
      <c r="C78" s="127" t="s">
        <v>336</v>
      </c>
      <c r="D78" s="71"/>
      <c r="E78" s="167"/>
      <c r="F78" s="346" t="str">
        <f>IF(E78="","",IF(OR($B$12="67fhi",$B$12="67g",$B$12="71e",$B$12="73a",$B$12="73b",AND(OR($B$12="71f",$B$12="71g",$B$12="71h"),$B$13&gt;2)),IF(E78&gt;100,0,IF(E78&lt;15,0.69,ROUND('Reference Standards'!$AL$208*E78^2+'Reference Standards'!$AL$209*E78+'Reference Standards'!$AL$210,2))),  IF(OR($B$12="66d",$B$12="66e",$B$12="66ik",$B$12="66f",$B$12="66g",$B$12="66j",$B$12="68a",$B$12="68c",$B$12="68d",AND($B$12="69de",$B$19="July - December"), AND($B$12="71i",$B$13&lt;=2), AND($B$12="71i",$B$13&gt;2,$B$20="SQBANK" ), AND($B$12="74a",$B$13&gt;2,$B$19="July - December") ),IF(E78&gt;100,0,IF(E78&lt;19,0.69,ROUND('Reference Standards'!$AM$208*E78^2+'Reference Standards'!$AM$209*E78+'Reference Standards'!$AM$210,2))),    IF(OR(AND($B$12="69de",$B$19="January - June"),AND($B$12="71i",$B$13&gt;2,$B$20="SQKICK" )),IF(E78&gt;100,0,IF(E78&lt;22,0.69,ROUND('Reference Standards'!$AN$208*E78^2+'Reference Standards'!$AN$209*E78+'Reference Standards'!$AN$210,2))),    IF(OR($B$12="65j",AND($B$12="68b",$B$13&gt;2)),IF(E78&gt;100,0,IF(E78&lt;24,0.69,ROUND('Reference Standards'!$AO$208*E78^2+'Reference Standards'!$AO$209*E78+'Reference Standards'!$AO$210,2))),    IF(AND(OR($B$12="65abei",$B$12="71f",$B$12="71g",$B$12="71h"),$B$13&lt;=2),IF(E78&gt;95,0,IF(E78&lt;33,0.69,ROUND('Reference Standards'!$AL$246*E78^2+'Reference Standards'!$AL$247*E78+'Reference Standards'!$AL$248,2))),   IF(AND(OR($B$12="65abei",$B$12="74b"),$B$13&gt;2),IF(E78&gt;97,0,IF(E78&lt;36,0.69,ROUND('Reference Standards'!$AM$246*E78^2+'Reference Standards'!$AM$247*E78+'Reference Standards'!$AM$248,2))),  IF(AND($B$12="74a",$B$19="January - June",$B$13&gt;2),IF(E78&gt;93,0,IF(E78&lt;52,0.69,ROUND('Reference Standards'!$AN$246*E78^2+'Reference Standards'!$AN$247*E78+'Reference Standards'!$AN$248,2))),   IF(AND($B$12="74b",$B$13&lt;=2),IF(E78&gt;97,0,IF(E78&lt;62,0.69,ROUND('Reference Standards'!$AO$246*E78^2+'Reference Standards'!$AO$247*E78+'Reference Standards'!$AO$248,2)))  )))))))))</f>
        <v/>
      </c>
      <c r="G78" s="531"/>
      <c r="H78" s="568"/>
      <c r="I78" s="519"/>
      <c r="J78" s="559"/>
      <c r="K78" s="555"/>
      <c r="L78" s="21"/>
      <c r="O78" s="19"/>
    </row>
    <row r="79" spans="1:15" ht="15.6" x14ac:dyDescent="0.3">
      <c r="A79" s="556"/>
      <c r="B79" s="563" t="s">
        <v>74</v>
      </c>
      <c r="C79" s="125" t="s">
        <v>211</v>
      </c>
      <c r="D79" s="126"/>
      <c r="E79" s="136"/>
      <c r="F79" s="345" t="str">
        <f>IF(E79="","",IF(E79=1,0.15,IF(E79=3,0.5,IF(E79=5,0.85,0))))</f>
        <v/>
      </c>
      <c r="G79" s="564" t="str">
        <f>IFERROR(AVERAGE(F79:F80),"")</f>
        <v/>
      </c>
      <c r="H79" s="568"/>
      <c r="I79" s="519"/>
      <c r="J79" s="559"/>
      <c r="K79" s="555"/>
      <c r="L79" s="21"/>
      <c r="O79" s="19"/>
    </row>
    <row r="80" spans="1:15" ht="15.6" x14ac:dyDescent="0.3">
      <c r="A80" s="551"/>
      <c r="B80" s="563"/>
      <c r="C80" s="127" t="s">
        <v>332</v>
      </c>
      <c r="D80" s="71"/>
      <c r="E80" s="163"/>
      <c r="F80" s="347" t="str">
        <f>IF(E80="","",IF(E80=1,0.15,IF(E80=3,0.5,IF(E80=5,0.85,0))))</f>
        <v/>
      </c>
      <c r="G80" s="565"/>
      <c r="H80" s="568"/>
      <c r="I80" s="519"/>
      <c r="J80" s="559"/>
      <c r="K80" s="555"/>
      <c r="L80" s="21"/>
    </row>
    <row r="81" spans="1:12" x14ac:dyDescent="0.3">
      <c r="J81" s="13"/>
      <c r="K81" s="317"/>
      <c r="L81" s="21"/>
    </row>
    <row r="82" spans="1:12" x14ac:dyDescent="0.3">
      <c r="J82" s="13"/>
      <c r="K82" s="317"/>
      <c r="L82" s="21"/>
    </row>
    <row r="83" spans="1:12" ht="21" x14ac:dyDescent="0.4">
      <c r="A83" s="544" t="s">
        <v>57</v>
      </c>
      <c r="B83" s="545"/>
      <c r="C83" s="545"/>
      <c r="D83" s="545"/>
      <c r="E83" s="545"/>
      <c r="F83" s="546"/>
      <c r="G83" s="544" t="s">
        <v>18</v>
      </c>
      <c r="H83" s="545"/>
      <c r="I83" s="545"/>
      <c r="J83" s="545"/>
      <c r="K83" s="546"/>
      <c r="L83" s="21"/>
    </row>
    <row r="84" spans="1:12" ht="15.6" x14ac:dyDescent="0.3">
      <c r="A84" s="158" t="s">
        <v>1</v>
      </c>
      <c r="B84" s="158" t="s">
        <v>2</v>
      </c>
      <c r="C84" s="542" t="s">
        <v>3</v>
      </c>
      <c r="D84" s="543"/>
      <c r="E84" s="158" t="s">
        <v>15</v>
      </c>
      <c r="F84" s="302" t="s">
        <v>16</v>
      </c>
      <c r="G84" s="158" t="s">
        <v>19</v>
      </c>
      <c r="H84" s="158" t="s">
        <v>20</v>
      </c>
      <c r="I84" s="314" t="s">
        <v>20</v>
      </c>
      <c r="J84" s="158" t="s">
        <v>105</v>
      </c>
      <c r="K84" s="315" t="s">
        <v>105</v>
      </c>
    </row>
    <row r="85" spans="1:12" ht="15.6" x14ac:dyDescent="0.3">
      <c r="A85" s="540" t="s">
        <v>60</v>
      </c>
      <c r="B85" s="299" t="s">
        <v>86</v>
      </c>
      <c r="C85" s="52" t="s">
        <v>388</v>
      </c>
      <c r="D85" s="52"/>
      <c r="E85" s="162"/>
      <c r="F85" s="338" t="str">
        <f>IF(E85="","",IF(E85&lt;=0,0,IF(E85&gt;=0.95,1,ROUND('Reference Standards'!C$14*E85+'Reference Standards'!C$15,2))))</f>
        <v/>
      </c>
      <c r="G85" s="83" t="str">
        <f>IFERROR(AVERAGE(F85),"")</f>
        <v/>
      </c>
      <c r="H85" s="522" t="str">
        <f>IFERROR(ROUND(AVERAGE(G85:G86),2),"")</f>
        <v/>
      </c>
      <c r="I85" s="519" t="str">
        <f>IF(H85="","",IF(H85&gt;0.69,"Functioning",IF(H85&gt;0.29,"Functioning At Risk",IF(H85&gt;-1,"Not Functioning"))))</f>
        <v/>
      </c>
      <c r="J85" s="559" t="str">
        <f>IF(AND(H85="",H87="",H89="",H111="",H115=""),"",ROUND((IF(H85="",0,H85)*0.2)+(IF(H87="",0,H87)*0.2)+(IF(H89="",0,H89)*0.2)+(IF(H111="",0,H111)*0.2)+(IF(H115="",0,H115)*0.2),2))</f>
        <v/>
      </c>
      <c r="K85" s="555" t="str">
        <f>IF(J85="","",IF(J85&lt;0.3, "Not Functioning",IF(OR(H85&lt;0.7,H87&lt;0.7,H89&lt;0.7,H111&lt;0.7,H115&lt;0.7),"Functioning At Risk",IF(J85&lt;0.7,"Functioning At Risk","Functioning"))))</f>
        <v/>
      </c>
    </row>
    <row r="86" spans="1:12" ht="15.6" x14ac:dyDescent="0.3">
      <c r="A86" s="541"/>
      <c r="B86" s="371" t="s">
        <v>128</v>
      </c>
      <c r="C86" s="373" t="s">
        <v>161</v>
      </c>
      <c r="D86" s="374"/>
      <c r="E86" s="43"/>
      <c r="F86" s="372" t="str">
        <f>IF(E86="","",IF(E86&gt;=1,1,IF(E86&lt;=0,0,ROUND(E86,2))))</f>
        <v/>
      </c>
      <c r="G86" s="365" t="str">
        <f>IFERROR(AVERAGE(F86:F86),"")</f>
        <v/>
      </c>
      <c r="H86" s="523"/>
      <c r="I86" s="519"/>
      <c r="J86" s="559"/>
      <c r="K86" s="555"/>
    </row>
    <row r="87" spans="1:12" ht="15.6" x14ac:dyDescent="0.3">
      <c r="A87" s="524" t="s">
        <v>6</v>
      </c>
      <c r="B87" s="572" t="s">
        <v>7</v>
      </c>
      <c r="C87" s="54" t="s">
        <v>8</v>
      </c>
      <c r="D87" s="54"/>
      <c r="E87" s="162"/>
      <c r="F87" s="339" t="str">
        <f>IF(E87="","",ROUND(IF(E87&gt;1.6,0,IF(E87&lt;=1,1,E87^2*'Reference Standards'!K$14+E87*'Reference Standards'!K$15+'Reference Standards'!K$16)),2))</f>
        <v/>
      </c>
      <c r="G87" s="581" t="str">
        <f>IFERROR(AVERAGE(F87:F88),"")</f>
        <v/>
      </c>
      <c r="H87" s="579" t="str">
        <f>IFERROR(ROUND(AVERAGE(G87),2),"")</f>
        <v/>
      </c>
      <c r="I87" s="569" t="str">
        <f>IF(H87="","",IF(H87&gt;0.69,"Functioning",IF(H87&gt;0.29,"Functioning At Risk",IF(H87&gt;-1,"Not Functioning"))))</f>
        <v/>
      </c>
      <c r="J87" s="559"/>
      <c r="K87" s="555"/>
    </row>
    <row r="88" spans="1:12" ht="15.6" x14ac:dyDescent="0.3">
      <c r="A88" s="525"/>
      <c r="B88" s="525"/>
      <c r="C88" s="54" t="s">
        <v>9</v>
      </c>
      <c r="D88" s="55"/>
      <c r="E88" s="163"/>
      <c r="F88" s="339" t="str">
        <f>IF(E88="","",(IF(OR(B$11="A",B$11="B",$B$11="Bc"),IF(E88&lt;1.2,0,IF(E88&gt;=2.2,1,ROUND(IF(E88&lt;1.4,E88*'Reference Standards'!$K$84+'Reference Standards'!$K$85,E88*'Reference Standards'!$L$84+'Reference Standards'!$L$85),2))),IF(OR(B$11="C",B$11="E"),IF(E88&lt;2,0,IF(E88&gt;=5,1,ROUND(IF(E88&lt;2.4,E88*'Reference Standards'!$L$49+'Reference Standards'!$L$50,E88*'Reference Standards'!$K$49+'Reference Standards'!$K$50),2)))))))</f>
        <v/>
      </c>
      <c r="G88" s="580"/>
      <c r="H88" s="580"/>
      <c r="I88" s="570"/>
      <c r="J88" s="559"/>
      <c r="K88" s="555"/>
    </row>
    <row r="89" spans="1:12" ht="15.6" x14ac:dyDescent="0.3">
      <c r="A89" s="526" t="s">
        <v>26</v>
      </c>
      <c r="B89" s="557" t="s">
        <v>27</v>
      </c>
      <c r="C89" s="60" t="s">
        <v>333</v>
      </c>
      <c r="D89" s="244"/>
      <c r="E89" s="61"/>
      <c r="F89" s="340" t="str">
        <f>IF(E89="","",IF(OR(LEFT('Quantification Tool R4'!$B$12,2)="65",LEFT('Quantification Tool R4'!$B$12,2)="66",LEFT('Quantification Tool R4'!$B$12,2)="71"),IF(E89&gt;=850,1,IF(E89&lt;250,ROUND('Reference Standards'!$S$17*(E89)+'Reference Standards'!$S$18,2),ROUND('Reference Standards'!$T$17*E89+'Reference Standards'!$T$18,2))),  IF(E89&gt;=345,1,IF(E89&lt;=180,ROUND('Reference Standards'!$U$17*(E89)+'Reference Standards'!$U$18,2),ROUND('Reference Standards'!$V$17*E89+'Reference Standards'!$V$18,2))))    )</f>
        <v/>
      </c>
      <c r="G89" s="552" t="str">
        <f>IFERROR(AVERAGE(F89:F90),"")</f>
        <v/>
      </c>
      <c r="H89" s="567" t="str">
        <f>IFERROR(ROUND(AVERAGE(G89:G110),2),"")</f>
        <v/>
      </c>
      <c r="I89" s="555" t="str">
        <f>IF(H89="","",IF(H89&gt;0.69,"Functioning",IF(H89&gt;0.29,"Functioning At Risk",IF(H89&gt;-1,"Not Functioning"))))</f>
        <v/>
      </c>
      <c r="J89" s="559"/>
      <c r="K89" s="555"/>
    </row>
    <row r="90" spans="1:12" ht="15.6" x14ac:dyDescent="0.3">
      <c r="A90" s="520"/>
      <c r="B90" s="558"/>
      <c r="C90" s="63" t="s">
        <v>323</v>
      </c>
      <c r="D90" s="245"/>
      <c r="E90" s="53"/>
      <c r="F90" s="341" t="str">
        <f>IF(E90="","",IF(OR(LEFT('Quantification Tool R4'!$B$12,2)="65",LEFT('Quantification Tool R4'!$B$12,2)="66",LEFT('Quantification Tool R4'!$B$12,2)="71"),IF(E90&gt;=30,1,IF(E90&lt;13,ROUND('Reference Standards'!$S$53*(E90)+'Reference Standards'!$S$54,2),ROUND('Reference Standards'!$T$53*E90+'Reference Standards'!$T$54,2))),  IF(E90&gt;=16,1,IF(E90&lt;=9,ROUND('Reference Standards'!$U$53*(E90)+'Reference Standards'!$U$54,2),ROUND('Reference Standards'!$V$53*E90+'Reference Standards'!$V$54,2))))    )</f>
        <v/>
      </c>
      <c r="G90" s="554"/>
      <c r="H90" s="567"/>
      <c r="I90" s="555"/>
      <c r="J90" s="559"/>
      <c r="K90" s="555"/>
    </row>
    <row r="91" spans="1:12" ht="15.6" x14ac:dyDescent="0.3">
      <c r="A91" s="520"/>
      <c r="B91" s="520" t="s">
        <v>395</v>
      </c>
      <c r="C91" s="58" t="s">
        <v>80</v>
      </c>
      <c r="D91" s="58"/>
      <c r="E91" s="165"/>
      <c r="F91" s="340" t="str">
        <f>IF(E91="","",ROUND(IF(E91&gt;0.7,0,IF(E91&lt;=0.1,1,E91^3*'Reference Standards'!S$87+E91^2*'Reference Standards'!S$88+E91*'Reference Standards'!S$89+'Reference Standards'!S$90)),2))</f>
        <v/>
      </c>
      <c r="G91" s="528" t="str">
        <f>IFERROR(ROUND(AVERAGE(F91:F94),2),"")</f>
        <v/>
      </c>
      <c r="H91" s="567"/>
      <c r="I91" s="555"/>
      <c r="J91" s="559"/>
      <c r="K91" s="555"/>
    </row>
    <row r="92" spans="1:12" ht="15.6" x14ac:dyDescent="0.3">
      <c r="A92" s="520"/>
      <c r="B92" s="520"/>
      <c r="C92" s="58" t="s">
        <v>49</v>
      </c>
      <c r="D92" s="58"/>
      <c r="E92" s="165"/>
      <c r="F92" s="84" t="str">
        <f>IF(E92="","",IF(OR(E92="Ex/Ex",E92="Ex/VH"),0, IF(OR(E92="Ex/H",E92="VH/Ex",E92="VH/VH", E92="H/Ex",E92="H/VH",E92="M/Ex"),0.1,IF(OR(E92="Ex/M",E92="VH/H",E92="H/H", E92="M/VH"),0.2, IF(OR(E92="Ex/L",E92="VH/M",E92="H/M", E92="M/H",E92="L/Ex"),0.3, IF(OR(E92="Ex/VL",E92="VH/L",E92="H/L"),0.4, IF(OR(E92="VH/VL",E92="H/VL",E92="M/M", E92="L/VH"),0.5, IF(OR(E92="M/L",E92="L/H"),0.6, IF(OR(E92="M/VL",E92="L/M"),0.7, IF(OR(E92="L/L",E92="L/VL"),1))))))))))</f>
        <v/>
      </c>
      <c r="G92" s="529"/>
      <c r="H92" s="567"/>
      <c r="I92" s="555"/>
      <c r="J92" s="559"/>
      <c r="K92" s="555"/>
    </row>
    <row r="93" spans="1:12" ht="15.6" x14ac:dyDescent="0.3">
      <c r="A93" s="520"/>
      <c r="B93" s="520"/>
      <c r="C93" s="58" t="s">
        <v>87</v>
      </c>
      <c r="D93" s="58"/>
      <c r="E93" s="165"/>
      <c r="F93" s="84" t="str">
        <f>IF(E93="","",ROUND(IF(E93&gt;40,0,IF(E93&lt;5,1,E93^3*'Reference Standards'!S$122+E93^2*'Reference Standards'!S$123+E93*'Reference Standards'!S$124+'Reference Standards'!S$125)),2))</f>
        <v/>
      </c>
      <c r="G93" s="529"/>
      <c r="H93" s="567"/>
      <c r="I93" s="555"/>
      <c r="J93" s="559"/>
      <c r="K93" s="555"/>
    </row>
    <row r="94" spans="1:12" ht="15.6" x14ac:dyDescent="0.3">
      <c r="A94" s="520"/>
      <c r="B94" s="521"/>
      <c r="C94" s="59" t="s">
        <v>394</v>
      </c>
      <c r="D94" s="59"/>
      <c r="E94" s="167"/>
      <c r="F94" s="341" t="str">
        <f>IF(E94="","",ROUND(IF(E94&gt;=30,0,IF(E94&lt;=0,1,E94*'Reference Standards'!S$156+'Reference Standards'!S$157)),2))</f>
        <v/>
      </c>
      <c r="G94" s="530"/>
      <c r="H94" s="567"/>
      <c r="I94" s="555"/>
      <c r="J94" s="559"/>
      <c r="K94" s="555"/>
    </row>
    <row r="95" spans="1:12" ht="15.6" x14ac:dyDescent="0.3">
      <c r="A95" s="520"/>
      <c r="B95" s="526" t="s">
        <v>50</v>
      </c>
      <c r="C95" s="60" t="s">
        <v>377</v>
      </c>
      <c r="D95" s="64"/>
      <c r="E95" s="136"/>
      <c r="F95" s="294" t="str">
        <f>IF(E95="","",ROUND(IF(E95&gt;9.2,1,E95*'Reference Standards'!$S$189+'Reference Standards'!$S$190),2))</f>
        <v/>
      </c>
      <c r="G95" s="552" t="str">
        <f>IFERROR(AVERAGE(F95:F104),"")</f>
        <v/>
      </c>
      <c r="H95" s="567"/>
      <c r="I95" s="555"/>
      <c r="J95" s="559"/>
      <c r="K95" s="555"/>
    </row>
    <row r="96" spans="1:12" ht="15.6" x14ac:dyDescent="0.3">
      <c r="A96" s="520"/>
      <c r="B96" s="520"/>
      <c r="C96" s="62" t="s">
        <v>378</v>
      </c>
      <c r="D96" s="58"/>
      <c r="E96" s="162"/>
      <c r="F96" s="294" t="str">
        <f>IF(E96="","",ROUND(IF(E96&gt;9.2,1,E96*'Reference Standards'!$S$189+'Reference Standards'!$S$190),2))</f>
        <v/>
      </c>
      <c r="G96" s="553"/>
      <c r="H96" s="567"/>
      <c r="I96" s="555"/>
      <c r="J96" s="559"/>
      <c r="K96" s="555"/>
    </row>
    <row r="97" spans="1:13" ht="15.6" x14ac:dyDescent="0.3">
      <c r="A97" s="520"/>
      <c r="B97" s="520"/>
      <c r="C97" s="62" t="s">
        <v>379</v>
      </c>
      <c r="D97" s="58"/>
      <c r="E97" s="162"/>
      <c r="F97" s="294" t="str">
        <f>IF(E97="","",ROUND( IF(E97&gt;=200,1,IF(E97&lt;50, E97^2*'Reference Standards'!S$224+E97*'Reference Standards'!S$225+'Reference Standards'!S$226, E97*'Reference Standards'!T$224+'Reference Standards'!T$225)),2))</f>
        <v/>
      </c>
      <c r="G97" s="553"/>
      <c r="H97" s="567"/>
      <c r="I97" s="555"/>
      <c r="J97" s="559"/>
      <c r="K97" s="555"/>
    </row>
    <row r="98" spans="1:13" ht="15.6" x14ac:dyDescent="0.3">
      <c r="A98" s="520"/>
      <c r="B98" s="520"/>
      <c r="C98" s="62" t="s">
        <v>380</v>
      </c>
      <c r="D98" s="58"/>
      <c r="E98" s="162"/>
      <c r="F98" s="294" t="str">
        <f>IF(E98="","",ROUND( IF(E98&gt;=200,1,IF(E98&lt;50, E98^2*'Reference Standards'!S$224+E98*'Reference Standards'!S$225+'Reference Standards'!S$226, E98*'Reference Standards'!T$224+'Reference Standards'!T$225)),2))</f>
        <v/>
      </c>
      <c r="G98" s="553"/>
      <c r="H98" s="567"/>
      <c r="I98" s="555"/>
      <c r="J98" s="559"/>
      <c r="K98" s="555"/>
    </row>
    <row r="99" spans="1:13" ht="15.6" x14ac:dyDescent="0.3">
      <c r="A99" s="520"/>
      <c r="B99" s="520"/>
      <c r="C99" s="58" t="s">
        <v>381</v>
      </c>
      <c r="D99" s="58"/>
      <c r="E99" s="162"/>
      <c r="F99" s="294" t="str">
        <f>IF(E99="","",ROUND(IF(AND(E99&gt;=135,E99&lt;=262),1,IF(  E99&gt;=366,0.5, IF(E99&lt;135,E99*'Reference Standards'!S$259+'Reference Standards'!S$260, E99*'Reference Standards'!T$259+'Reference Standards'!T$260))),2))</f>
        <v/>
      </c>
      <c r="G99" s="553"/>
      <c r="H99" s="567"/>
      <c r="I99" s="555"/>
      <c r="J99" s="559"/>
      <c r="K99" s="555"/>
    </row>
    <row r="100" spans="1:13" ht="15.6" x14ac:dyDescent="0.3">
      <c r="A100" s="520"/>
      <c r="B100" s="520"/>
      <c r="C100" s="58" t="s">
        <v>382</v>
      </c>
      <c r="D100" s="58"/>
      <c r="E100" s="162"/>
      <c r="F100" s="294" t="str">
        <f>IF(E100="","",ROUND(IF(AND(E100&gt;=135,E100&lt;=262),1,IF(  E100&gt;=366,0.5, IF(E100&lt;135,E100*'Reference Standards'!S$259+'Reference Standards'!S$260, E100*'Reference Standards'!T$259+'Reference Standards'!T$260))),2))</f>
        <v/>
      </c>
      <c r="G100" s="553"/>
      <c r="H100" s="567"/>
      <c r="I100" s="555"/>
      <c r="J100" s="559"/>
      <c r="K100" s="555"/>
    </row>
    <row r="101" spans="1:13" ht="15.6" x14ac:dyDescent="0.3">
      <c r="A101" s="520"/>
      <c r="B101" s="520"/>
      <c r="C101" s="58" t="s">
        <v>383</v>
      </c>
      <c r="D101" s="58"/>
      <c r="E101" s="162"/>
      <c r="F101" s="84" t="str">
        <f>IF(E101="","",ROUND(IF(E101&gt;=75,1,IF(E101&lt;=0,0,E101*'Reference Standards'!S$330)),2))</f>
        <v/>
      </c>
      <c r="G101" s="553"/>
      <c r="H101" s="567"/>
      <c r="I101" s="555"/>
      <c r="J101" s="559"/>
      <c r="K101" s="555"/>
    </row>
    <row r="102" spans="1:13" ht="15.6" x14ac:dyDescent="0.3">
      <c r="A102" s="520"/>
      <c r="B102" s="520"/>
      <c r="C102" s="58" t="s">
        <v>384</v>
      </c>
      <c r="D102" s="58"/>
      <c r="E102" s="162"/>
      <c r="F102" s="84" t="str">
        <f>IF(E102="","",ROUND(IF(E102&gt;=75,1,IF(E102&lt;=0,0,E102*'Reference Standards'!S$330)),2))</f>
        <v/>
      </c>
      <c r="G102" s="553"/>
      <c r="H102" s="567"/>
      <c r="I102" s="555"/>
      <c r="J102" s="559"/>
      <c r="K102" s="555"/>
    </row>
    <row r="103" spans="1:13" ht="15.6" x14ac:dyDescent="0.3">
      <c r="A103" s="520"/>
      <c r="B103" s="520"/>
      <c r="C103" s="58" t="s">
        <v>385</v>
      </c>
      <c r="D103" s="58"/>
      <c r="E103" s="162"/>
      <c r="F103" s="294" t="str">
        <f>IF(E103="","",ROUND(IF(AND(E103&gt;=36.3,E103&lt;=68),1,IF(E103&gt;100,0,IF(E103&lt;36.3,(('Reference Standards'!S$297*(E103^2))+('Reference Standards'!S$298*E103)+'Reference Standards'!S$299),IF(E103&gt;68,(('Reference Standards'!T$297*(E103^2))+('Reference Standards'!T$298*E103)+'Reference Standards'!T$299))))),2))</f>
        <v/>
      </c>
      <c r="G103" s="553"/>
      <c r="H103" s="567"/>
      <c r="I103" s="555"/>
      <c r="J103" s="559"/>
      <c r="K103" s="555"/>
      <c r="M103" s="21"/>
    </row>
    <row r="104" spans="1:13" ht="15.6" x14ac:dyDescent="0.3">
      <c r="A104" s="520"/>
      <c r="B104" s="521"/>
      <c r="C104" s="58" t="s">
        <v>386</v>
      </c>
      <c r="D104" s="65"/>
      <c r="E104" s="162"/>
      <c r="F104" s="294" t="str">
        <f>IF(E104="","",ROUND(IF(AND(E104&gt;=36.3,E104&lt;=68),1,IF(E104&gt;100,0,IF(E104&lt;36.3,(('Reference Standards'!S$297*(E104^2))+('Reference Standards'!S$298*E104)+'Reference Standards'!S$299),IF(E104&gt;68,(('Reference Standards'!T$297*(E104^2))+('Reference Standards'!T$298*E104)+'Reference Standards'!T$299))))),2))</f>
        <v/>
      </c>
      <c r="G104" s="554"/>
      <c r="H104" s="567"/>
      <c r="I104" s="555"/>
      <c r="J104" s="559"/>
      <c r="K104" s="555"/>
    </row>
    <row r="105" spans="1:13" ht="15.6" x14ac:dyDescent="0.3">
      <c r="A105" s="520"/>
      <c r="B105" s="56" t="s">
        <v>108</v>
      </c>
      <c r="C105" s="72" t="s">
        <v>130</v>
      </c>
      <c r="D105" s="57"/>
      <c r="E105" s="43"/>
      <c r="F105" s="82" t="str">
        <f>IF(E105="","",IF(OR(B$14="Gravel",B$14="Cobble"),IF(E105&gt;0.1,1,IF(E105&lt;=0.01,0,ROUND(E105*'Reference Standards'!$S$362+'Reference Standards'!$S$363,2)))))</f>
        <v/>
      </c>
      <c r="G105" s="82" t="str">
        <f>IFERROR(AVERAGE(F105),"")</f>
        <v/>
      </c>
      <c r="H105" s="567"/>
      <c r="I105" s="555"/>
      <c r="J105" s="559"/>
      <c r="K105" s="555"/>
    </row>
    <row r="106" spans="1:13" ht="15.6" x14ac:dyDescent="0.3">
      <c r="A106" s="520"/>
      <c r="B106" s="526" t="s">
        <v>51</v>
      </c>
      <c r="C106" s="64" t="s">
        <v>52</v>
      </c>
      <c r="D106" s="64"/>
      <c r="E106" s="166"/>
      <c r="F106" s="337" t="str">
        <f>IF(E106="","",IF(ISNUMBER($B$17),IF($B$17&lt;=2,IF(AND(E106&gt;=3,E106&lt;=5),1,IF(OR(E106&lt;=1,E106&gt;=7),0,ROUND(IF(E106&lt;3,E106*'Reference Standards'!S$398+'Reference Standards'!S$399,E106*'Reference Standards'!T$398+'Reference Standards'!T$399),2))),IF(E106&lt;=2.5,1,IF(E106&gt;=5.8,0,E106*'Reference Standards'!S$430+'Reference Standards'!S$431)))))</f>
        <v/>
      </c>
      <c r="G106" s="552" t="str">
        <f>IFERROR(AVERAGE(F106:F109),"")</f>
        <v/>
      </c>
      <c r="H106" s="567"/>
      <c r="I106" s="555"/>
      <c r="J106" s="559"/>
      <c r="K106" s="555"/>
    </row>
    <row r="107" spans="1:13" ht="15.6" x14ac:dyDescent="0.3">
      <c r="A107" s="520"/>
      <c r="B107" s="520"/>
      <c r="C107" s="58" t="s">
        <v>53</v>
      </c>
      <c r="D107" s="58"/>
      <c r="E107" s="165"/>
      <c r="F107" s="84" t="str">
        <f>IF(E107="","", IF( E107&gt;=2.4,1, IF(E107&lt;=1,0,  ROUND(IF(E107&lt;2.4, E107*'Reference Standards'!$S$464+'Reference Standards'!$S$465  ),2))))</f>
        <v/>
      </c>
      <c r="G107" s="553"/>
      <c r="H107" s="567"/>
      <c r="I107" s="555"/>
      <c r="J107" s="559"/>
      <c r="K107" s="555"/>
    </row>
    <row r="108" spans="1:13" ht="15.6" x14ac:dyDescent="0.3">
      <c r="A108" s="520"/>
      <c r="B108" s="520"/>
      <c r="C108" s="58" t="s">
        <v>334</v>
      </c>
      <c r="D108" s="58"/>
      <c r="E108" s="165"/>
      <c r="F108" s="390" t="str">
        <f>IF(E108="","", IF(LEFT($B$12,2)="67",  IF( AND(E108&gt;=45,E108&lt;=65),1, IF(OR(E108&lt;=20,E108&gt;=90),0, ROUND(  IF(E108&lt;45, E108*'Reference Standards'!$S$498+'Reference Standards'!$S$499,E108*'Reference Standards'!$T$498+'Reference Standards'!$T$499),2))), IF(OR(  LEFT($B$12,2)="68", LEFT($B$12,2)="69",LEFT($B$12,2)="71"),  IF( AND(E108&gt;=30,E108&lt;=50),1, IF(OR(E108&lt;=10,E108&gt;=70),0, ROUND(  IF(E108&lt;30, E108*'Reference Standards'!$S$533+'Reference Standards'!$S$534,E108*'Reference Standards'!$T$533+'Reference Standards'!$T$534),2))), IF(LEFT($B$12,2)="66",  IF( AND(E108&gt;=20,E108&lt;=45),1, IF(OR(E108&lt;=0,E108&gt;=90),0, ROUND(  IF(E108&lt;20, E108*'Reference Standards'!$S$567+'Reference Standards'!$S$568,E108*'Reference Standards'!$T$567+'Reference Standards'!$T$568),2))), IF(OR(  LEFT($B$12,2)="65", LEFT($B$12,2)="74", LEFT($B$12,2)="73"),  IF( AND(E108&gt;=20,E108&lt;=30),1, IF(OR(E108&lt;=0,E108&gt;=50),0, ROUND(  IF(E108&lt;20, E108*'Reference Standards'!$S$601+'Reference Standards'!$S$602,E108*'Reference Standards'!$T$601+'Reference Standards'!$T$602),2))))))))</f>
        <v/>
      </c>
      <c r="G108" s="553"/>
      <c r="H108" s="567"/>
      <c r="I108" s="555"/>
      <c r="J108" s="559"/>
      <c r="K108" s="555"/>
    </row>
    <row r="109" spans="1:13" ht="15.6" x14ac:dyDescent="0.3">
      <c r="A109" s="520"/>
      <c r="B109" s="521"/>
      <c r="C109" s="62" t="s">
        <v>210</v>
      </c>
      <c r="D109" s="65"/>
      <c r="E109" s="167"/>
      <c r="F109" s="391" t="str">
        <f>IF(E109="","",IF(E109&gt;=1.6,0,IF(E109&lt;=1,1,ROUND('Reference Standards'!$S$633*E109^3+'Reference Standards'!$S$634*E109^2+'Reference Standards'!$S$635*E109+'Reference Standards'!$S$636,2))))</f>
        <v/>
      </c>
      <c r="G109" s="554"/>
      <c r="H109" s="567"/>
      <c r="I109" s="555"/>
      <c r="J109" s="559"/>
      <c r="K109" s="555"/>
    </row>
    <row r="110" spans="1:13" ht="15.6" x14ac:dyDescent="0.3">
      <c r="A110" s="521"/>
      <c r="B110" s="296" t="s">
        <v>55</v>
      </c>
      <c r="C110" s="242" t="s">
        <v>54</v>
      </c>
      <c r="D110" s="65"/>
      <c r="E110" s="163"/>
      <c r="F110" s="342" t="str">
        <f>IF(E110="","",IF(AND(B$11="E",$B$14="Sand",$B$21="Unconfined Alluvial"),ROUND(IF(OR(E110&gt;1.8,E110&lt;1.3),0,IF(E110&lt;=1.6,1,E110*'Reference Standards'!S$667+'Reference Standards'!S$668)),2),    IF($B$21="Unconfined Alluvial",ROUND(IF(OR(E110&lt;1.2, E110&gt;1.5),0,IF(E110&lt;=1.4,1,E110*'Reference Standards'!$S$700+'Reference Standards'!$S$701)),2), IF($B$21="Confined Alluvial",ROUND(IF(E110&lt;1.15,0,IF(E110&lt;=1.4,E110*'Reference Standards'!$S$729+'Reference Standards'!$S$730,1)),2),  IF($B$21="Colluvial",ROUND(IF(E110&gt;1.3,0,IF(E110&gt;1.2,E110*'Reference Standards'!$S$760+'Reference Standards'!$S$761,1)),2) )))))</f>
        <v/>
      </c>
      <c r="G110" s="84" t="str">
        <f>IFERROR(AVERAGE(F110),"")</f>
        <v/>
      </c>
      <c r="H110" s="567"/>
      <c r="I110" s="555"/>
      <c r="J110" s="559"/>
      <c r="K110" s="555"/>
      <c r="L110" s="13"/>
    </row>
    <row r="111" spans="1:13" ht="15.6" x14ac:dyDescent="0.3">
      <c r="A111" s="537" t="s">
        <v>58</v>
      </c>
      <c r="B111" s="298" t="s">
        <v>88</v>
      </c>
      <c r="C111" s="70" t="s">
        <v>338</v>
      </c>
      <c r="D111" s="68"/>
      <c r="E111" s="43"/>
      <c r="F111" s="343" t="str">
        <f>IF(E111="","",ROUND(IF(E111&gt;=942,0,IF(E111&lt;=487,E111*'Reference Standards'!AB$15+'Reference Standards'!AB$16,E111*'Reference Standards'!$AC$15+'Reference Standards'!$AC$16)),2))</f>
        <v/>
      </c>
      <c r="G111" s="85" t="str">
        <f>IFERROR(AVERAGE(F111),"")</f>
        <v/>
      </c>
      <c r="H111" s="547" t="str">
        <f>IFERROR(ROUND(AVERAGE(G111:G114),2),"")</f>
        <v/>
      </c>
      <c r="I111" s="534" t="str">
        <f>IF(H111="","",IF(H111&gt;0.69,"Functioning",IF(H111&gt;0.29,"Functioning At Risk",IF(H111&gt;-1,"Not Functioning"))))</f>
        <v/>
      </c>
      <c r="J111" s="559"/>
      <c r="K111" s="555"/>
      <c r="L111" s="13"/>
    </row>
    <row r="112" spans="1:13" ht="15.6" x14ac:dyDescent="0.3">
      <c r="A112" s="538"/>
      <c r="B112" s="297" t="s">
        <v>362</v>
      </c>
      <c r="C112" s="66" t="s">
        <v>354</v>
      </c>
      <c r="D112" s="70"/>
      <c r="E112" s="163"/>
      <c r="F112" s="344" t="str">
        <f>IF(E112="","",IF(OR($B$12="65abei", $B$12="65j", $B$12="66d", $B$12="66e", $B$12="66ik", $B$12="66f", $B$12="66g", $B$12="66j", $B$12="68a", $B$12="69de", $B$12="74b",AND(OR($B$12="67fhi", $B$12="67g"),$B$13&lt;=2),AND(OR($B$12="68c", $B$12="68d"),$B$19="January - June")),IF(E112&gt;93,0,IF(E112&lt;13,1,ROUND('Reference Standards'!$AB$53*E112^2+'Reference Standards'!$AB$54*E112+'Reference Standards'!$AB$55,2))),   IF(OR(AND(OR($B$12="67fhi", $B$12="67g",$B$12="71f",$B$12="71g",$B$12="71h"),$B$13&gt;2),AND(OR($B$12="68c", $B$12="68d"),$B$19="July - December"),$B$12="73a",$B$12="73b"),IF(E112&gt;94,0,IF(E112&lt;17,1,ROUND('Reference Standards'!$AC$53*E112^2+'Reference Standards'!$AC$54*E112+'Reference Standards'!$AC$55,2))),    IF(OR(AND(OR($B$12="68b",$B$12="71i"),$B$13&gt;2), $B$12="71e"),IF(E112&gt;91,0,IF(E112&lt;24,1,ROUND('Reference Standards'!$AD$53*E112^2+'Reference Standards'!$AD$54*E112+'Reference Standards'!$AD$55,2))),  IF(OR(AND(OR($B$12="71f",$B$12="71g",$B$12="71h",$B$12="71i"),$B$13&lt;=2), AND($B$12="74a",$B$13&gt;2)),IF(E112&gt;95,0,IF(E112&lt;=36,1,ROUND('Reference Standards'!$AE$53*E112^2+'Reference Standards'!$AE$54*E112+'Reference Standards'!$AE$55,2))))))))</f>
        <v/>
      </c>
      <c r="G112" s="236" t="str">
        <f>IFERROR(AVERAGE(F112:F112),"")</f>
        <v/>
      </c>
      <c r="H112" s="548"/>
      <c r="I112" s="535"/>
      <c r="J112" s="559"/>
      <c r="K112" s="555"/>
      <c r="L112" s="21"/>
    </row>
    <row r="113" spans="1:12" ht="15.6" x14ac:dyDescent="0.3">
      <c r="A113" s="538"/>
      <c r="B113" s="67" t="s">
        <v>81</v>
      </c>
      <c r="C113" s="68" t="s">
        <v>281</v>
      </c>
      <c r="D113" s="68"/>
      <c r="E113" s="162"/>
      <c r="F113" s="344" t="str">
        <f>IF(E113="","",IF(ISNUMBER($B$13),IF(OR($B$12="66e",$B$12="66f",$B$12="66g"),ROUND(IF(E113&gt;=0.61,0,IF(E113&lt;=0.01,1,IF(E113&lt;=0.06,E113*'Reference Standards'!$AD$197+'Reference Standards'!$AD$198,E113^2*'Reference Standards'!$AB$196+E113*'Reference Standards'!$AB$197+'Reference Standards'!$AB$198))),2),IF($B$12="68b",ROUND(IF(E113&gt;=1.1,0,IF(E113&lt;=0.17,1,IF(E113&lt;=0.22,E113*'Reference Standards'!$AE$197+'Reference Standards'!$AE$198,E113^2*'Reference Standards'!$AC$196+E113*'Reference Standards'!$AC$197+'Reference Standards'!$AC$198))),2),IF($B$13&lt;=2.5,IF($B$12="69de",ROUND(IF(E113&gt;=0.22,0,IF(E113&lt;=0.01,1,E113^2*'Reference Standards'!$AB$90+E113*'Reference Standards'!$AB$91+'Reference Standards'!$AB$92)),2),IF($B$12="68c",ROUND(IF(E113&gt;=0.87,0,IF(E113&lt;=0.01,1,E113^2*'Reference Standards'!$AC$90+E113*'Reference Standards'!$AC$91+'Reference Standards'!$AC$92)),2),IF($B$12="68a",ROUND(IF(E113&gt;=0.81,0,IF(E113&lt;=0.01,1,E113^2*'Reference Standards'!$AD$90+E113*'Reference Standards'!$AD$91+'Reference Standards'!$AD$92)),2),IF($B$12="65abei",ROUND(IF(E113&gt;=0.67,0,IF(E113&lt;=0.01,1,IF(E113&lt;=0.18,E113*'Reference Standards'!$AG$91+'Reference Standards'!$AG$92,E113*'Reference Standards'!$AE$91+'Reference Standards'!$AE$92))),2),IF($B$12="65j",ROUND(IF(E113&gt;=0.32,0,IF(E113&lt;=0.01,1,IF(E113&lt;=0.25,E113*'Reference Standards'!$AH$91+'Reference Standards'!$AH$92,E113*'Reference Standards'!$AF$91+'Reference Standards'!$AF$92))),2),IF($B$12="71f",ROUND(IF(E113&gt;=3,0,IF(E113&lt;=0,1,IF(E113&lt;=0.01,0.7,E113^2*'Reference Standards'!$AB$126+E113*'Reference Standards'!$AB$127+'Reference Standards'!$AB$128))),2),IF($B$12="74a",ROUND(IF(E113&gt;=0.14,0,IF(E113&lt;=0.01,1,IF(E113&lt;=0.02,0.7,E113^2*'Reference Standards'!$AC$126+E113*'Reference Standards'!$AC$127+'Reference Standards'!$AC$128))),2),IF(OR($B$12="67fhi",$B$12="67g"),ROUND(IF(E113&gt;=1.9,0,IF(E113&lt;=0.01,1,IF(E113&lt;=0.05,E113*'Reference Standards'!$AF$127+'Reference Standards'!$AF$128,E113^2*'Reference Standards'!$AD$126+E113*'Reference Standards'!$AD$127+'Reference Standards'!$AD$128))),2),IF($B$12="73a",ROUND(IF(E113&gt;=1.44,0,IF(E113&lt;=0.01,1,IF(E113&lt;=0.12,E113*'Reference Standards'!$AG$127+'Reference Standards'!$AG$128,E113^2*'Reference Standards'!$AE$126+E113*'Reference Standards'!$AE$127+'Reference Standards'!$AE$128))),2),IF($B$12="66d",ROUND(IF(E113&gt;=0.46,0,IF(E113&lt;=0.02,1,IF(E113&lt;=0.08,E113*'Reference Standards'!$AF$163+'Reference Standards'!$AF$164,E113^2*'Reference Standards'!$AB$162+E113*'Reference Standards'!$AB$163+'Reference Standards'!$AB$164))),2),IF(OR($B$12="71g",$B$12="71h",$B$12="71i"),ROUND(IF(E113&gt;=3,0,IF(E113&lt;=0.06,1,IF(E113&lt;=0.24,E113*'Reference Standards'!$AG$163+'Reference Standards'!$AG$164,E113^2*'Reference Standards'!$AC$162+E113*'Reference Standards'!$AC$163+'Reference Standards'!$AC$164))),2),IF($B$12="74b",ROUND(IF(E113&gt;=1.3,0,IF(E113&lt;=0.29,1,IF(E113&lt;=0.48,E113*'Reference Standards'!$AH$163+'Reference Standards'!$AH$164,E113^2*'Reference Standards'!$AD$162+E113*'Reference Standards'!$AD$163+'Reference Standards'!$AD$164))),2),IF($B$12="71e",ROUND(IF(E113&gt;=4.3,0,IF(E113&lt;=0.53,1,IF(E113&lt;=0.67,E113*'Reference Standards'!$AI$163+'Reference Standards'!$AI$164,E113^2*'Reference Standards'!$AE$162+E113*'Reference Standards'!$AE$163+'Reference Standards'!$AE$164))),2)))))))))))))),IF($B$13&gt;2.5,IF($B$12="73a",ROUND(IF(E113&gt;=0.55,0,IF(E113&lt;=0,1,E113^2*'Reference Standards'!$AB$232+E113*'Reference Standards'!$AB$233+'Reference Standards'!$AB$234)),2),IF($B$12="68a",ROUND(IF(E113&gt;=0.54,0,IF(E113&lt;=0,1,IF(E113&lt;=0.01,0.85,E113^2*'Reference Standards'!$AC$232+E113*'Reference Standards'!$AC$233+'Reference Standards'!$AC$234))),2),IF($B$12="74a",ROUND(IF(E113&gt;=0.47,0,IF(E113&lt;=0.01,1,IF(E113&lt;=0.02,0.7,E113^2*'Reference Standards'!$AD$232+E113*'Reference Standards'!$AD$233+'Reference Standards'!$AD$234))),2),IF($B$12="69de",ROUND(IF(E113&gt;=0.26,0,IF(E113&lt;=0.01,1,IF(E113&lt;=0.02,0.85,E113^2*'Reference Standards'!$AE$232+E113*'Reference Standards'!$AE$233+'Reference Standards'!$AE$234))),2),IF($B$12="71f",ROUND(IF(E113&gt;=0.87,0,IF(E113&lt;=0.01,1,IF(E113&lt;=0.04,E113*'Reference Standards'!$AF$269+'Reference Standards'!$AF$270,E113^2*'Reference Standards'!$AB$268+E113*'Reference Standards'!$AB$269+'Reference Standards'!$AB$270))),2),IF($B$12="65abei",ROUND(IF(E113&gt;=0.82,0,IF(E113&lt;=0.01,1,IF(E113&lt;=0.06,E113*'Reference Standards'!$AG$269+'Reference Standards'!$AG$270,E113^2*'Reference Standards'!$AC$268+E113*'Reference Standards'!$AC$269+'Reference Standards'!$AC$270))),2),IF($B$12="65j",ROUND(IF(E113&gt;=0.33,0,IF(E113&lt;=0.03,1,IF(E113&lt;=0.09,E113*'Reference Standards'!$AH$269+'Reference Standards'!$AH$270,E113^2*'Reference Standards'!$AD$268+E113*'Reference Standards'!$AD$269+'Reference Standards'!$AD$270))),2),IF($B$12="68c",ROUND(IF(E113&gt;=0.7,0,IF(E113&lt;=0.07,1,IF(E113&lt;=0.12,E113*'Reference Standards'!$AI$269+'Reference Standards'!$AI$270,E113^2*'Reference Standards'!$AE$268+E113*'Reference Standards'!$AE$269+'Reference Standards'!$AE$270))),2),IF(OR($B$12="67fhi",$B$12="67g"),ROUND(IF(E113&gt;=1.8,0,IF(E113&lt;=0.08,1,IF(E113&lt;=0.2,E113*'Reference Standards'!$AF$306+'Reference Standards'!$AF$307,E113^2*'Reference Standards'!$AB$305+E113*'Reference Standards'!$AB$306+'Reference Standards'!$AB$307))),2),IF($B$12="74b",ROUND(IF(E113&gt;=0.96,0,IF(E113&lt;=0.12,1,IF(E113&lt;=0.16,E113*'Reference Standards'!$AG$306+'Reference Standards'!$AG$307,E113^2*'Reference Standards'!$AC$305+E113*'Reference Standards'!$AC$306+'Reference Standards'!$AC$307))),2),IF($B$12="66d",ROUND(IF(E113&gt;=0.75,0,IF(E113&lt;=0.13,1,IF(E113&lt;=0.2,E113*'Reference Standards'!$AH$306+'Reference Standards'!$AH$307,E113^2*'Reference Standards'!$AD$305+E113*'Reference Standards'!$AD$306+'Reference Standards'!$AD$307))),2),IF(OR($B$12="71g",$B$12="71h",$B$12="71i"),ROUND(IF(E113&gt;=1.68,0,IF(E113&lt;=0.08,1,IF(E113&lt;=0.23,E113*'Reference Standards'!$AI$306+'Reference Standards'!$AI$307,E113^2*'Reference Standards'!$AE$305+E113*'Reference Standards'!$AE$306+'Reference Standards'!$AE$307))),2),IF($B$12="71e",ROUND(IF(E113&gt;=5.3,0,IF(E113&lt;=0.94,1,IF(E113&lt;=1.4,E113*'Reference Standards'!$AF$310+'Reference Standards'!$AF$311,E113^2*'Reference Standards'!$AB$309+E113*'Reference Standards'!$AB$310+'Reference Standards'!$AB$311))),2))))))))))))))))))))</f>
        <v/>
      </c>
      <c r="G113" s="87" t="str">
        <f>IFERROR(AVERAGE(F113),"")</f>
        <v/>
      </c>
      <c r="H113" s="548"/>
      <c r="I113" s="535"/>
      <c r="J113" s="559"/>
      <c r="K113" s="555"/>
      <c r="L113" s="21"/>
    </row>
    <row r="114" spans="1:12" ht="15.6" x14ac:dyDescent="0.3">
      <c r="A114" s="539"/>
      <c r="B114" s="298" t="s">
        <v>82</v>
      </c>
      <c r="C114" s="66" t="s">
        <v>280</v>
      </c>
      <c r="D114" s="66"/>
      <c r="E114" s="136"/>
      <c r="F114" s="343" t="str">
        <f>IF(E114="","",IF(ISNUMBER($B$13),IF($B$13&gt;2.5,IF(OR($B$12="71h",$B$12="71i",$B$12="73a",$B$12="74a"),IF(E114&lt;=0.01,1,IF(OR($B$12="71h",$B$12="71i"),IF(E114&gt;0.37,0,ROUND(IF(E114&gt;0.03,'Reference Standards'!$AB$425*E114^2+'Reference Standards'!$AB$426*E114+'Reference Standards'!$AB$427,'Reference Standards'!$AF$426*E114+'Reference Standards'!$AF$427),2)),IF($B$12="73a",IF(E114&gt;0.405,0,ROUND(IF(E114&gt;0.046,'Reference Standards'!$AC$425*E114^2+'Reference Standards'!$AC$426*E114+'Reference Standards'!$AC$427,'Reference Standards'!$AG$426*E114+'Reference Standards'!$AG$427),2)),IF($B$12="74a",IF(E114&gt;0.3,0,ROUND(IF(E114&gt;0.052,'Reference Standards'!$AD$425*E114^2+'Reference Standards'!$AD$426*E114+'Reference Standards'!$AD$427,'Reference Standards'!$AH$426*E114+'Reference Standards'!$AH$427),2)))))),IF(E114&lt;=0.002,1,IF(OR($B$12="66d",$B$12="66e",$B$12="66g"),IF(E114&gt;0.053,0,ROUND(E114^2*'Reference Standards'!$AB$347+E114*'Reference Standards'!$AB$348+'Reference Standards'!$AB$349,2)),IF($B$12="68b",IF(E114&gt;0.05,0,ROUND(E114^2*'Reference Standards'!$AC$347+E114*'Reference Standards'!$AC$348+'Reference Standards'!$AC$349,2)),IF(OR($B$12="68a",$B$12="68c"),IF(E114&gt;0.07,0,ROUND(E114^2*'Reference Standards'!$AD$347+E114*'Reference Standards'!$AD$348+'Reference Standards'!$AD$349,2)),IF(OR($B$12="71f",$B$12="71g"),IF(E114&gt;0.13,0,ROUND(IF(E114&gt;0.042,E114*'Reference Standards'!$AE$348+'Reference Standards'!$AE$349,E114*'Reference Standards'!$AF$348+'Reference Standards'!$AF$349),2)),IF($B$12="67fhi",IF(E114&gt;0.16,0,ROUND(E114^2*'Reference Standards'!$AG$347+E114*'Reference Standards'!$AG$348+'Reference Standards'!$AG$349,2)),IF($B$12="65j",IF(E114&gt;0.035,0,ROUND(IF(E114&lt;=0.003,0.7,E114^2*'Reference Standards'!$AB$387+E114*'Reference Standards'!$AB$388+'Reference Standards'!$AB$389),2)),IF($B$12="69de",IF(E114&gt;0.037,0,ROUND(IF(E114&lt;=0.003,0.7,E114^2*'Reference Standards'!$AC$387+E114*'Reference Standards'!$AC$388+'Reference Standards'!$AC$389),2)),IF($B$12="71e",IF(E114&gt;0.23,0,ROUND(IF(E114&lt;=0.003,0.7,E114^2*'Reference Standards'!$AD$387+E114*'Reference Standards'!$AD$388+'Reference Standards'!$AD$389),2)),IF($B$12="66f",IF(E114&gt;0.06,0,ROUND(IF(E114&lt;=0.003,0.85,IF(E114&lt;=0.004,0.7,E114^2*'Reference Standards'!$AE$387+E114*'Reference Standards'!$AE$388+'Reference Standards'!$AE$389)),2)),IF($B$12="67g",IF(E114&gt;0.11,0,ROUND(IF(E114&lt;=0.01,E114*'Reference Standards'!$AH$388+'Reference Standards'!$AH$389,E114^2*'Reference Standards'!$AF$387+E114*'Reference Standards'!$AF$388+'Reference Standards'!$AF$389),2)),IF($B$12="74b",IF(E114&gt;0.49,0,ROUND(IF(E114&lt;=0.01,E114*'Reference Standards'!$AH$388+'Reference Standards'!$AH$389,E114^2*'Reference Standards'!$AG$387+E114*'Reference Standards'!$AG$388+'Reference Standards'!$AG$389),2)),IF($B$12="65abei",IF(E114&gt;0.199,0,ROUND(IF(E114&lt;=0.01,E114*'Reference Standards'!$AI$426+'Reference Standards'!$AI$427,E114^2*'Reference Standards'!$AE$425+E114*'Reference Standards'!$AE$426+'Reference Standards'!$AE$427),2)))))))))))))))),IF($B$13&lt;=2.5,IF(OR($B$12="66d",$B$12="66e",$B$12="66g"),IF(E114&gt;0.05,0,ROUND(IF(E114&lt;=0.002,1,IF(E114&lt;=0.005,E114*'Reference Standards'!$AF$464+'Reference Standards'!$AF$465,E114^2*'Reference Standards'!$AB$463+E114*'Reference Standards'!$AB$464+'Reference Standards'!$AB$465)),2)),IF($B$12="67fhi",IF(E114&gt;0.1,0,ROUND(IF(E114&lt;=0.002,1,IF(E114&lt;=0.006,E114*'Reference Standards'!$AG$464+'Reference Standards'!$AG$465,E114^2*'Reference Standards'!$AC$463+E114*'Reference Standards'!$AC$464+'Reference Standards'!$AC$465)),2)),IF($B$12="65abei",IF(E114&gt;0.13,0,ROUND(IF(E114&lt;=0.003,1,IF(E114&lt;=0.008,E114*'Reference Standards'!$AH$464+'Reference Standards'!$AH$465,E114^2*'Reference Standards'!$AD$463+E114*'Reference Standards'!$AD$464+'Reference Standards'!$AD$465)),2)),IF($B$12="68b",IF(E114&gt;0.043,0,ROUND(IF(E114&lt;=0.004,1,IF(E114&lt;=0.005,0.7,E114^2*'Reference Standards'!$AE$463+E114*'Reference Standards'!$AE$464+'Reference Standards'!$AE$465)),2)),IF($B$12="69de",IF(E114&gt;=0.034,0,ROUND(IF(E114&lt;=0.003,1,IF(E114&lt;=0.006,E114*'Reference Standards'!$AG$500+'Reference Standards'!$AG$501,E114*'Reference Standards'!$AB$500+'Reference Standards'!$AB$501)),2)),IF(OR($B$12="68a",$B$12="68c"),IF(E114&gt;0.202,0,ROUND(IF(E114&lt;=0.003,1,IF(E114&lt;=0.006,E114*'Reference Standards'!$AG$500+'Reference Standards'!$AG$501,IF(E114&gt;=0.04,E114*'Reference Standards'!$AC$500+'Reference Standards'!$AC$501,E114*'Reference Standards'!$AE$500+'Reference Standards'!$AE$501))),2)),IF(OR($B$12="71f",$B$12="71g"),IF(E114&gt;0.631,0,ROUND(IF(E114&lt;=0.003,1,IF(E114&lt;=0.006,E114*'Reference Standards'!$AG$500+'Reference Standards'!$AG$501,IF(E114&gt;=0.17,E114*'Reference Standards'!$AD$500+'Reference Standards'!$AD$501,E114*'Reference Standards'!$AF$500+'Reference Standards'!$AF$501))),2)),IF($B$12="71e",IF(E114&gt;1.23,0,ROUND(IF(E114&lt;=0.004,1,IF(E114&lt;=0.006,E114*'Reference Standards'!$AF$538+'Reference Standards'!$AF$539,E114^2*'Reference Standards'!$AB$537+E114*'Reference Standards'!$AB$538+'Reference Standards'!$AB$539)),2)),IF($B$12="67g",IF(E114&gt;0.11,0,ROUND(IF(E114&lt;=0.006,1,IF(E114&lt;=0.011,E114*'Reference Standards'!$AG$538+'Reference Standards'!$AG$539,E114^2*'Reference Standards'!$AC$537+E114*'Reference Standards'!$AC$538+'Reference Standards'!$AC$539)),2)),IF($B$12="65j",IF(E114&gt;0.046,0,ROUND(IF(E114&lt;=0.007,1,IF(E114&lt;=0.012,E114*'Reference Standards'!$AH$538+'Reference Standards'!$AH$539,E114^2*'Reference Standards'!$AD$537+E114*'Reference Standards'!$AD$538+'Reference Standards'!$AD$539)),2)),IF($B$12="66f",IF(E114&gt;0.081,0,ROUND(IF(E114&lt;=0.008,1,IF(E114&lt;=0.011,E114*'Reference Standards'!$AI$538+'Reference Standards'!$AI$539,E114^2*'Reference Standards'!$AE$537+E114*'Reference Standards'!$AE$538+'Reference Standards'!$AE$539)),2)),IF(OR($B$12="71h",$B$12="71i"),IF(E114&gt;0.37,0,ROUND(IF(E114&lt;=0.013,1,IF(E114&lt;=0.032,E114*'Reference Standards'!$AH$576+'Reference Standards'!$AH$577,IF(E114&lt;=0.3,E114*'Reference Standards'!$AF$576+'Reference Standards'!$AF$577,E114*'Reference Standards'!$AB$576+'Reference Standards'!$AB$577))),2)),IF($B$12="73a",IF(E114&gt;0.448,0,ROUND(IF(E114&lt;=0.071,1,IF(E114&lt;=0.086,E114*'Reference Standards'!$AJ$576+'Reference Standards'!$AJ$577,IF(E114&lt;=0.165,E114*'Reference Standards'!$AG$576+'Reference Standards'!$AG$577,E114*'Reference Standards'!$AE$576+'Reference Standards'!$AE$577))),2)),IF($B$12="74b",IF(E114&gt;0.43,0,ROUND(IF(E114&lt;=0.018,1,IF(E114&lt;=0.019,0.85,IF(E114&lt;=0.02,0.7,E114^2*'Reference Standards'!$AC$575+E114*'Reference Standards'!$AC$576+'Reference Standards'!$AC$577))),2)),IF($B$12="74a",IF(E114&gt;0.217,0,ROUND(IF(E114&lt;=0.02,1,IF(E114&lt;=0.033,E114*'Reference Standards'!$AI$576+'Reference Standards'!$AI$577,E114^2*'Reference Standards'!$AD$575+E114*'Reference Standards'!$AD$576+'Reference Standards'!$AD$577)),2)))))))))))))))))))))</f>
        <v/>
      </c>
      <c r="G114" s="85" t="str">
        <f>IFERROR(AVERAGE(F114),"")</f>
        <v/>
      </c>
      <c r="H114" s="549"/>
      <c r="I114" s="536"/>
      <c r="J114" s="559"/>
      <c r="K114" s="555"/>
      <c r="L114" s="21"/>
    </row>
    <row r="115" spans="1:12" ht="15.6" x14ac:dyDescent="0.3">
      <c r="A115" s="550" t="s">
        <v>59</v>
      </c>
      <c r="B115" s="560" t="s">
        <v>340</v>
      </c>
      <c r="C115" s="125" t="s">
        <v>331</v>
      </c>
      <c r="D115" s="126"/>
      <c r="E115" s="166"/>
      <c r="F115" s="345" t="str">
        <f>IF(E115="","",IF(OR(B$12="73a",B$12="73b"),IF(E115&lt;1,0,IF(E115&gt;=30,1,ROUND(IF(E115&lt;22,'Reference Standards'!$AL$16*E115+'Reference Standards'!$AL$17,'Reference Standards'!$AM$16*E115+'Reference Standards'!$AM$17),2))), IF(E115&lt;1,0, IF(E115&gt;=42,1, ROUND(IF(E115&lt;32,'Reference Standards'!$AN$16*E115+'Reference Standards'!$AN$17,'Reference Standards'!$AO$16*E115+'Reference Standards'!$AO$17),2)))))</f>
        <v/>
      </c>
      <c r="G115" s="582" t="str">
        <f>IFERROR(AVERAGE(F115:F118),"")</f>
        <v/>
      </c>
      <c r="H115" s="568" t="str">
        <f>IFERROR(ROUND(AVERAGE(G115:G120),2),"")</f>
        <v/>
      </c>
      <c r="I115" s="519" t="str">
        <f>IF(H115="","",IF(H115&gt;0.69,"Functioning",IF(H115&gt;0.29,"Functioning At Risk",IF(H115&gt;-1,"Not Functioning"))))</f>
        <v/>
      </c>
      <c r="J115" s="559"/>
      <c r="K115" s="555"/>
      <c r="L115" s="21"/>
    </row>
    <row r="116" spans="1:12" ht="15.6" x14ac:dyDescent="0.3">
      <c r="A116" s="556"/>
      <c r="B116" s="561"/>
      <c r="C116" s="174" t="s">
        <v>335</v>
      </c>
      <c r="D116" s="175"/>
      <c r="E116" s="165"/>
      <c r="F116" s="346" t="str">
        <f>IF(E116="","",IF(AND($B$12="74b",$B$13&lt;=2),IF(E116&lt;0,0,IF(E116&gt;15.6,0.69,ROUND('Reference Standards'!$AL$54*E116^2+'Reference Standards'!$AL$55*E116+'Reference Standards'!$AL$56,2))),IF(AND($B$12="65abei",$B$13&lt;=2),IF(E116&lt;0,0,IF(E116&gt;=20,0.69,ROUND('Reference Standards'!$AM$54*E116^2+'Reference Standards'!$AM$55*E116+'Reference Standards'!$AM$56,2))),IF(OR(AND($B$12="74a",$B$13&gt;2,$B$19="January - June"),AND($B$12="71i",$B$13&gt;2,$B$20="SQBANK")),IF(E116&lt;0,0,IF(E116&gt;24.7,0.69,ROUND('Reference Standards'!$AN$54*E116^2+'Reference Standards'!$AN$55*E116+'Reference Standards'!$AN$56,2))),IF(OR($B$12="74b",$B$12="65abei"),IF(E116&lt;0,0,IF(E116&gt;32.7,0.69,ROUND('Reference Standards'!$AO$54*E116^2+'Reference Standards'!$AO$55*E116+'Reference Standards'!$AO$56,2))),IF(AND($B$12="68b",$B$13&gt;2),IF(E116&lt;0,0,IF(E116&gt;41.2,0.69,ROUND('Reference Standards'!$AP$54*E116^2+'Reference Standards'!$AP$55*E116+'Reference Standards'!$AP$56,2))),IF(OR(AND($B$12="71i",$B$13&lt;=2),AND(OR($B$12="68c",$B$12="68d"),$B$19="January - June")),IF(E116&lt;0,0,IF(E116&gt;49.2,0.69,ROUND('Reference Standards'!$AL$94*E116^2+'Reference Standards'!$AL$95*E116+'Reference Standards'!$AL$96,2))),IF(OR(AND($B$12="68a",$B$19="January - June"),AND(OR($B$12="68c",$B$12="68d"),$B$19="July - December")),IF(E116&lt;0,0,IF(E116&gt;53.4,0.69,ROUND('Reference Standards'!$AM$94*E116^2+'Reference Standards'!$AM$95*E116+'Reference Standards'!$AM$96,2))),IF(OR(AND($B$12="71i",$B$13&gt;2,$B$20="SQKICK"),AND(OR($B$12="67fhi",$B$12="67g"),$B$13&lt;=2),$B$12="65j"),IF(E116&lt;0,0,IF(E116&gt;57.8,0.69,ROUND('Reference Standards'!$AN$94*E116^2+'Reference Standards'!$AN$95*E116+'Reference Standards'!$AN$96,2))),IF(OR(AND($B$12="74a",$B$13&gt;2,$B$19="July - December"),AND(OR($B$12="67fhi",$B$12="67g"),$B$13&gt;2),$B$12="69de"),IF(E116&lt;0,0,IF(E116&gt;62.5,0.69,ROUND('Reference Standards'!$AO$94*E116^2+'Reference Standards'!$AO$95*E116+'Reference Standards'!$AO$96,2))),  IF(OR($B$12="66d",$B$12="66e",$B$12="66ik",$B$12="71e",$B$12="71f",$B$12="71g",$B$12="71h"),IF(E116&lt;0,0,IF(E116&gt;66.5,0.69,ROUND('Reference Standards'!$AP$94*E116^2+'Reference Standards'!$AP$95*E116+'Reference Standards'!$AP$96,2))),IF(OR($B$12="66f",$B$12="66g",$B$12="66j",AND($B$12="68a",$B$19="July - December")), IF(E116&lt;0,0,IF(E116&gt;69,0.69,ROUND('Reference Standards'!$AQ$94*E116^2+'Reference Standards'!$AQ$95*E116+'Reference Standards'!$AQ$96,2))))   )))))))))))</f>
        <v/>
      </c>
      <c r="G116" s="584"/>
      <c r="H116" s="568"/>
      <c r="I116" s="519"/>
      <c r="J116" s="559"/>
      <c r="K116" s="555"/>
      <c r="L116" s="21"/>
    </row>
    <row r="117" spans="1:12" ht="15.6" x14ac:dyDescent="0.3">
      <c r="A117" s="556"/>
      <c r="B117" s="561"/>
      <c r="C117" s="174" t="s">
        <v>339</v>
      </c>
      <c r="D117" s="175"/>
      <c r="E117" s="165"/>
      <c r="F117" s="346" t="str">
        <f>IF(E117="","",IF(AND($B$12="74b",$B$13&lt;=2),IF(E117&lt;0,0,IF(E117&gt;8.1,0.69,ROUND('Reference Standards'!$AL$131*E117^2+'Reference Standards'!$AL$132*E117+'Reference Standards'!$AL$133,2))),IF(OR($B$12="73a",$B$12="73b"),IF(E117&lt;0,0,IF(E117&gt;=28,0.69,ROUND('Reference Standards'!$AM$131*E117^2+'Reference Standards'!$AM$132*E117+'Reference Standards'!$AM$133,2))),IF(AND($B$12="74a",$B$13&gt;2,$B$19="January - June"),IF(E117&lt;0,0,IF(E117&gt;=32.5,0.69,ROUND('Reference Standards'!$AN$131*E117^2+'Reference Standards'!$AN$132*E117+'Reference Standards'!$AN$133,2))),IF(AND($B$12="71i",$B$13&gt;2,$B$20="SQBANK"),IF(E117&lt;0,0,IF(E117&gt;=37,0.69,ROUND('Reference Standards'!$AO$131*E117^2+'Reference Standards'!$AO$132*E117+'Reference Standards'!$AO$133,2))),IF(OR(AND(OR($B$12="65abei",$B$12="74b"),$B$13&gt;2),AND($B$12="71i",$B$13&gt;2,$B$20="SQKICK")),IF(E117&lt;0,0,IF(E117&gt;42.6,0.69,ROUND('Reference Standards'!$AP$131*E117^2+'Reference Standards'!$AP$132*E117+'Reference Standards'!$AP$133,2))),     IF(OR(AND($B$12="65abei",$B$13&lt;=2),AND(OR($B$12="68c",$B$12="68d"),$B$19="July - December"),$B$12="71e"),IF(E117&lt;0,0,IF(E117&gt;=48,0.69,ROUND('Reference Standards'!$AL$171*E117^2+'Reference Standards'!$AL$172*E117+'Reference Standards'!$AL$173,2))),IF(OR($B$12="65j",$B$12="67fhi",$B$12="67g",AND($B$12="74a",$B$19="July - December",$B$13&gt;2),AND($B$12="71i",$B$13&lt;=2)),IF(E117&lt;0,0,IF(E117&gt;=53,0.69,ROUND('Reference Standards'!$AM$171*E117^2+'Reference Standards'!$AM$172*E117+'Reference Standards'!$AM$173,2))),IF(OR(AND(OR($B$12="68b",$B$12="71f",$B$12="71g",$B$12="71h"),$B$13&gt;2),$B$12="68a"),IF(E117&lt;0,0,IF(E117&gt;=57,0.69,ROUND('Reference Standards'!$AN$171*E117^2+'Reference Standards'!$AN$172*E117+'Reference Standards'!$AN$173,2))),IF(OR($B$12="66f",$B$12="66g",$B$12="66j",AND(OR($B$12="71f",$B$12="71g",$B$12="71h"),$B$13&lt;=2)),IF(E117&lt;0,0,IF(E117&gt;=60,0.69,ROUND('Reference Standards'!$AO$171*E117^2+'Reference Standards'!$AO$172*E117+'Reference Standards'!$AO$173,2))),  IF(OR($B$12="66d",$B$12="66e",$B$12="66ik", AND(OR($B$12="68c",$B$12="68d"),$B$19="January - June"),AND($B$12="69de",$B$19="July - December")),IF(E117&lt;0,0,IF(E117&gt;=67.5,0.69,ROUND('Reference Standards'!$AP$171*E117^2+'Reference Standards'!$AP$172*E117+'Reference Standards'!$AP$173,2))),IF(AND($B$12="69de",$B$19="January - June"), IF(E117&lt;0,0,IF(E117&gt;=72,0.69,ROUND('Reference Standards'!$AQ$171*E117^2+'Reference Standards'!$AQ$172*E117+'Reference Standards'!$AQ$173,2))))   )))))))))))</f>
        <v/>
      </c>
      <c r="G117" s="584"/>
      <c r="H117" s="568"/>
      <c r="I117" s="519"/>
      <c r="J117" s="559"/>
      <c r="K117" s="555"/>
      <c r="L117" s="21"/>
    </row>
    <row r="118" spans="1:12" ht="15.6" x14ac:dyDescent="0.3">
      <c r="A118" s="556"/>
      <c r="B118" s="562"/>
      <c r="C118" s="127" t="s">
        <v>336</v>
      </c>
      <c r="D118" s="175"/>
      <c r="E118" s="167"/>
      <c r="F118" s="346" t="str">
        <f>IF(E118="","",IF(OR($B$12="67fhi",$B$12="67g",$B$12="71e",$B$12="73a",$B$12="73b",AND(OR($B$12="71f",$B$12="71g",$B$12="71h"),$B$13&gt;2)),IF(E118&gt;100,0,IF(E118&lt;15,0.69,ROUND('Reference Standards'!$AL$208*E118^2+'Reference Standards'!$AL$209*E118+'Reference Standards'!$AL$210,2))),  IF(OR($B$12="66d",$B$12="66e",$B$12="66ik",$B$12="66f",$B$12="66g",$B$12="66j",$B$12="68a",$B$12="68c",$B$12="68d",AND($B$12="69de",$B$19="July - December"), AND($B$12="71i",$B$13&lt;=2), AND($B$12="71i",$B$13&gt;2,$B$20="SQBANK" ), AND($B$12="74a",$B$13&gt;2,$B$19="July - December") ),IF(E118&gt;100,0,IF(E118&lt;19,0.69,ROUND('Reference Standards'!$AM$208*E118^2+'Reference Standards'!$AM$209*E118+'Reference Standards'!$AM$210,2))),    IF(OR(AND($B$12="69de",$B$19="January - June"),AND($B$12="71i",$B$13&gt;2,$B$20="SQKICK" )),IF(E118&gt;100,0,IF(E118&lt;22,0.69,ROUND('Reference Standards'!$AN$208*E118^2+'Reference Standards'!$AN$209*E118+'Reference Standards'!$AN$210,2))),    IF(OR($B$12="65j",AND($B$12="68b",$B$13&gt;2)),IF(E118&gt;100,0,IF(E118&lt;24,0.69,ROUND('Reference Standards'!$AO$208*E118^2+'Reference Standards'!$AO$209*E118+'Reference Standards'!$AO$210,2))),    IF(AND(OR($B$12="65abei",$B$12="71f",$B$12="71g",$B$12="71h"),$B$13&lt;=2),IF(E118&gt;95,0,IF(E118&lt;33,0.69,ROUND('Reference Standards'!$AL$246*E118^2+'Reference Standards'!$AL$247*E118+'Reference Standards'!$AL$248,2))),   IF(AND(OR($B$12="65abei",$B$12="74b"),$B$13&gt;2),IF(E118&gt;97,0,IF(E118&lt;36,0.69,ROUND('Reference Standards'!$AM$246*E118^2+'Reference Standards'!$AM$247*E118+'Reference Standards'!$AM$248,2))),  IF(AND($B$12="74a",$B$19="January - June",$B$13&gt;2),IF(E118&gt;93,0,IF(E118&lt;52,0.69,ROUND('Reference Standards'!$AN$246*E118^2+'Reference Standards'!$AN$247*E118+'Reference Standards'!$AN$248,2))),   IF(AND($B$12="74b",$B$13&lt;=2),IF(E118&gt;97,0,IF(E118&lt;62,0.69,ROUND('Reference Standards'!$AO$246*E118^2+'Reference Standards'!$AO$247*E118+'Reference Standards'!$AO$248,2)))  )))))))))</f>
        <v/>
      </c>
      <c r="G118" s="583"/>
      <c r="H118" s="568"/>
      <c r="I118" s="519"/>
      <c r="J118" s="559"/>
      <c r="K118" s="555"/>
      <c r="L118" s="21"/>
    </row>
    <row r="119" spans="1:12" ht="15.6" x14ac:dyDescent="0.3">
      <c r="A119" s="556"/>
      <c r="B119" s="563" t="s">
        <v>74</v>
      </c>
      <c r="C119" s="125" t="s">
        <v>211</v>
      </c>
      <c r="D119" s="126"/>
      <c r="E119" s="166"/>
      <c r="F119" s="345" t="str">
        <f>IF(E119="","",IF(E119=1,0.15,IF(E119=3,0.5,IF(E119=5,0.85,0))))</f>
        <v/>
      </c>
      <c r="G119" s="582" t="str">
        <f>IFERROR(AVERAGE(F119:F120),"")</f>
        <v/>
      </c>
      <c r="H119" s="568"/>
      <c r="I119" s="519"/>
      <c r="J119" s="559"/>
      <c r="K119" s="555"/>
      <c r="L119" s="21"/>
    </row>
    <row r="120" spans="1:12" ht="15.6" x14ac:dyDescent="0.3">
      <c r="A120" s="551"/>
      <c r="B120" s="563"/>
      <c r="C120" s="127" t="s">
        <v>332</v>
      </c>
      <c r="D120" s="71"/>
      <c r="E120" s="167"/>
      <c r="F120" s="347" t="str">
        <f>IF(E120="","",IF(E120=1,0.15,IF(E120=3,0.5,IF(E120=5,0.85,0))))</f>
        <v/>
      </c>
      <c r="G120" s="583"/>
      <c r="H120" s="568"/>
      <c r="I120" s="519"/>
      <c r="J120" s="559"/>
      <c r="K120" s="555"/>
      <c r="L120" s="21"/>
    </row>
    <row r="121" spans="1:12" x14ac:dyDescent="0.3">
      <c r="L121" s="21"/>
    </row>
  </sheetData>
  <sheetProtection password="9A90" sheet="1" objects="1" scenarios="1" selectLockedCells="1"/>
  <dataConsolidate/>
  <mergeCells count="113">
    <mergeCell ref="A1:B3"/>
    <mergeCell ref="D1:J1"/>
    <mergeCell ref="D2:J2"/>
    <mergeCell ref="D3:J3"/>
    <mergeCell ref="D4:J4"/>
    <mergeCell ref="D5:J5"/>
    <mergeCell ref="I24:I25"/>
    <mergeCell ref="J24:K25"/>
    <mergeCell ref="A26:A27"/>
    <mergeCell ref="F26:G28"/>
    <mergeCell ref="H26:H28"/>
    <mergeCell ref="I26:I28"/>
    <mergeCell ref="J26:K28"/>
    <mergeCell ref="D11:F11"/>
    <mergeCell ref="D22:K22"/>
    <mergeCell ref="A23:D23"/>
    <mergeCell ref="F23:K23"/>
    <mergeCell ref="A24:A25"/>
    <mergeCell ref="B24:B25"/>
    <mergeCell ref="C24:C25"/>
    <mergeCell ref="D24:D25"/>
    <mergeCell ref="F24:G25"/>
    <mergeCell ref="H24:H25"/>
    <mergeCell ref="H11:J11"/>
    <mergeCell ref="I12:J12"/>
    <mergeCell ref="D14:E14"/>
    <mergeCell ref="A29:A34"/>
    <mergeCell ref="F29:G31"/>
    <mergeCell ref="H29:H31"/>
    <mergeCell ref="I29:I31"/>
    <mergeCell ref="J29:K31"/>
    <mergeCell ref="F32:G34"/>
    <mergeCell ref="H32:H34"/>
    <mergeCell ref="I32:I34"/>
    <mergeCell ref="J32:K34"/>
    <mergeCell ref="A35:A38"/>
    <mergeCell ref="F35:G37"/>
    <mergeCell ref="H35:H37"/>
    <mergeCell ref="I35:I37"/>
    <mergeCell ref="J35:K37"/>
    <mergeCell ref="F38:G40"/>
    <mergeCell ref="H38:H40"/>
    <mergeCell ref="I38:I40"/>
    <mergeCell ref="J38:K40"/>
    <mergeCell ref="A39:A40"/>
    <mergeCell ref="A43:F43"/>
    <mergeCell ref="G43:K43"/>
    <mergeCell ref="C44:D44"/>
    <mergeCell ref="A45:A46"/>
    <mergeCell ref="H45:H46"/>
    <mergeCell ref="I45:I46"/>
    <mergeCell ref="J45:J80"/>
    <mergeCell ref="K45:K80"/>
    <mergeCell ref="B51:B54"/>
    <mergeCell ref="G51:G54"/>
    <mergeCell ref="B55:B64"/>
    <mergeCell ref="G55:G64"/>
    <mergeCell ref="B66:B69"/>
    <mergeCell ref="G66:G69"/>
    <mergeCell ref="A47:A48"/>
    <mergeCell ref="B47:B48"/>
    <mergeCell ref="G47:G48"/>
    <mergeCell ref="A71:A74"/>
    <mergeCell ref="H71:H74"/>
    <mergeCell ref="I71:I74"/>
    <mergeCell ref="A75:A80"/>
    <mergeCell ref="B75:B78"/>
    <mergeCell ref="G75:G78"/>
    <mergeCell ref="H75:H80"/>
    <mergeCell ref="I75:I80"/>
    <mergeCell ref="B79:B80"/>
    <mergeCell ref="G79:G80"/>
    <mergeCell ref="H47:H48"/>
    <mergeCell ref="I47:I48"/>
    <mergeCell ref="A49:A70"/>
    <mergeCell ref="B49:B50"/>
    <mergeCell ref="G49:G50"/>
    <mergeCell ref="H49:H70"/>
    <mergeCell ref="I49:I70"/>
    <mergeCell ref="A83:F83"/>
    <mergeCell ref="G83:K83"/>
    <mergeCell ref="C84:D84"/>
    <mergeCell ref="A85:A86"/>
    <mergeCell ref="H85:H86"/>
    <mergeCell ref="I85:I86"/>
    <mergeCell ref="J85:J120"/>
    <mergeCell ref="K85:K120"/>
    <mergeCell ref="B91:B94"/>
    <mergeCell ref="G91:G94"/>
    <mergeCell ref="B95:B104"/>
    <mergeCell ref="G95:G104"/>
    <mergeCell ref="B106:B109"/>
    <mergeCell ref="G106:G109"/>
    <mergeCell ref="A87:A88"/>
    <mergeCell ref="B87:B88"/>
    <mergeCell ref="G87:G88"/>
    <mergeCell ref="A111:A114"/>
    <mergeCell ref="H111:H114"/>
    <mergeCell ref="I111:I114"/>
    <mergeCell ref="A115:A120"/>
    <mergeCell ref="B115:B118"/>
    <mergeCell ref="G115:G118"/>
    <mergeCell ref="H115:H120"/>
    <mergeCell ref="I115:I120"/>
    <mergeCell ref="B119:B120"/>
    <mergeCell ref="G119:G120"/>
    <mergeCell ref="H87:H88"/>
    <mergeCell ref="I87:I88"/>
    <mergeCell ref="A89:A110"/>
    <mergeCell ref="B89:B90"/>
    <mergeCell ref="G89:G90"/>
    <mergeCell ref="H89:H110"/>
    <mergeCell ref="I89:I110"/>
  </mergeCells>
  <conditionalFormatting sqref="A44:C44 I75:I79 B73:B74 A39 D63 B66:D66 A47:D47 I111 I89:I90 H49:I50 H47:I47 L43:M46 H44:K46 G43 H81:K82 A84:C84 G83 I115:I119 A49:D49 C48:D48 A1 F18:F19 A41:A42 C41:M42 J24 J26 J29 J32 F15:F16 L2:M9 J17:K17 H12:H15 H19:H21 C22:D22 K12:K15 K19:K21 E44:G44 L40 D87:D88 B71 C55:D57 M94:M109 B95:B97 C16:C21 C72:D73 C67:D67 D68:D69 D115:D119 C78:D78 D106:D111 B70:D70 A50 C50:D50 A75:A79 D77 C75:D76 L110:L121 J35 B35 F35 A4:A5 B4:B15 L47:L80 C2:C14 D1:D3 A19:A21 E84:K84 A10:A17 H85:I87 L81:M93 L22:M22">
    <cfRule type="beginsWith" dxfId="4598" priority="511" stopIfTrue="1" operator="beginsWith" text="Functioning At Risk">
      <formula>LEFT(A1,LEN("Functioning At Risk"))="Functioning At Risk"</formula>
    </cfRule>
    <cfRule type="beginsWith" dxfId="4597" priority="512" stopIfTrue="1" operator="beginsWith" text="Not Functioning">
      <formula>LEFT(A1,LEN("Not Functioning"))="Not Functioning"</formula>
    </cfRule>
    <cfRule type="containsText" dxfId="4596" priority="513" operator="containsText" text="Functioning">
      <formula>NOT(ISERROR(SEARCH("Functioning",A1)))</formula>
    </cfRule>
  </conditionalFormatting>
  <conditionalFormatting sqref="D11">
    <cfRule type="beginsWith" dxfId="4595" priority="508" stopIfTrue="1" operator="beginsWith" text="Functioning At Risk">
      <formula>LEFT(D11,LEN("Functioning At Risk"))="Functioning At Risk"</formula>
    </cfRule>
    <cfRule type="beginsWith" dxfId="4594" priority="509" stopIfTrue="1" operator="beginsWith" text="Not Functioning">
      <formula>LEFT(D11,LEN("Not Functioning"))="Not Functioning"</formula>
    </cfRule>
    <cfRule type="containsText" dxfId="4593" priority="510" operator="containsText" text="Functioning">
      <formula>NOT(ISERROR(SEARCH("Functioning",D11)))</formula>
    </cfRule>
  </conditionalFormatting>
  <conditionalFormatting sqref="B39">
    <cfRule type="beginsWith" dxfId="4592" priority="502" stopIfTrue="1" operator="beginsWith" text="Functioning At Risk">
      <formula>LEFT(B39,LEN("Functioning At Risk"))="Functioning At Risk"</formula>
    </cfRule>
    <cfRule type="beginsWith" dxfId="4591" priority="503" stopIfTrue="1" operator="beginsWith" text="Not Functioning">
      <formula>LEFT(B39,LEN("Not Functioning"))="Not Functioning"</formula>
    </cfRule>
    <cfRule type="containsText" dxfId="4590" priority="504" operator="containsText" text="Functioning">
      <formula>NOT(ISERROR(SEARCH("Functioning",B39)))</formula>
    </cfRule>
  </conditionalFormatting>
  <conditionalFormatting sqref="D120">
    <cfRule type="beginsWith" dxfId="4589" priority="499" stopIfTrue="1" operator="beginsWith" text="Functioning At Risk">
      <formula>LEFT(D120,LEN("Functioning At Risk"))="Functioning At Risk"</formula>
    </cfRule>
    <cfRule type="beginsWith" dxfId="4588" priority="500" stopIfTrue="1" operator="beginsWith" text="Not Functioning">
      <formula>LEFT(D120,LEN("Not Functioning"))="Not Functioning"</formula>
    </cfRule>
    <cfRule type="containsText" dxfId="4587" priority="501" operator="containsText" text="Functioning">
      <formula>NOT(ISERROR(SEARCH("Functioning",D120)))</formula>
    </cfRule>
  </conditionalFormatting>
  <conditionalFormatting sqref="B40">
    <cfRule type="beginsWith" dxfId="4586" priority="496" stopIfTrue="1" operator="beginsWith" text="Functioning At Risk">
      <formula>LEFT(B40,LEN("Functioning At Risk"))="Functioning At Risk"</formula>
    </cfRule>
    <cfRule type="beginsWith" dxfId="4585" priority="497" stopIfTrue="1" operator="beginsWith" text="Not Functioning">
      <formula>LEFT(B40,LEN("Not Functioning"))="Not Functioning"</formula>
    </cfRule>
    <cfRule type="containsText" dxfId="4584" priority="498" operator="containsText" text="Functioning">
      <formula>NOT(ISERROR(SEARCH("Functioning",B40)))</formula>
    </cfRule>
  </conditionalFormatting>
  <conditionalFormatting sqref="D112">
    <cfRule type="beginsWith" dxfId="4583" priority="487" stopIfTrue="1" operator="beginsWith" text="Functioning At Risk">
      <formula>LEFT(D112,LEN("Functioning At Risk"))="Functioning At Risk"</formula>
    </cfRule>
    <cfRule type="beginsWith" dxfId="4582" priority="488" stopIfTrue="1" operator="beginsWith" text="Not Functioning">
      <formula>LEFT(D112,LEN("Not Functioning"))="Not Functioning"</formula>
    </cfRule>
    <cfRule type="containsText" dxfId="4581" priority="489" operator="containsText" text="Functioning">
      <formula>NOT(ISERROR(SEARCH("Functioning",D112)))</formula>
    </cfRule>
  </conditionalFormatting>
  <conditionalFormatting sqref="B38">
    <cfRule type="beginsWith" dxfId="4580" priority="484" stopIfTrue="1" operator="beginsWith" text="Functioning At Risk">
      <formula>LEFT(B38,LEN("Functioning At Risk"))="Functioning At Risk"</formula>
    </cfRule>
    <cfRule type="beginsWith" dxfId="4579" priority="485" stopIfTrue="1" operator="beginsWith" text="Not Functioning">
      <formula>LEFT(B38,LEN("Not Functioning"))="Not Functioning"</formula>
    </cfRule>
    <cfRule type="containsText" dxfId="4578" priority="486" operator="containsText" text="Functioning">
      <formula>NOT(ISERROR(SEARCH("Functioning",B38)))</formula>
    </cfRule>
  </conditionalFormatting>
  <conditionalFormatting sqref="B37">
    <cfRule type="beginsWith" dxfId="4577" priority="481" stopIfTrue="1" operator="beginsWith" text="Functioning At Risk">
      <formula>LEFT(B37,LEN("Functioning At Risk"))="Functioning At Risk"</formula>
    </cfRule>
    <cfRule type="beginsWith" dxfId="4576" priority="482" stopIfTrue="1" operator="beginsWith" text="Not Functioning">
      <formula>LEFT(B37,LEN("Not Functioning"))="Not Functioning"</formula>
    </cfRule>
    <cfRule type="containsText" dxfId="4575" priority="483" operator="containsText" text="Functioning">
      <formula>NOT(ISERROR(SEARCH("Functioning",B37)))</formula>
    </cfRule>
  </conditionalFormatting>
  <conditionalFormatting sqref="C58:D58">
    <cfRule type="beginsWith" dxfId="4574" priority="475" stopIfTrue="1" operator="beginsWith" text="Functioning At Risk">
      <formula>LEFT(C58,LEN("Functioning At Risk"))="Functioning At Risk"</formula>
    </cfRule>
    <cfRule type="beginsWith" dxfId="4573" priority="476" stopIfTrue="1" operator="beginsWith" text="Not Functioning">
      <formula>LEFT(C58,LEN("Not Functioning"))="Not Functioning"</formula>
    </cfRule>
    <cfRule type="containsText" dxfId="4572" priority="477" operator="containsText" text="Functioning">
      <formula>NOT(ISERROR(SEARCH("Functioning",C58)))</formula>
    </cfRule>
  </conditionalFormatting>
  <conditionalFormatting sqref="D64">
    <cfRule type="beginsWith" dxfId="4571" priority="472" stopIfTrue="1" operator="beginsWith" text="Functioning At Risk">
      <formula>LEFT(D64,LEN("Functioning At Risk"))="Functioning At Risk"</formula>
    </cfRule>
    <cfRule type="beginsWith" dxfId="4570" priority="473" stopIfTrue="1" operator="beginsWith" text="Not Functioning">
      <formula>LEFT(D64,LEN("Not Functioning"))="Not Functioning"</formula>
    </cfRule>
    <cfRule type="containsText" dxfId="4569" priority="474" operator="containsText" text="Functioning">
      <formula>NOT(ISERROR(SEARCH("Functioning",D64)))</formula>
    </cfRule>
  </conditionalFormatting>
  <conditionalFormatting sqref="B113:B114 B106 A87:B87 A89:A90 B119 A115:A119">
    <cfRule type="beginsWith" dxfId="4568" priority="466" stopIfTrue="1" operator="beginsWith" text="Functioning At Risk">
      <formula>LEFT(A87,LEN("Functioning At Risk"))="Functioning At Risk"</formula>
    </cfRule>
    <cfRule type="beginsWith" dxfId="4567" priority="467" stopIfTrue="1" operator="beginsWith" text="Not Functioning">
      <formula>LEFT(A87,LEN("Not Functioning"))="Not Functioning"</formula>
    </cfRule>
    <cfRule type="containsText" dxfId="4566" priority="468" operator="containsText" text="Functioning">
      <formula>NOT(ISERROR(SEARCH("Functioning",A87)))</formula>
    </cfRule>
  </conditionalFormatting>
  <conditionalFormatting sqref="A111">
    <cfRule type="beginsWith" dxfId="4565" priority="460" stopIfTrue="1" operator="beginsWith" text="Functioning At Risk">
      <formula>LEFT(A111,LEN("Functioning At Risk"))="Functioning At Risk"</formula>
    </cfRule>
    <cfRule type="beginsWith" dxfId="4564" priority="461" stopIfTrue="1" operator="beginsWith" text="Not Functioning">
      <formula>LEFT(A111,LEN("Not Functioning"))="Not Functioning"</formula>
    </cfRule>
    <cfRule type="containsText" dxfId="4563" priority="462" operator="containsText" text="Functioning">
      <formula>NOT(ISERROR(SEARCH("Functioning",A111)))</formula>
    </cfRule>
  </conditionalFormatting>
  <conditionalFormatting sqref="K85:K86">
    <cfRule type="beginsWith" dxfId="4562" priority="457" stopIfTrue="1" operator="beginsWith" text="Functioning At Risk">
      <formula>LEFT(K85,LEN("Functioning At Risk"))="Functioning At Risk"</formula>
    </cfRule>
    <cfRule type="beginsWith" dxfId="4561" priority="458" stopIfTrue="1" operator="beginsWith" text="Not Functioning">
      <formula>LEFT(K85,LEN("Not Functioning"))="Not Functioning"</formula>
    </cfRule>
    <cfRule type="containsText" dxfId="4560" priority="459" operator="containsText" text="Functioning">
      <formula>NOT(ISERROR(SEARCH("Functioning",K85)))</formula>
    </cfRule>
  </conditionalFormatting>
  <conditionalFormatting sqref="F23">
    <cfRule type="beginsWith" dxfId="4559" priority="454" stopIfTrue="1" operator="beginsWith" text="Functioning At Risk">
      <formula>LEFT(F23,LEN("Functioning At Risk"))="Functioning At Risk"</formula>
    </cfRule>
    <cfRule type="beginsWith" dxfId="4558" priority="455" stopIfTrue="1" operator="beginsWith" text="Not Functioning">
      <formula>LEFT(F23,LEN("Not Functioning"))="Not Functioning"</formula>
    </cfRule>
    <cfRule type="containsText" dxfId="4557" priority="456" operator="containsText" text="Functioning">
      <formula>NOT(ISERROR(SEARCH("Functioning",F23)))</formula>
    </cfRule>
  </conditionalFormatting>
  <conditionalFormatting sqref="F32">
    <cfRule type="beginsWith" dxfId="4556" priority="451" stopIfTrue="1" operator="beginsWith" text="Functioning At Risk">
      <formula>LEFT(F32,LEN("Functioning At Risk"))="Functioning At Risk"</formula>
    </cfRule>
    <cfRule type="beginsWith" dxfId="4555" priority="452" stopIfTrue="1" operator="beginsWith" text="Not Functioning">
      <formula>LEFT(F32,LEN("Not Functioning"))="Not Functioning"</formula>
    </cfRule>
    <cfRule type="containsText" dxfId="4554" priority="453" operator="containsText" text="Functioning">
      <formula>NOT(ISERROR(SEARCH("Functioning",F32)))</formula>
    </cfRule>
  </conditionalFormatting>
  <conditionalFormatting sqref="F29">
    <cfRule type="beginsWith" dxfId="4553" priority="448" stopIfTrue="1" operator="beginsWith" text="Functioning At Risk">
      <formula>LEFT(F29,LEN("Functioning At Risk"))="Functioning At Risk"</formula>
    </cfRule>
    <cfRule type="beginsWith" dxfId="4552" priority="449" stopIfTrue="1" operator="beginsWith" text="Not Functioning">
      <formula>LEFT(F29,LEN("Not Functioning"))="Not Functioning"</formula>
    </cfRule>
    <cfRule type="containsText" dxfId="4551" priority="450" operator="containsText" text="Functioning">
      <formula>NOT(ISERROR(SEARCH("Functioning",F29)))</formula>
    </cfRule>
  </conditionalFormatting>
  <conditionalFormatting sqref="C26:D40 H26:I32 H35:I35">
    <cfRule type="cellIs" dxfId="4550" priority="505" operator="between">
      <formula>0</formula>
      <formula>0.299999</formula>
    </cfRule>
    <cfRule type="cellIs" dxfId="4549" priority="506" operator="between">
      <formula>0.6999999</formula>
      <formula>0.3</formula>
    </cfRule>
    <cfRule type="cellIs" dxfId="4548" priority="507" operator="between">
      <formula>0.7</formula>
      <formula>1</formula>
    </cfRule>
  </conditionalFormatting>
  <conditionalFormatting sqref="D105">
    <cfRule type="beginsWith" dxfId="4547" priority="445" stopIfTrue="1" operator="beginsWith" text="Functioning At Risk">
      <formula>LEFT(D105,LEN("Functioning At Risk"))="Functioning At Risk"</formula>
    </cfRule>
    <cfRule type="beginsWith" dxfId="4546" priority="446" stopIfTrue="1" operator="beginsWith" text="Not Functioning">
      <formula>LEFT(D105,LEN("Not Functioning"))="Not Functioning"</formula>
    </cfRule>
    <cfRule type="containsText" dxfId="4545" priority="447" operator="containsText" text="Functioning">
      <formula>NOT(ISERROR(SEARCH("Functioning",D105)))</formula>
    </cfRule>
  </conditionalFormatting>
  <conditionalFormatting sqref="C65:D65">
    <cfRule type="beginsWith" dxfId="4544" priority="442" stopIfTrue="1" operator="beginsWith" text="Functioning At Risk">
      <formula>LEFT(C65,LEN("Functioning At Risk"))="Functioning At Risk"</formula>
    </cfRule>
    <cfRule type="beginsWith" dxfId="4543" priority="443" stopIfTrue="1" operator="beginsWith" text="Not Functioning">
      <formula>LEFT(C65,LEN("Not Functioning"))="Not Functioning"</formula>
    </cfRule>
    <cfRule type="containsText" dxfId="4542" priority="444" operator="containsText" text="Functioning">
      <formula>NOT(ISERROR(SEARCH("Functioning",C65)))</formula>
    </cfRule>
  </conditionalFormatting>
  <conditionalFormatting sqref="D113">
    <cfRule type="beginsWith" dxfId="4541" priority="439" stopIfTrue="1" operator="beginsWith" text="Functioning At Risk">
      <formula>LEFT(D113,LEN("Functioning At Risk"))="Functioning At Risk"</formula>
    </cfRule>
    <cfRule type="beginsWith" dxfId="4540" priority="440" stopIfTrue="1" operator="beginsWith" text="Not Functioning">
      <formula>LEFT(D113,LEN("Not Functioning"))="Not Functioning"</formula>
    </cfRule>
    <cfRule type="containsText" dxfId="4539" priority="441" operator="containsText" text="Functioning">
      <formula>NOT(ISERROR(SEARCH("Functioning",D113)))</formula>
    </cfRule>
  </conditionalFormatting>
  <conditionalFormatting sqref="H18">
    <cfRule type="beginsWith" dxfId="4538" priority="433" stopIfTrue="1" operator="beginsWith" text="Functioning At Risk">
      <formula>LEFT(H18,LEN("Functioning At Risk"))="Functioning At Risk"</formula>
    </cfRule>
    <cfRule type="beginsWith" dxfId="4537" priority="434" stopIfTrue="1" operator="beginsWith" text="Not Functioning">
      <formula>LEFT(H18,LEN("Not Functioning"))="Not Functioning"</formula>
    </cfRule>
    <cfRule type="containsText" dxfId="4536" priority="435" operator="containsText" text="Functioning">
      <formula>NOT(ISERROR(SEARCH("Functioning",H18)))</formula>
    </cfRule>
  </conditionalFormatting>
  <conditionalFormatting sqref="B18">
    <cfRule type="beginsWith" dxfId="4535" priority="424" stopIfTrue="1" operator="beginsWith" text="Functioning At Risk">
      <formula>LEFT(B18,LEN("Functioning At Risk"))="Functioning At Risk"</formula>
    </cfRule>
    <cfRule type="beginsWith" dxfId="4534" priority="425" stopIfTrue="1" operator="beginsWith" text="Not Functioning">
      <formula>LEFT(B18,LEN("Not Functioning"))="Not Functioning"</formula>
    </cfRule>
    <cfRule type="containsText" dxfId="4533" priority="426" operator="containsText" text="Functioning">
      <formula>NOT(ISERROR(SEARCH("Functioning",B18)))</formula>
    </cfRule>
  </conditionalFormatting>
  <conditionalFormatting sqref="B16:B17">
    <cfRule type="beginsWith" dxfId="4532" priority="421" stopIfTrue="1" operator="beginsWith" text="Functioning At Risk">
      <formula>LEFT(B16,LEN("Functioning At Risk"))="Functioning At Risk"</formula>
    </cfRule>
    <cfRule type="beginsWith" dxfId="4531" priority="422" stopIfTrue="1" operator="beginsWith" text="Not Functioning">
      <formula>LEFT(B16,LEN("Not Functioning"))="Not Functioning"</formula>
    </cfRule>
    <cfRule type="containsText" dxfId="4530" priority="423" operator="containsText" text="Functioning">
      <formula>NOT(ISERROR(SEARCH("Functioning",B16)))</formula>
    </cfRule>
  </conditionalFormatting>
  <conditionalFormatting sqref="E119 E87:E88 E111">
    <cfRule type="beginsWith" dxfId="4529" priority="418" stopIfTrue="1" operator="beginsWith" text="Functioning At Risk">
      <formula>LEFT(E87,LEN("Functioning At Risk"))="Functioning At Risk"</formula>
    </cfRule>
    <cfRule type="beginsWith" dxfId="4528" priority="419" stopIfTrue="1" operator="beginsWith" text="Not Functioning">
      <formula>LEFT(E87,LEN("Not Functioning"))="Not Functioning"</formula>
    </cfRule>
    <cfRule type="containsText" dxfId="4527" priority="420" operator="containsText" text="Functioning">
      <formula>NOT(ISERROR(SEARCH("Functioning",E87)))</formula>
    </cfRule>
  </conditionalFormatting>
  <conditionalFormatting sqref="E78">
    <cfRule type="expression" dxfId="4526" priority="417">
      <formula>B1048469="Level 5 - Biology"</formula>
    </cfRule>
  </conditionalFormatting>
  <conditionalFormatting sqref="E120">
    <cfRule type="beginsWith" dxfId="4525" priority="414" stopIfTrue="1" operator="beginsWith" text="Functioning At Risk">
      <formula>LEFT(E120,LEN("Functioning At Risk"))="Functioning At Risk"</formula>
    </cfRule>
    <cfRule type="beginsWith" dxfId="4524" priority="415" stopIfTrue="1" operator="beginsWith" text="Not Functioning">
      <formula>LEFT(E120,LEN("Not Functioning"))="Not Functioning"</formula>
    </cfRule>
    <cfRule type="containsText" dxfId="4523" priority="416" operator="containsText" text="Functioning">
      <formula>NOT(ISERROR(SEARCH("Functioning",E120)))</formula>
    </cfRule>
  </conditionalFormatting>
  <conditionalFormatting sqref="E113">
    <cfRule type="expression" dxfId="4522" priority="412">
      <formula>B10="Level 4 - Physicochemical"</formula>
    </cfRule>
    <cfRule type="expression" dxfId="4521" priority="413">
      <formula>B10="Level 5 - Biology"</formula>
    </cfRule>
  </conditionalFormatting>
  <conditionalFormatting sqref="E75:E78 E47:E48 E66:E70">
    <cfRule type="beginsWith" dxfId="4520" priority="406" stopIfTrue="1" operator="beginsWith" text="Functioning At Risk">
      <formula>LEFT(E47,LEN("Functioning At Risk"))="Functioning At Risk"</formula>
    </cfRule>
    <cfRule type="beginsWith" dxfId="4519" priority="407" stopIfTrue="1" operator="beginsWith" text="Not Functioning">
      <formula>LEFT(E47,LEN("Not Functioning"))="Not Functioning"</formula>
    </cfRule>
    <cfRule type="containsText" dxfId="4518" priority="408" operator="containsText" text="Functioning">
      <formula>NOT(ISERROR(SEARCH("Functioning",E47)))</formula>
    </cfRule>
  </conditionalFormatting>
  <conditionalFormatting sqref="E73">
    <cfRule type="expression" dxfId="4517" priority="403">
      <formula>B1048468="Level 4 - Physicochemical"</formula>
    </cfRule>
    <cfRule type="expression" dxfId="4516" priority="405">
      <formula>B1048468="Level 5 - Biology"</formula>
    </cfRule>
  </conditionalFormatting>
  <conditionalFormatting sqref="E74">
    <cfRule type="expression" dxfId="4515" priority="402">
      <formula>B1048468="Level 4 - Physicochemical"</formula>
    </cfRule>
    <cfRule type="expression" dxfId="4514" priority="404">
      <formula>B1048468="Level 5 - Biology"</formula>
    </cfRule>
  </conditionalFormatting>
  <conditionalFormatting sqref="E71">
    <cfRule type="expression" dxfId="4513" priority="394">
      <formula>B1048468="Level 5 - Biology"</formula>
    </cfRule>
    <cfRule type="expression" dxfId="4512" priority="395">
      <formula>B1048468="Level 4 - Physicochemical"</formula>
    </cfRule>
    <cfRule type="beginsWith" dxfId="4511" priority="396" stopIfTrue="1" operator="beginsWith" text="Functioning At Risk">
      <formula>LEFT(E71,LEN("Functioning At Risk"))="Functioning At Risk"</formula>
    </cfRule>
    <cfRule type="beginsWith" dxfId="4510" priority="397" stopIfTrue="1" operator="beginsWith" text="Not Functioning">
      <formula>LEFT(E71,LEN("Not Functioning"))="Not Functioning"</formula>
    </cfRule>
    <cfRule type="containsText" dxfId="4509" priority="398" operator="containsText" text="Functioning">
      <formula>NOT(ISERROR(SEARCH("Functioning",E71)))</formula>
    </cfRule>
  </conditionalFormatting>
  <conditionalFormatting sqref="J38">
    <cfRule type="beginsWith" dxfId="4508" priority="391" stopIfTrue="1" operator="beginsWith" text="Functioning At Risk">
      <formula>LEFT(J38,LEN("Functioning At Risk"))="Functioning At Risk"</formula>
    </cfRule>
    <cfRule type="beginsWith" dxfId="4507" priority="392" stopIfTrue="1" operator="beginsWith" text="Not Functioning">
      <formula>LEFT(J38,LEN("Not Functioning"))="Not Functioning"</formula>
    </cfRule>
    <cfRule type="containsText" dxfId="4506" priority="393" operator="containsText" text="Functioning">
      <formula>NOT(ISERROR(SEARCH("Functioning",J38)))</formula>
    </cfRule>
  </conditionalFormatting>
  <conditionalFormatting sqref="F38">
    <cfRule type="beginsWith" dxfId="4505" priority="385" stopIfTrue="1" operator="beginsWith" text="Functioning At Risk">
      <formula>LEFT(F38,LEN("Functioning At Risk"))="Functioning At Risk"</formula>
    </cfRule>
    <cfRule type="beginsWith" dxfId="4504" priority="386" stopIfTrue="1" operator="beginsWith" text="Not Functioning">
      <formula>LEFT(F38,LEN("Not Functioning"))="Not Functioning"</formula>
    </cfRule>
    <cfRule type="containsText" dxfId="4503" priority="387" operator="containsText" text="Functioning">
      <formula>NOT(ISERROR(SEARCH("Functioning",F38)))</formula>
    </cfRule>
  </conditionalFormatting>
  <conditionalFormatting sqref="H38:I38">
    <cfRule type="cellIs" dxfId="4502" priority="388" operator="between">
      <formula>0</formula>
      <formula>0.299999</formula>
    </cfRule>
    <cfRule type="cellIs" dxfId="4501" priority="389" operator="between">
      <formula>0.6999999</formula>
      <formula>0.3</formula>
    </cfRule>
    <cfRule type="cellIs" dxfId="4500" priority="390" operator="between">
      <formula>0.7</formula>
      <formula>1</formula>
    </cfRule>
  </conditionalFormatting>
  <conditionalFormatting sqref="D4">
    <cfRule type="beginsWith" dxfId="4499" priority="379" stopIfTrue="1" operator="beginsWith" text="Functioning At Risk">
      <formula>LEFT(D4,LEN("Functioning At Risk"))="Functioning At Risk"</formula>
    </cfRule>
    <cfRule type="beginsWith" dxfId="4498" priority="380" stopIfTrue="1" operator="beginsWith" text="Not Functioning">
      <formula>LEFT(D4,LEN("Not Functioning"))="Not Functioning"</formula>
    </cfRule>
    <cfRule type="containsText" dxfId="4497" priority="381" operator="containsText" text="Functioning">
      <formula>NOT(ISERROR(SEARCH("Functioning",D4)))</formula>
    </cfRule>
  </conditionalFormatting>
  <conditionalFormatting sqref="C59:D62">
    <cfRule type="beginsWith" dxfId="4496" priority="382" stopIfTrue="1" operator="beginsWith" text="Functioning At Risk">
      <formula>LEFT(C59,LEN("Functioning At Risk"))="Functioning At Risk"</formula>
    </cfRule>
    <cfRule type="beginsWith" dxfId="4495" priority="383" stopIfTrue="1" operator="beginsWith" text="Not Functioning">
      <formula>LEFT(C59,LEN("Not Functioning"))="Not Functioning"</formula>
    </cfRule>
    <cfRule type="containsText" dxfId="4494" priority="384" operator="containsText" text="Functioning">
      <formula>NOT(ISERROR(SEARCH("Functioning",C59)))</formula>
    </cfRule>
  </conditionalFormatting>
  <conditionalFormatting sqref="A71">
    <cfRule type="beginsWith" dxfId="4493" priority="367" stopIfTrue="1" operator="beginsWith" text="Functioning At Risk">
      <formula>LEFT(A71,LEN("Functioning At Risk"))="Functioning At Risk"</formula>
    </cfRule>
    <cfRule type="beginsWith" dxfId="4492" priority="368" stopIfTrue="1" operator="beginsWith" text="Not Functioning">
      <formula>LEFT(A71,LEN("Not Functioning"))="Not Functioning"</formula>
    </cfRule>
    <cfRule type="containsText" dxfId="4491" priority="369" operator="containsText" text="Functioning">
      <formula>NOT(ISERROR(SEARCH("Functioning",A71)))</formula>
    </cfRule>
  </conditionalFormatting>
  <conditionalFormatting sqref="H71">
    <cfRule type="beginsWith" dxfId="4490" priority="364" stopIfTrue="1" operator="beginsWith" text="Functioning At Risk">
      <formula>LEFT(H71,LEN("Functioning At Risk"))="Functioning At Risk"</formula>
    </cfRule>
    <cfRule type="beginsWith" dxfId="4489" priority="365" stopIfTrue="1" operator="beginsWith" text="Not Functioning">
      <formula>LEFT(H71,LEN("Not Functioning"))="Not Functioning"</formula>
    </cfRule>
    <cfRule type="containsText" dxfId="4488" priority="366" operator="containsText" text="Functioning">
      <formula>NOT(ISERROR(SEARCH("Functioning",H71)))</formula>
    </cfRule>
  </conditionalFormatting>
  <conditionalFormatting sqref="E72">
    <cfRule type="expression" dxfId="4487" priority="514">
      <formula>B1048469="Level 4 - Physicochemical"</formula>
    </cfRule>
    <cfRule type="expression" dxfId="4486" priority="515">
      <formula>B1048469="Level 5 - Biology"</formula>
    </cfRule>
  </conditionalFormatting>
  <conditionalFormatting sqref="C68">
    <cfRule type="beginsWith" dxfId="4485" priority="376" stopIfTrue="1" operator="beginsWith" text="Functioning At Risk">
      <formula>LEFT(C68,LEN("Functioning At Risk"))="Functioning At Risk"</formula>
    </cfRule>
    <cfRule type="beginsWith" dxfId="4484" priority="377" stopIfTrue="1" operator="beginsWith" text="Not Functioning">
      <formula>LEFT(C68,LEN("Not Functioning"))="Not Functioning"</formula>
    </cfRule>
    <cfRule type="containsText" dxfId="4483" priority="378" operator="containsText" text="Functioning">
      <formula>NOT(ISERROR(SEARCH("Functioning",C68)))</formula>
    </cfRule>
  </conditionalFormatting>
  <conditionalFormatting sqref="H111 H89:H90">
    <cfRule type="beginsWith" dxfId="4482" priority="373" stopIfTrue="1" operator="beginsWith" text="Functioning At Risk">
      <formula>LEFT(H89,LEN("Functioning At Risk"))="Functioning At Risk"</formula>
    </cfRule>
    <cfRule type="beginsWith" dxfId="4481" priority="374" stopIfTrue="1" operator="beginsWith" text="Not Functioning">
      <formula>LEFT(H89,LEN("Not Functioning"))="Not Functioning"</formula>
    </cfRule>
    <cfRule type="containsText" dxfId="4480" priority="375" operator="containsText" text="Functioning">
      <formula>NOT(ISERROR(SEARCH("Functioning",H89)))</formula>
    </cfRule>
  </conditionalFormatting>
  <conditionalFormatting sqref="J85:J86">
    <cfRule type="beginsWith" dxfId="4479" priority="370" stopIfTrue="1" operator="beginsWith" text="Functioning At Risk">
      <formula>LEFT(J85,LEN("Functioning At Risk"))="Functioning At Risk"</formula>
    </cfRule>
    <cfRule type="beginsWith" dxfId="4478" priority="371" stopIfTrue="1" operator="beginsWith" text="Not Functioning">
      <formula>LEFT(J85,LEN("Not Functioning"))="Not Functioning"</formula>
    </cfRule>
    <cfRule type="containsText" dxfId="4477" priority="372" operator="containsText" text="Functioning">
      <formula>NOT(ISERROR(SEARCH("Functioning",J85)))</formula>
    </cfRule>
  </conditionalFormatting>
  <conditionalFormatting sqref="E75:E77">
    <cfRule type="expression" dxfId="4476" priority="516">
      <formula>B1048468="Level 5 - Biology"</formula>
    </cfRule>
  </conditionalFormatting>
  <conditionalFormatting sqref="I71">
    <cfRule type="beginsWith" dxfId="4475" priority="361" stopIfTrue="1" operator="beginsWith" text="Functioning At Risk">
      <formula>LEFT(I71,LEN("Functioning At Risk"))="Functioning At Risk"</formula>
    </cfRule>
    <cfRule type="beginsWith" dxfId="4474" priority="362" stopIfTrue="1" operator="beginsWith" text="Not Functioning">
      <formula>LEFT(I71,LEN("Not Functioning"))="Not Functioning"</formula>
    </cfRule>
    <cfRule type="containsText" dxfId="4473" priority="363" operator="containsText" text="Functioning">
      <formula>NOT(ISERROR(SEARCH("Functioning",I71)))</formula>
    </cfRule>
  </conditionalFormatting>
  <conditionalFormatting sqref="D79">
    <cfRule type="beginsWith" dxfId="4472" priority="357" stopIfTrue="1" operator="beginsWith" text="Functioning At Risk">
      <formula>LEFT(D79,LEN("Functioning At Risk"))="Functioning At Risk"</formula>
    </cfRule>
    <cfRule type="beginsWith" dxfId="4471" priority="358" stopIfTrue="1" operator="beginsWith" text="Not Functioning">
      <formula>LEFT(D79,LEN("Not Functioning"))="Not Functioning"</formula>
    </cfRule>
    <cfRule type="containsText" dxfId="4470" priority="359" operator="containsText" text="Functioning">
      <formula>NOT(ISERROR(SEARCH("Functioning",D79)))</formula>
    </cfRule>
  </conditionalFormatting>
  <conditionalFormatting sqref="D80">
    <cfRule type="beginsWith" dxfId="4469" priority="354" stopIfTrue="1" operator="beginsWith" text="Functioning At Risk">
      <formula>LEFT(D80,LEN("Functioning At Risk"))="Functioning At Risk"</formula>
    </cfRule>
    <cfRule type="beginsWith" dxfId="4468" priority="355" stopIfTrue="1" operator="beginsWith" text="Not Functioning">
      <formula>LEFT(D80,LEN("Not Functioning"))="Not Functioning"</formula>
    </cfRule>
    <cfRule type="containsText" dxfId="4467" priority="356" operator="containsText" text="Functioning">
      <formula>NOT(ISERROR(SEARCH("Functioning",D80)))</formula>
    </cfRule>
  </conditionalFormatting>
  <conditionalFormatting sqref="B79">
    <cfRule type="beginsWith" dxfId="4466" priority="351" stopIfTrue="1" operator="beginsWith" text="Functioning At Risk">
      <formula>LEFT(B79,LEN("Functioning At Risk"))="Functioning At Risk"</formula>
    </cfRule>
    <cfRule type="beginsWith" dxfId="4465" priority="352" stopIfTrue="1" operator="beginsWith" text="Not Functioning">
      <formula>LEFT(B79,LEN("Not Functioning"))="Not Functioning"</formula>
    </cfRule>
    <cfRule type="containsText" dxfId="4464" priority="353" operator="containsText" text="Functioning">
      <formula>NOT(ISERROR(SEARCH("Functioning",B79)))</formula>
    </cfRule>
  </conditionalFormatting>
  <conditionalFormatting sqref="E79">
    <cfRule type="beginsWith" dxfId="4463" priority="348" stopIfTrue="1" operator="beginsWith" text="Functioning At Risk">
      <formula>LEFT(E79,LEN("Functioning At Risk"))="Functioning At Risk"</formula>
    </cfRule>
    <cfRule type="beginsWith" dxfId="4462" priority="349" stopIfTrue="1" operator="beginsWith" text="Not Functioning">
      <formula>LEFT(E79,LEN("Not Functioning"))="Not Functioning"</formula>
    </cfRule>
    <cfRule type="containsText" dxfId="4461" priority="350" operator="containsText" text="Functioning">
      <formula>NOT(ISERROR(SEARCH("Functioning",E79)))</formula>
    </cfRule>
  </conditionalFormatting>
  <conditionalFormatting sqref="E80">
    <cfRule type="beginsWith" dxfId="4460" priority="345" stopIfTrue="1" operator="beginsWith" text="Functioning At Risk">
      <formula>LEFT(E80,LEN("Functioning At Risk"))="Functioning At Risk"</formula>
    </cfRule>
    <cfRule type="beginsWith" dxfId="4459" priority="346" stopIfTrue="1" operator="beginsWith" text="Not Functioning">
      <formula>LEFT(E80,LEN("Not Functioning"))="Not Functioning"</formula>
    </cfRule>
    <cfRule type="containsText" dxfId="4458" priority="347" operator="containsText" text="Functioning">
      <formula>NOT(ISERROR(SEARCH("Functioning",E80)))</formula>
    </cfRule>
  </conditionalFormatting>
  <conditionalFormatting sqref="E80">
    <cfRule type="expression" dxfId="4457" priority="344">
      <formula>B1048462="Level 5 - Biology"</formula>
    </cfRule>
  </conditionalFormatting>
  <conditionalFormatting sqref="E79">
    <cfRule type="expression" dxfId="4456" priority="360">
      <formula>B1048464="Level 5 - Biology"</formula>
    </cfRule>
  </conditionalFormatting>
  <conditionalFormatting sqref="B111">
    <cfRule type="beginsWith" dxfId="4455" priority="341" stopIfTrue="1" operator="beginsWith" text="Functioning At Risk">
      <formula>LEFT(B111,LEN("Functioning At Risk"))="Functioning At Risk"</formula>
    </cfRule>
    <cfRule type="beginsWith" dxfId="4454" priority="342" stopIfTrue="1" operator="beginsWith" text="Not Functioning">
      <formula>LEFT(B111,LEN("Not Functioning"))="Not Functioning"</formula>
    </cfRule>
    <cfRule type="containsText" dxfId="4453" priority="343" operator="containsText" text="Functioning">
      <formula>NOT(ISERROR(SEARCH("Functioning",B111)))</formula>
    </cfRule>
  </conditionalFormatting>
  <conditionalFormatting sqref="A35">
    <cfRule type="beginsWith" dxfId="4452" priority="335" stopIfTrue="1" operator="beginsWith" text="Functioning At Risk">
      <formula>LEFT(A35,LEN("Functioning At Risk"))="Functioning At Risk"</formula>
    </cfRule>
    <cfRule type="beginsWith" dxfId="4451" priority="336" stopIfTrue="1" operator="beginsWith" text="Not Functioning">
      <formula>LEFT(A35,LEN("Not Functioning"))="Not Functioning"</formula>
    </cfRule>
    <cfRule type="containsText" dxfId="4450" priority="337" operator="containsText" text="Functioning">
      <formula>NOT(ISERROR(SEARCH("Functioning",A35)))</formula>
    </cfRule>
  </conditionalFormatting>
  <conditionalFormatting sqref="C69">
    <cfRule type="beginsWith" dxfId="4449" priority="332" stopIfTrue="1" operator="beginsWith" text="Functioning At Risk">
      <formula>LEFT(C69,LEN("Functioning At Risk"))="Functioning At Risk"</formula>
    </cfRule>
    <cfRule type="beginsWith" dxfId="4448" priority="333" stopIfTrue="1" operator="beginsWith" text="Not Functioning">
      <formula>LEFT(C69,LEN("Not Functioning"))="Not Functioning"</formula>
    </cfRule>
    <cfRule type="containsText" dxfId="4447" priority="334" operator="containsText" text="Functioning">
      <formula>NOT(ISERROR(SEARCH("Functioning",C69)))</formula>
    </cfRule>
  </conditionalFormatting>
  <conditionalFormatting sqref="C80">
    <cfRule type="beginsWith" dxfId="4446" priority="305" stopIfTrue="1" operator="beginsWith" text="Functioning At Risk">
      <formula>LEFT(C80,LEN("Functioning At Risk"))="Functioning At Risk"</formula>
    </cfRule>
    <cfRule type="beginsWith" dxfId="4445" priority="306" stopIfTrue="1" operator="beginsWith" text="Not Functioning">
      <formula>LEFT(C80,LEN("Not Functioning"))="Not Functioning"</formula>
    </cfRule>
    <cfRule type="containsText" dxfId="4444" priority="307" operator="containsText" text="Functioning">
      <formula>NOT(ISERROR(SEARCH("Functioning",C80)))</formula>
    </cfRule>
  </conditionalFormatting>
  <conditionalFormatting sqref="C79">
    <cfRule type="beginsWith" dxfId="4443" priority="329" stopIfTrue="1" operator="beginsWith" text="Functioning At Risk">
      <formula>LEFT(C79,LEN("Functioning At Risk"))="Functioning At Risk"</formula>
    </cfRule>
    <cfRule type="beginsWith" dxfId="4442" priority="330" stopIfTrue="1" operator="beginsWith" text="Not Functioning">
      <formula>LEFT(C79,LEN("Not Functioning"))="Not Functioning"</formula>
    </cfRule>
    <cfRule type="containsText" dxfId="4441" priority="331" operator="containsText" text="Functioning">
      <formula>NOT(ISERROR(SEARCH("Functioning",C79)))</formula>
    </cfRule>
  </conditionalFormatting>
  <conditionalFormatting sqref="B55">
    <cfRule type="beginsWith" dxfId="4440" priority="326" stopIfTrue="1" operator="beginsWith" text="Functioning At Risk">
      <formula>LEFT(B55,LEN("Functioning At Risk"))="Functioning At Risk"</formula>
    </cfRule>
    <cfRule type="beginsWith" dxfId="4439" priority="327" stopIfTrue="1" operator="beginsWith" text="Not Functioning">
      <formula>LEFT(B55,LEN("Not Functioning"))="Not Functioning"</formula>
    </cfRule>
    <cfRule type="containsText" dxfId="4438" priority="328" operator="containsText" text="Functioning">
      <formula>NOT(ISERROR(SEARCH("Functioning",B55)))</formula>
    </cfRule>
  </conditionalFormatting>
  <conditionalFormatting sqref="E106:E107 E109:E110">
    <cfRule type="beginsWith" dxfId="4437" priority="317" stopIfTrue="1" operator="beginsWith" text="Functioning At Risk">
      <formula>LEFT(E106,LEN("Functioning At Risk"))="Functioning At Risk"</formula>
    </cfRule>
    <cfRule type="beginsWith" dxfId="4436" priority="318" stopIfTrue="1" operator="beginsWith" text="Not Functioning">
      <formula>LEFT(E106,LEN("Not Functioning"))="Not Functioning"</formula>
    </cfRule>
    <cfRule type="containsText" dxfId="4435" priority="319" operator="containsText" text="Functioning">
      <formula>NOT(ISERROR(SEARCH("Functioning",E106)))</formula>
    </cfRule>
  </conditionalFormatting>
  <conditionalFormatting sqref="B110">
    <cfRule type="beginsWith" dxfId="4434" priority="314" stopIfTrue="1" operator="beginsWith" text="Functioning At Risk">
      <formula>LEFT(B110,LEN("Functioning At Risk"))="Functioning At Risk"</formula>
    </cfRule>
    <cfRule type="beginsWith" dxfId="4433" priority="315" stopIfTrue="1" operator="beginsWith" text="Not Functioning">
      <formula>LEFT(B110,LEN("Not Functioning"))="Not Functioning"</formula>
    </cfRule>
    <cfRule type="containsText" dxfId="4432" priority="316" operator="containsText" text="Functioning">
      <formula>NOT(ISERROR(SEARCH("Functioning",B110)))</formula>
    </cfRule>
  </conditionalFormatting>
  <conditionalFormatting sqref="B89 D89:D90">
    <cfRule type="beginsWith" dxfId="4431" priority="311" stopIfTrue="1" operator="beginsWith" text="Functioning At Risk">
      <formula>LEFT(B89,LEN("Functioning At Risk"))="Functioning At Risk"</formula>
    </cfRule>
    <cfRule type="beginsWith" dxfId="4430" priority="312" stopIfTrue="1" operator="beginsWith" text="Not Functioning">
      <formula>LEFT(B89,LEN("Not Functioning"))="Not Functioning"</formula>
    </cfRule>
    <cfRule type="containsText" dxfId="4429" priority="313" operator="containsText" text="Functioning">
      <formula>NOT(ISERROR(SEARCH("Functioning",B89)))</formula>
    </cfRule>
  </conditionalFormatting>
  <conditionalFormatting sqref="E118">
    <cfRule type="expression" dxfId="4428" priority="303">
      <formula>B1048510="Level 5 - Biology"</formula>
    </cfRule>
  </conditionalFormatting>
  <conditionalFormatting sqref="E115:E118">
    <cfRule type="beginsWith" dxfId="4427" priority="300" stopIfTrue="1" operator="beginsWith" text="Functioning At Risk">
      <formula>LEFT(E115,LEN("Functioning At Risk"))="Functioning At Risk"</formula>
    </cfRule>
    <cfRule type="beginsWith" dxfId="4426" priority="301" stopIfTrue="1" operator="beginsWith" text="Not Functioning">
      <formula>LEFT(E115,LEN("Not Functioning"))="Not Functioning"</formula>
    </cfRule>
    <cfRule type="containsText" dxfId="4425" priority="302" operator="containsText" text="Functioning">
      <formula>NOT(ISERROR(SEARCH("Functioning",E115)))</formula>
    </cfRule>
  </conditionalFormatting>
  <conditionalFormatting sqref="E115:E117">
    <cfRule type="expression" dxfId="4424" priority="304">
      <formula>B1048509="Level 5 - Biology"</formula>
    </cfRule>
  </conditionalFormatting>
  <conditionalFormatting sqref="C77">
    <cfRule type="beginsWith" dxfId="4423" priority="297" stopIfTrue="1" operator="beginsWith" text="Functioning At Risk">
      <formula>LEFT(C77,LEN("Functioning At Risk"))="Functioning At Risk"</formula>
    </cfRule>
    <cfRule type="beginsWith" dxfId="4422" priority="298" stopIfTrue="1" operator="beginsWith" text="Not Functioning">
      <formula>LEFT(C77,LEN("Not Functioning"))="Not Functioning"</formula>
    </cfRule>
    <cfRule type="containsText" dxfId="4421" priority="299" operator="containsText" text="Functioning">
      <formula>NOT(ISERROR(SEARCH("Functioning",C77)))</formula>
    </cfRule>
  </conditionalFormatting>
  <conditionalFormatting sqref="B115:B117">
    <cfRule type="beginsWith" dxfId="4420" priority="294" stopIfTrue="1" operator="beginsWith" text="Functioning At Risk">
      <formula>LEFT(B115,LEN("Functioning At Risk"))="Functioning At Risk"</formula>
    </cfRule>
    <cfRule type="beginsWith" dxfId="4419" priority="295" stopIfTrue="1" operator="beginsWith" text="Not Functioning">
      <formula>LEFT(B115,LEN("Not Functioning"))="Not Functioning"</formula>
    </cfRule>
    <cfRule type="containsText" dxfId="4418" priority="296" operator="containsText" text="Functioning">
      <formula>NOT(ISERROR(SEARCH("Functioning",B115)))</formula>
    </cfRule>
  </conditionalFormatting>
  <conditionalFormatting sqref="B75:B77">
    <cfRule type="beginsWith" dxfId="4417" priority="291" stopIfTrue="1" operator="beginsWith" text="Functioning At Risk">
      <formula>LEFT(B75,LEN("Functioning At Risk"))="Functioning At Risk"</formula>
    </cfRule>
    <cfRule type="beginsWith" dxfId="4416" priority="292" stopIfTrue="1" operator="beginsWith" text="Not Functioning">
      <formula>LEFT(B75,LEN("Not Functioning"))="Not Functioning"</formula>
    </cfRule>
    <cfRule type="containsText" dxfId="4415" priority="293" operator="containsText" text="Functioning">
      <formula>NOT(ISERROR(SEARCH("Functioning",B75)))</formula>
    </cfRule>
  </conditionalFormatting>
  <conditionalFormatting sqref="E111:E112">
    <cfRule type="expression" dxfId="4414" priority="517">
      <formula>B10="Level 4 - Physicochemical"</formula>
    </cfRule>
    <cfRule type="expression" dxfId="4413" priority="518">
      <formula>B10="Level 5 - Biology"</formula>
    </cfRule>
  </conditionalFormatting>
  <conditionalFormatting sqref="E114">
    <cfRule type="expression" dxfId="4412" priority="519">
      <formula>B10="Level 4 - Physicochemical"</formula>
    </cfRule>
    <cfRule type="expression" dxfId="4411" priority="520">
      <formula>B10="Level 5 - Biology"</formula>
    </cfRule>
  </conditionalFormatting>
  <conditionalFormatting sqref="E120">
    <cfRule type="expression" dxfId="4410" priority="521">
      <formula>B10="Level 5 - Biology"</formula>
    </cfRule>
  </conditionalFormatting>
  <conditionalFormatting sqref="E119">
    <cfRule type="expression" dxfId="4409" priority="522">
      <formula>B12="Level 5 - Biology"</formula>
    </cfRule>
  </conditionalFormatting>
  <conditionalFormatting sqref="C63:C64">
    <cfRule type="beginsWith" dxfId="4408" priority="288" stopIfTrue="1" operator="beginsWith" text="Functioning At Risk">
      <formula>LEFT(C63,LEN("Functioning At Risk"))="Functioning At Risk"</formula>
    </cfRule>
    <cfRule type="beginsWith" dxfId="4407" priority="289" stopIfTrue="1" operator="beginsWith" text="Not Functioning">
      <formula>LEFT(C63,LEN("Not Functioning"))="Not Functioning"</formula>
    </cfRule>
    <cfRule type="containsText" dxfId="4406" priority="290" operator="containsText" text="Functioning">
      <formula>NOT(ISERROR(SEARCH("Functioning",C63)))</formula>
    </cfRule>
  </conditionalFormatting>
  <conditionalFormatting sqref="D103 D95:D97">
    <cfRule type="beginsWith" dxfId="4405" priority="267" stopIfTrue="1" operator="beginsWith" text="Functioning At Risk">
      <formula>LEFT(D95,LEN("Functioning At Risk"))="Functioning At Risk"</formula>
    </cfRule>
    <cfRule type="beginsWith" dxfId="4404" priority="268" stopIfTrue="1" operator="beginsWith" text="Not Functioning">
      <formula>LEFT(D95,LEN("Not Functioning"))="Not Functioning"</formula>
    </cfRule>
    <cfRule type="containsText" dxfId="4403" priority="269" operator="containsText" text="Functioning">
      <formula>NOT(ISERROR(SEARCH("Functioning",D95)))</formula>
    </cfRule>
  </conditionalFormatting>
  <conditionalFormatting sqref="D98">
    <cfRule type="beginsWith" dxfId="4402" priority="264" stopIfTrue="1" operator="beginsWith" text="Functioning At Risk">
      <formula>LEFT(D98,LEN("Functioning At Risk"))="Functioning At Risk"</formula>
    </cfRule>
    <cfRule type="beginsWith" dxfId="4401" priority="265" stopIfTrue="1" operator="beginsWith" text="Not Functioning">
      <formula>LEFT(D98,LEN("Not Functioning"))="Not Functioning"</formula>
    </cfRule>
    <cfRule type="containsText" dxfId="4400" priority="266" operator="containsText" text="Functioning">
      <formula>NOT(ISERROR(SEARCH("Functioning",D98)))</formula>
    </cfRule>
  </conditionalFormatting>
  <conditionalFormatting sqref="D104">
    <cfRule type="beginsWith" dxfId="4399" priority="261" stopIfTrue="1" operator="beginsWith" text="Functioning At Risk">
      <formula>LEFT(D104,LEN("Functioning At Risk"))="Functioning At Risk"</formula>
    </cfRule>
    <cfRule type="beginsWith" dxfId="4398" priority="262" stopIfTrue="1" operator="beginsWith" text="Not Functioning">
      <formula>LEFT(D104,LEN("Not Functioning"))="Not Functioning"</formula>
    </cfRule>
    <cfRule type="containsText" dxfId="4397" priority="263" operator="containsText" text="Functioning">
      <formula>NOT(ISERROR(SEARCH("Functioning",D104)))</formula>
    </cfRule>
  </conditionalFormatting>
  <conditionalFormatting sqref="D99:D102">
    <cfRule type="beginsWith" dxfId="4396" priority="258" stopIfTrue="1" operator="beginsWith" text="Functioning At Risk">
      <formula>LEFT(D99,LEN("Functioning At Risk"))="Functioning At Risk"</formula>
    </cfRule>
    <cfRule type="beginsWith" dxfId="4395" priority="259" stopIfTrue="1" operator="beginsWith" text="Not Functioning">
      <formula>LEFT(D99,LEN("Not Functioning"))="Not Functioning"</formula>
    </cfRule>
    <cfRule type="containsText" dxfId="4394" priority="260" operator="containsText" text="Functioning">
      <formula>NOT(ISERROR(SEARCH("Functioning",D99)))</formula>
    </cfRule>
  </conditionalFormatting>
  <conditionalFormatting sqref="C109">
    <cfRule type="beginsWith" dxfId="4393" priority="231" stopIfTrue="1" operator="beginsWith" text="Functioning At Risk">
      <formula>LEFT(C109,LEN("Functioning At Risk"))="Functioning At Risk"</formula>
    </cfRule>
    <cfRule type="beginsWith" dxfId="4392" priority="232" stopIfTrue="1" operator="beginsWith" text="Not Functioning">
      <formula>LEFT(C109,LEN("Not Functioning"))="Not Functioning"</formula>
    </cfRule>
    <cfRule type="containsText" dxfId="4391" priority="233" operator="containsText" text="Functioning">
      <formula>NOT(ISERROR(SEARCH("Functioning",C109)))</formula>
    </cfRule>
  </conditionalFormatting>
  <conditionalFormatting sqref="E108">
    <cfRule type="beginsWith" dxfId="4390" priority="249" stopIfTrue="1" operator="beginsWith" text="Functioning At Risk">
      <formula>LEFT(E108,LEN("Functioning At Risk"))="Functioning At Risk"</formula>
    </cfRule>
    <cfRule type="beginsWith" dxfId="4389" priority="250" stopIfTrue="1" operator="beginsWith" text="Not Functioning">
      <formula>LEFT(E108,LEN("Not Functioning"))="Not Functioning"</formula>
    </cfRule>
    <cfRule type="containsText" dxfId="4388" priority="251" operator="containsText" text="Functioning">
      <formula>NOT(ISERROR(SEARCH("Functioning",E108)))</formula>
    </cfRule>
  </conditionalFormatting>
  <conditionalFormatting sqref="C95:C97 C112:C113 C106:C107 C118 C110 C87:C90 C115:C116">
    <cfRule type="beginsWith" dxfId="4387" priority="246" stopIfTrue="1" operator="beginsWith" text="Functioning At Risk">
      <formula>LEFT(C87,LEN("Functioning At Risk"))="Functioning At Risk"</formula>
    </cfRule>
    <cfRule type="beginsWith" dxfId="4386" priority="247" stopIfTrue="1" operator="beginsWith" text="Not Functioning">
      <formula>LEFT(C87,LEN("Not Functioning"))="Not Functioning"</formula>
    </cfRule>
    <cfRule type="containsText" dxfId="4385" priority="248" operator="containsText" text="Functioning">
      <formula>NOT(ISERROR(SEARCH("Functioning",C87)))</formula>
    </cfRule>
  </conditionalFormatting>
  <conditionalFormatting sqref="C98">
    <cfRule type="beginsWith" dxfId="4384" priority="243" stopIfTrue="1" operator="beginsWith" text="Functioning At Risk">
      <formula>LEFT(C98,LEN("Functioning At Risk"))="Functioning At Risk"</formula>
    </cfRule>
    <cfRule type="beginsWith" dxfId="4383" priority="244" stopIfTrue="1" operator="beginsWith" text="Not Functioning">
      <formula>LEFT(C98,LEN("Not Functioning"))="Not Functioning"</formula>
    </cfRule>
    <cfRule type="containsText" dxfId="4382" priority="245" operator="containsText" text="Functioning">
      <formula>NOT(ISERROR(SEARCH("Functioning",C98)))</formula>
    </cfRule>
  </conditionalFormatting>
  <conditionalFormatting sqref="C105">
    <cfRule type="beginsWith" dxfId="4381" priority="240" stopIfTrue="1" operator="beginsWith" text="Functioning At Risk">
      <formula>LEFT(C105,LEN("Functioning At Risk"))="Functioning At Risk"</formula>
    </cfRule>
    <cfRule type="beginsWith" dxfId="4380" priority="241" stopIfTrue="1" operator="beginsWith" text="Not Functioning">
      <formula>LEFT(C105,LEN("Not Functioning"))="Not Functioning"</formula>
    </cfRule>
    <cfRule type="containsText" dxfId="4379" priority="242" operator="containsText" text="Functioning">
      <formula>NOT(ISERROR(SEARCH("Functioning",C105)))</formula>
    </cfRule>
  </conditionalFormatting>
  <conditionalFormatting sqref="C99:C102">
    <cfRule type="beginsWith" dxfId="4378" priority="237" stopIfTrue="1" operator="beginsWith" text="Functioning At Risk">
      <formula>LEFT(C99,LEN("Functioning At Risk"))="Functioning At Risk"</formula>
    </cfRule>
    <cfRule type="beginsWith" dxfId="4377" priority="238" stopIfTrue="1" operator="beginsWith" text="Not Functioning">
      <formula>LEFT(C99,LEN("Not Functioning"))="Not Functioning"</formula>
    </cfRule>
    <cfRule type="containsText" dxfId="4376" priority="239" operator="containsText" text="Functioning">
      <formula>NOT(ISERROR(SEARCH("Functioning",C99)))</formula>
    </cfRule>
  </conditionalFormatting>
  <conditionalFormatting sqref="C108">
    <cfRule type="beginsWith" dxfId="4375" priority="234" stopIfTrue="1" operator="beginsWith" text="Functioning At Risk">
      <formula>LEFT(C108,LEN("Functioning At Risk"))="Functioning At Risk"</formula>
    </cfRule>
    <cfRule type="beginsWith" dxfId="4374" priority="235" stopIfTrue="1" operator="beginsWith" text="Not Functioning">
      <formula>LEFT(C108,LEN("Not Functioning"))="Not Functioning"</formula>
    </cfRule>
    <cfRule type="containsText" dxfId="4373" priority="236" operator="containsText" text="Functioning">
      <formula>NOT(ISERROR(SEARCH("Functioning",C108)))</formula>
    </cfRule>
  </conditionalFormatting>
  <conditionalFormatting sqref="C120">
    <cfRule type="beginsWith" dxfId="4372" priority="225" stopIfTrue="1" operator="beginsWith" text="Functioning At Risk">
      <formula>LEFT(C120,LEN("Functioning At Risk"))="Functioning At Risk"</formula>
    </cfRule>
    <cfRule type="beginsWith" dxfId="4371" priority="226" stopIfTrue="1" operator="beginsWith" text="Not Functioning">
      <formula>LEFT(C120,LEN("Not Functioning"))="Not Functioning"</formula>
    </cfRule>
    <cfRule type="containsText" dxfId="4370" priority="227" operator="containsText" text="Functioning">
      <formula>NOT(ISERROR(SEARCH("Functioning",C120)))</formula>
    </cfRule>
  </conditionalFormatting>
  <conditionalFormatting sqref="C119">
    <cfRule type="beginsWith" dxfId="4369" priority="228" stopIfTrue="1" operator="beginsWith" text="Functioning At Risk">
      <formula>LEFT(C119,LEN("Functioning At Risk"))="Functioning At Risk"</formula>
    </cfRule>
    <cfRule type="beginsWith" dxfId="4368" priority="229" stopIfTrue="1" operator="beginsWith" text="Not Functioning">
      <formula>LEFT(C119,LEN("Not Functioning"))="Not Functioning"</formula>
    </cfRule>
    <cfRule type="containsText" dxfId="4367" priority="230" operator="containsText" text="Functioning">
      <formula>NOT(ISERROR(SEARCH("Functioning",C119)))</formula>
    </cfRule>
  </conditionalFormatting>
  <conditionalFormatting sqref="C117">
    <cfRule type="beginsWith" dxfId="4366" priority="222" stopIfTrue="1" operator="beginsWith" text="Functioning At Risk">
      <formula>LEFT(C117,LEN("Functioning At Risk"))="Functioning At Risk"</formula>
    </cfRule>
    <cfRule type="beginsWith" dxfId="4365" priority="223" stopIfTrue="1" operator="beginsWith" text="Not Functioning">
      <formula>LEFT(C117,LEN("Not Functioning"))="Not Functioning"</formula>
    </cfRule>
    <cfRule type="containsText" dxfId="4364" priority="224" operator="containsText" text="Functioning">
      <formula>NOT(ISERROR(SEARCH("Functioning",C117)))</formula>
    </cfRule>
  </conditionalFormatting>
  <conditionalFormatting sqref="C103:C104">
    <cfRule type="beginsWith" dxfId="4363" priority="219" stopIfTrue="1" operator="beginsWith" text="Functioning At Risk">
      <formula>LEFT(C103,LEN("Functioning At Risk"))="Functioning At Risk"</formula>
    </cfRule>
    <cfRule type="beginsWith" dxfId="4362" priority="220" stopIfTrue="1" operator="beginsWith" text="Not Functioning">
      <formula>LEFT(C103,LEN("Not Functioning"))="Not Functioning"</formula>
    </cfRule>
    <cfRule type="containsText" dxfId="4361" priority="221" operator="containsText" text="Functioning">
      <formula>NOT(ISERROR(SEARCH("Functioning",C103)))</formula>
    </cfRule>
  </conditionalFormatting>
  <conditionalFormatting sqref="D5:D9">
    <cfRule type="beginsWith" dxfId="4360" priority="192" stopIfTrue="1" operator="beginsWith" text="Functioning At Risk">
      <formula>LEFT(D5,LEN("Functioning At Risk"))="Functioning At Risk"</formula>
    </cfRule>
    <cfRule type="beginsWith" dxfId="4359" priority="193" stopIfTrue="1" operator="beginsWith" text="Not Functioning">
      <formula>LEFT(D5,LEN("Not Functioning"))="Not Functioning"</formula>
    </cfRule>
    <cfRule type="containsText" dxfId="4358" priority="194" operator="containsText" text="Functioning">
      <formula>NOT(ISERROR(SEARCH("Functioning",D5)))</formula>
    </cfRule>
  </conditionalFormatting>
  <conditionalFormatting sqref="C28:D28 H29:K31 H35:K40 C32:D40 E47:E48 E65:E80 E87:E88 E105:E120">
    <cfRule type="expression" dxfId="4357" priority="191">
      <formula>$B$18="Ephemeral"</formula>
    </cfRule>
  </conditionalFormatting>
  <conditionalFormatting sqref="E47:E48 E65:E80 E87:E88 E105:E120">
    <cfRule type="expression" dxfId="4356" priority="190" stopIfTrue="1">
      <formula>ISBLANK($B$18)</formula>
    </cfRule>
  </conditionalFormatting>
  <conditionalFormatting sqref="A18">
    <cfRule type="beginsWith" dxfId="4355" priority="165" stopIfTrue="1" operator="beginsWith" text="Functioning At Risk">
      <formula>LEFT(A18,LEN("Functioning At Risk"))="Functioning At Risk"</formula>
    </cfRule>
    <cfRule type="beginsWith" dxfId="4354" priority="166" stopIfTrue="1" operator="beginsWith" text="Not Functioning">
      <formula>LEFT(A18,LEN("Not Functioning"))="Not Functioning"</formula>
    </cfRule>
    <cfRule type="containsText" dxfId="4353" priority="167" operator="containsText" text="Functioning">
      <formula>NOT(ISERROR(SEARCH("Functioning",A18)))</formula>
    </cfRule>
  </conditionalFormatting>
  <conditionalFormatting sqref="C51:D53">
    <cfRule type="beginsWith" dxfId="4352" priority="159" stopIfTrue="1" operator="beginsWith" text="Functioning At Risk">
      <formula>LEFT(C51,LEN("Functioning At Risk"))="Functioning At Risk"</formula>
    </cfRule>
    <cfRule type="beginsWith" dxfId="4351" priority="160" stopIfTrue="1" operator="beginsWith" text="Not Functioning">
      <formula>LEFT(C51,LEN("Not Functioning"))="Not Functioning"</formula>
    </cfRule>
    <cfRule type="containsText" dxfId="4350" priority="161" operator="containsText" text="Functioning">
      <formula>NOT(ISERROR(SEARCH("Functioning",C51)))</formula>
    </cfRule>
  </conditionalFormatting>
  <conditionalFormatting sqref="B51">
    <cfRule type="beginsWith" dxfId="4349" priority="156" stopIfTrue="1" operator="beginsWith" text="Functioning At Risk">
      <formula>LEFT(B51,LEN("Functioning At Risk"))="Functioning At Risk"</formula>
    </cfRule>
    <cfRule type="beginsWith" dxfId="4348" priority="157" stopIfTrue="1" operator="beginsWith" text="Not Functioning">
      <formula>LEFT(B51,LEN("Not Functioning"))="Not Functioning"</formula>
    </cfRule>
    <cfRule type="containsText" dxfId="4347" priority="158" operator="containsText" text="Functioning">
      <formula>NOT(ISERROR(SEARCH("Functioning",B51)))</formula>
    </cfRule>
  </conditionalFormatting>
  <conditionalFormatting sqref="E52">
    <cfRule type="beginsWith" dxfId="4346" priority="153" stopIfTrue="1" operator="beginsWith" text="Functioning At Risk">
      <formula>LEFT(E52,LEN("Functioning At Risk"))="Functioning At Risk"</formula>
    </cfRule>
    <cfRule type="beginsWith" dxfId="4345" priority="154" stopIfTrue="1" operator="beginsWith" text="Not Functioning">
      <formula>LEFT(E52,LEN("Not Functioning"))="Not Functioning"</formula>
    </cfRule>
    <cfRule type="containsText" dxfId="4344" priority="155" operator="containsText" text="Functioning">
      <formula>NOT(ISERROR(SEARCH("Functioning",E52)))</formula>
    </cfRule>
  </conditionalFormatting>
  <conditionalFormatting sqref="E51">
    <cfRule type="beginsWith" dxfId="4343" priority="150" stopIfTrue="1" operator="beginsWith" text="Functioning At Risk">
      <formula>LEFT(E51,LEN("Functioning At Risk"))="Functioning At Risk"</formula>
    </cfRule>
    <cfRule type="beginsWith" dxfId="4342" priority="151" stopIfTrue="1" operator="beginsWith" text="Not Functioning">
      <formula>LEFT(E51,LEN("Not Functioning"))="Not Functioning"</formula>
    </cfRule>
    <cfRule type="containsText" dxfId="4341" priority="152" operator="containsText" text="Functioning">
      <formula>NOT(ISERROR(SEARCH("Functioning",E51)))</formula>
    </cfRule>
  </conditionalFormatting>
  <conditionalFormatting sqref="E51">
    <cfRule type="expression" dxfId="4340" priority="149" stopIfTrue="1">
      <formula>ISBLANK($B$18)</formula>
    </cfRule>
  </conditionalFormatting>
  <conditionalFormatting sqref="E53:E54">
    <cfRule type="beginsWith" dxfId="4339" priority="146" stopIfTrue="1" operator="beginsWith" text="Functioning At Risk">
      <formula>LEFT(E53,LEN("Functioning At Risk"))="Functioning At Risk"</formula>
    </cfRule>
    <cfRule type="beginsWith" dxfId="4338" priority="147" stopIfTrue="1" operator="beginsWith" text="Not Functioning">
      <formula>LEFT(E53,LEN("Not Functioning"))="Not Functioning"</formula>
    </cfRule>
    <cfRule type="containsText" dxfId="4337" priority="148" operator="containsText" text="Functioning">
      <formula>NOT(ISERROR(SEARCH("Functioning",E53)))</formula>
    </cfRule>
  </conditionalFormatting>
  <conditionalFormatting sqref="C91:D93">
    <cfRule type="beginsWith" dxfId="4336" priority="140" stopIfTrue="1" operator="beginsWith" text="Functioning At Risk">
      <formula>LEFT(C91,LEN("Functioning At Risk"))="Functioning At Risk"</formula>
    </cfRule>
    <cfRule type="beginsWith" dxfId="4335" priority="141" stopIfTrue="1" operator="beginsWith" text="Not Functioning">
      <formula>LEFT(C91,LEN("Not Functioning"))="Not Functioning"</formula>
    </cfRule>
    <cfRule type="containsText" dxfId="4334" priority="142" operator="containsText" text="Functioning">
      <formula>NOT(ISERROR(SEARCH("Functioning",C91)))</formula>
    </cfRule>
  </conditionalFormatting>
  <conditionalFormatting sqref="B91">
    <cfRule type="beginsWith" dxfId="4333" priority="137" stopIfTrue="1" operator="beginsWith" text="Functioning At Risk">
      <formula>LEFT(B91,LEN("Functioning At Risk"))="Functioning At Risk"</formula>
    </cfRule>
    <cfRule type="beginsWith" dxfId="4332" priority="138" stopIfTrue="1" operator="beginsWith" text="Not Functioning">
      <formula>LEFT(B91,LEN("Not Functioning"))="Not Functioning"</formula>
    </cfRule>
    <cfRule type="containsText" dxfId="4331" priority="139" operator="containsText" text="Functioning">
      <formula>NOT(ISERROR(SEARCH("Functioning",B91)))</formula>
    </cfRule>
  </conditionalFormatting>
  <conditionalFormatting sqref="E92">
    <cfRule type="beginsWith" dxfId="4330" priority="134" stopIfTrue="1" operator="beginsWith" text="Functioning At Risk">
      <formula>LEFT(E92,LEN("Functioning At Risk"))="Functioning At Risk"</formula>
    </cfRule>
    <cfRule type="beginsWith" dxfId="4329" priority="135" stopIfTrue="1" operator="beginsWith" text="Not Functioning">
      <formula>LEFT(E92,LEN("Not Functioning"))="Not Functioning"</formula>
    </cfRule>
    <cfRule type="containsText" dxfId="4328" priority="136" operator="containsText" text="Functioning">
      <formula>NOT(ISERROR(SEARCH("Functioning",E92)))</formula>
    </cfRule>
  </conditionalFormatting>
  <conditionalFormatting sqref="E91">
    <cfRule type="beginsWith" dxfId="4327" priority="131" stopIfTrue="1" operator="beginsWith" text="Functioning At Risk">
      <formula>LEFT(E91,LEN("Functioning At Risk"))="Functioning At Risk"</formula>
    </cfRule>
    <cfRule type="beginsWith" dxfId="4326" priority="132" stopIfTrue="1" operator="beginsWith" text="Not Functioning">
      <formula>LEFT(E91,LEN("Not Functioning"))="Not Functioning"</formula>
    </cfRule>
    <cfRule type="containsText" dxfId="4325" priority="133" operator="containsText" text="Functioning">
      <formula>NOT(ISERROR(SEARCH("Functioning",E91)))</formula>
    </cfRule>
  </conditionalFormatting>
  <conditionalFormatting sqref="E91">
    <cfRule type="expression" dxfId="4324" priority="130" stopIfTrue="1">
      <formula>ISBLANK($B$18)</formula>
    </cfRule>
  </conditionalFormatting>
  <conditionalFormatting sqref="E93:E94">
    <cfRule type="beginsWith" dxfId="4323" priority="127" stopIfTrue="1" operator="beginsWith" text="Functioning At Risk">
      <formula>LEFT(E93,LEN("Functioning At Risk"))="Functioning At Risk"</formula>
    </cfRule>
    <cfRule type="beginsWith" dxfId="4322" priority="128" stopIfTrue="1" operator="beginsWith" text="Not Functioning">
      <formula>LEFT(E93,LEN("Not Functioning"))="Not Functioning"</formula>
    </cfRule>
    <cfRule type="containsText" dxfId="4321" priority="129" operator="containsText" text="Functioning">
      <formula>NOT(ISERROR(SEARCH("Functioning",E93)))</formula>
    </cfRule>
  </conditionalFormatting>
  <conditionalFormatting sqref="H11">
    <cfRule type="beginsWith" dxfId="4320" priority="124" stopIfTrue="1" operator="beginsWith" text="Functioning At Risk">
      <formula>LEFT(H11,LEN("Functioning At Risk"))="Functioning At Risk"</formula>
    </cfRule>
    <cfRule type="beginsWith" dxfId="4319" priority="125" stopIfTrue="1" operator="beginsWith" text="Not Functioning">
      <formula>LEFT(H11,LEN("Not Functioning"))="Not Functioning"</formula>
    </cfRule>
    <cfRule type="containsText" dxfId="4318" priority="126" operator="containsText" text="Functioning">
      <formula>NOT(ISERROR(SEARCH("Functioning",H11)))</formula>
    </cfRule>
  </conditionalFormatting>
  <conditionalFormatting sqref="D18:D19 D15">
    <cfRule type="beginsWith" dxfId="4317" priority="121" stopIfTrue="1" operator="beginsWith" text="Functioning At Risk">
      <formula>LEFT(D15,LEN("Functioning At Risk"))="Functioning At Risk"</formula>
    </cfRule>
    <cfRule type="beginsWith" dxfId="4316" priority="122" stopIfTrue="1" operator="beginsWith" text="Not Functioning">
      <formula>LEFT(D15,LEN("Not Functioning"))="Not Functioning"</formula>
    </cfRule>
    <cfRule type="containsText" dxfId="4315" priority="123" operator="containsText" text="Functioning">
      <formula>NOT(ISERROR(SEARCH("Functioning",D15)))</formula>
    </cfRule>
  </conditionalFormatting>
  <conditionalFormatting sqref="D16">
    <cfRule type="beginsWith" dxfId="4314" priority="118" stopIfTrue="1" operator="beginsWith" text="Functioning At Risk">
      <formula>LEFT(D16,LEN("Functioning At Risk"))="Functioning At Risk"</formula>
    </cfRule>
    <cfRule type="beginsWith" dxfId="4313" priority="119" stopIfTrue="1" operator="beginsWith" text="Not Functioning">
      <formula>LEFT(D16,LEN("Not Functioning"))="Not Functioning"</formula>
    </cfRule>
    <cfRule type="containsText" dxfId="4312" priority="120" operator="containsText" text="Functioning">
      <formula>NOT(ISERROR(SEARCH("Functioning",D16)))</formula>
    </cfRule>
  </conditionalFormatting>
  <conditionalFormatting sqref="D20">
    <cfRule type="beginsWith" dxfId="4311" priority="115" stopIfTrue="1" operator="beginsWith" text="Functioning At Risk">
      <formula>LEFT(D20,LEN("Functioning At Risk"))="Functioning At Risk"</formula>
    </cfRule>
    <cfRule type="beginsWith" dxfId="4310" priority="116" stopIfTrue="1" operator="beginsWith" text="Not Functioning">
      <formula>LEFT(D20,LEN("Not Functioning"))="Not Functioning"</formula>
    </cfRule>
    <cfRule type="containsText" dxfId="4309" priority="117" operator="containsText" text="Functioning">
      <formula>NOT(ISERROR(SEARCH("Functioning",D20)))</formula>
    </cfRule>
  </conditionalFormatting>
  <conditionalFormatting sqref="E55:E57">
    <cfRule type="beginsWith" dxfId="4308" priority="112" stopIfTrue="1" operator="beginsWith" text="Functioning At Risk">
      <formula>LEFT(E55,LEN("Functioning At Risk"))="Functioning At Risk"</formula>
    </cfRule>
    <cfRule type="beginsWith" dxfId="4307" priority="113" stopIfTrue="1" operator="beginsWith" text="Not Functioning">
      <formula>LEFT(E55,LEN("Not Functioning"))="Not Functioning"</formula>
    </cfRule>
    <cfRule type="containsText" dxfId="4306" priority="114" operator="containsText" text="Functioning">
      <formula>NOT(ISERROR(SEARCH("Functioning",E55)))</formula>
    </cfRule>
  </conditionalFormatting>
  <conditionalFormatting sqref="E59:E60">
    <cfRule type="beginsWith" dxfId="4305" priority="109" stopIfTrue="1" operator="beginsWith" text="Functioning At Risk">
      <formula>LEFT(E59,LEN("Functioning At Risk"))="Functioning At Risk"</formula>
    </cfRule>
    <cfRule type="beginsWith" dxfId="4304" priority="110" stopIfTrue="1" operator="beginsWith" text="Not Functioning">
      <formula>LEFT(E59,LEN("Not Functioning"))="Not Functioning"</formula>
    </cfRule>
    <cfRule type="containsText" dxfId="4303" priority="111" operator="containsText" text="Functioning">
      <formula>NOT(ISERROR(SEARCH("Functioning",E59)))</formula>
    </cfRule>
  </conditionalFormatting>
  <conditionalFormatting sqref="E99:E102">
    <cfRule type="beginsWith" dxfId="4302" priority="97" stopIfTrue="1" operator="beginsWith" text="Functioning At Risk">
      <formula>LEFT(E99,LEN("Functioning At Risk"))="Functioning At Risk"</formula>
    </cfRule>
    <cfRule type="beginsWith" dxfId="4301" priority="98" stopIfTrue="1" operator="beginsWith" text="Not Functioning">
      <formula>LEFT(E99,LEN("Not Functioning"))="Not Functioning"</formula>
    </cfRule>
    <cfRule type="containsText" dxfId="4300" priority="99" operator="containsText" text="Functioning">
      <formula>NOT(ISERROR(SEARCH("Functioning",E99)))</formula>
    </cfRule>
  </conditionalFormatting>
  <conditionalFormatting sqref="E103">
    <cfRule type="beginsWith" dxfId="4299" priority="94" stopIfTrue="1" operator="beginsWith" text="Functioning At Risk">
      <formula>LEFT(E103,LEN("Functioning At Risk"))="Functioning At Risk"</formula>
    </cfRule>
    <cfRule type="beginsWith" dxfId="4298" priority="95" stopIfTrue="1" operator="beginsWith" text="Not Functioning">
      <formula>LEFT(E103,LEN("Not Functioning"))="Not Functioning"</formula>
    </cfRule>
    <cfRule type="containsText" dxfId="4297" priority="96" operator="containsText" text="Functioning">
      <formula>NOT(ISERROR(SEARCH("Functioning",E103)))</formula>
    </cfRule>
  </conditionalFormatting>
  <conditionalFormatting sqref="E95:E97">
    <cfRule type="beginsWith" dxfId="4296" priority="100" stopIfTrue="1" operator="beginsWith" text="Functioning At Risk">
      <formula>LEFT(E95,LEN("Functioning At Risk"))="Functioning At Risk"</formula>
    </cfRule>
    <cfRule type="beginsWith" dxfId="4295" priority="101" stopIfTrue="1" operator="beginsWith" text="Not Functioning">
      <formula>LEFT(E95,LEN("Not Functioning"))="Not Functioning"</formula>
    </cfRule>
    <cfRule type="containsText" dxfId="4294" priority="102" operator="containsText" text="Functioning">
      <formula>NOT(ISERROR(SEARCH("Functioning",E95)))</formula>
    </cfRule>
  </conditionalFormatting>
  <conditionalFormatting sqref="E104">
    <cfRule type="beginsWith" dxfId="4293" priority="91" stopIfTrue="1" operator="beginsWith" text="Functioning At Risk">
      <formula>LEFT(E104,LEN("Functioning At Risk"))="Functioning At Risk"</formula>
    </cfRule>
    <cfRule type="beginsWith" dxfId="4292" priority="92" stopIfTrue="1" operator="beginsWith" text="Not Functioning">
      <formula>LEFT(E104,LEN("Not Functioning"))="Not Functioning"</formula>
    </cfRule>
    <cfRule type="containsText" dxfId="4291" priority="93" operator="containsText" text="Functioning">
      <formula>NOT(ISERROR(SEARCH("Functioning",E104)))</formula>
    </cfRule>
  </conditionalFormatting>
  <conditionalFormatting sqref="E49:E50">
    <cfRule type="beginsWith" dxfId="4290" priority="88" stopIfTrue="1" operator="beginsWith" text="Functioning At Risk">
      <formula>LEFT(E49,LEN("Functioning At Risk"))="Functioning At Risk"</formula>
    </cfRule>
    <cfRule type="beginsWith" dxfId="4289" priority="89" stopIfTrue="1" operator="beginsWith" text="Not Functioning">
      <formula>LEFT(E49,LEN("Not Functioning"))="Not Functioning"</formula>
    </cfRule>
    <cfRule type="containsText" dxfId="4288" priority="90" operator="containsText" text="Functioning">
      <formula>NOT(ISERROR(SEARCH("Functioning",E49)))</formula>
    </cfRule>
  </conditionalFormatting>
  <conditionalFormatting sqref="E89:E90">
    <cfRule type="beginsWith" dxfId="4287" priority="85" stopIfTrue="1" operator="beginsWith" text="Functioning At Risk">
      <formula>LEFT(E89,LEN("Functioning At Risk"))="Functioning At Risk"</formula>
    </cfRule>
    <cfRule type="beginsWith" dxfId="4286" priority="86" stopIfTrue="1" operator="beginsWith" text="Not Functioning">
      <formula>LEFT(E89,LEN("Not Functioning"))="Not Functioning"</formula>
    </cfRule>
    <cfRule type="containsText" dxfId="4285" priority="87" operator="containsText" text="Functioning">
      <formula>NOT(ISERROR(SEARCH("Functioning",E89)))</formula>
    </cfRule>
  </conditionalFormatting>
  <conditionalFormatting sqref="A6:A9">
    <cfRule type="beginsWith" dxfId="4284" priority="76" stopIfTrue="1" operator="beginsWith" text="Functioning At Risk">
      <formula>LEFT(A6,LEN("Functioning At Risk"))="Functioning At Risk"</formula>
    </cfRule>
    <cfRule type="beginsWith" dxfId="4283" priority="77" stopIfTrue="1" operator="beginsWith" text="Not Functioning">
      <formula>LEFT(A6,LEN("Not Functioning"))="Not Functioning"</formula>
    </cfRule>
    <cfRule type="containsText" dxfId="4282" priority="78" operator="containsText" text="Functioning">
      <formula>NOT(ISERROR(SEARCH("Functioning",A6)))</formula>
    </cfRule>
  </conditionalFormatting>
  <conditionalFormatting sqref="E61:E62">
    <cfRule type="beginsWith" dxfId="4281" priority="73" stopIfTrue="1" operator="beginsWith" text="Functioning At Risk">
      <formula>LEFT(E61,LEN("Functioning At Risk"))="Functioning At Risk"</formula>
    </cfRule>
    <cfRule type="beginsWith" dxfId="4280" priority="74" stopIfTrue="1" operator="beginsWith" text="Not Functioning">
      <formula>LEFT(E61,LEN("Not Functioning"))="Not Functioning"</formula>
    </cfRule>
    <cfRule type="containsText" dxfId="4279" priority="75" operator="containsText" text="Functioning">
      <formula>NOT(ISERROR(SEARCH("Functioning",E61)))</formula>
    </cfRule>
  </conditionalFormatting>
  <conditionalFormatting sqref="E63">
    <cfRule type="beginsWith" dxfId="4278" priority="70" stopIfTrue="1" operator="beginsWith" text="Functioning At Risk">
      <formula>LEFT(E63,LEN("Functioning At Risk"))="Functioning At Risk"</formula>
    </cfRule>
    <cfRule type="beginsWith" dxfId="4277" priority="71" stopIfTrue="1" operator="beginsWith" text="Not Functioning">
      <formula>LEFT(E63,LEN("Not Functioning"))="Not Functioning"</formula>
    </cfRule>
    <cfRule type="containsText" dxfId="4276" priority="72" operator="containsText" text="Functioning">
      <formula>NOT(ISERROR(SEARCH("Functioning",E63)))</formula>
    </cfRule>
  </conditionalFormatting>
  <conditionalFormatting sqref="E64">
    <cfRule type="beginsWith" dxfId="4275" priority="67" stopIfTrue="1" operator="beginsWith" text="Functioning At Risk">
      <formula>LEFT(E64,LEN("Functioning At Risk"))="Functioning At Risk"</formula>
    </cfRule>
    <cfRule type="beginsWith" dxfId="4274" priority="68" stopIfTrue="1" operator="beginsWith" text="Not Functioning">
      <formula>LEFT(E64,LEN("Not Functioning"))="Not Functioning"</formula>
    </cfRule>
    <cfRule type="containsText" dxfId="4273" priority="69" operator="containsText" text="Functioning">
      <formula>NOT(ISERROR(SEARCH("Functioning",E64)))</formula>
    </cfRule>
  </conditionalFormatting>
  <conditionalFormatting sqref="F70 F47:F48 F55:F58">
    <cfRule type="beginsWith" dxfId="4272" priority="52" stopIfTrue="1" operator="beginsWith" text="Functioning At Risk">
      <formula>LEFT(F47,LEN("Functioning At Risk"))="Functioning At Risk"</formula>
    </cfRule>
    <cfRule type="beginsWith" dxfId="4271" priority="53" stopIfTrue="1" operator="beginsWith" text="Not Functioning">
      <formula>LEFT(F47,LEN("Not Functioning"))="Not Functioning"</formula>
    </cfRule>
    <cfRule type="containsText" dxfId="4270" priority="54" operator="containsText" text="Functioning">
      <formula>NOT(ISERROR(SEARCH("Functioning",F47)))</formula>
    </cfRule>
  </conditionalFormatting>
  <conditionalFormatting sqref="F59:F60">
    <cfRule type="beginsWith" dxfId="4269" priority="49" stopIfTrue="1" operator="beginsWith" text="Functioning At Risk">
      <formula>LEFT(F59,LEN("Functioning At Risk"))="Functioning At Risk"</formula>
    </cfRule>
    <cfRule type="beginsWith" dxfId="4268" priority="50" stopIfTrue="1" operator="beginsWith" text="Not Functioning">
      <formula>LEFT(F59,LEN("Not Functioning"))="Not Functioning"</formula>
    </cfRule>
    <cfRule type="containsText" dxfId="4267" priority="51" operator="containsText" text="Functioning">
      <formula>NOT(ISERROR(SEARCH("Functioning",F59)))</formula>
    </cfRule>
  </conditionalFormatting>
  <conditionalFormatting sqref="F79:F80">
    <cfRule type="beginsWith" dxfId="4266" priority="46" stopIfTrue="1" operator="beginsWith" text="Functioning At Risk">
      <formula>LEFT(F79,LEN("Functioning At Risk"))="Functioning At Risk"</formula>
    </cfRule>
    <cfRule type="beginsWith" dxfId="4265" priority="47" stopIfTrue="1" operator="beginsWith" text="Not Functioning">
      <formula>LEFT(F79,LEN("Not Functioning"))="Not Functioning"</formula>
    </cfRule>
    <cfRule type="containsText" dxfId="4264" priority="48" operator="containsText" text="Functioning">
      <formula>NOT(ISERROR(SEARCH("Functioning",F79)))</formula>
    </cfRule>
  </conditionalFormatting>
  <conditionalFormatting sqref="F75:F78">
    <cfRule type="beginsWith" dxfId="4263" priority="43" stopIfTrue="1" operator="beginsWith" text="Functioning At Risk">
      <formula>LEFT(F75,LEN("Functioning At Risk"))="Functioning At Risk"</formula>
    </cfRule>
    <cfRule type="beginsWith" dxfId="4262" priority="44" stopIfTrue="1" operator="beginsWith" text="Not Functioning">
      <formula>LEFT(F75,LEN("Not Functioning"))="Not Functioning"</formula>
    </cfRule>
    <cfRule type="containsText" dxfId="4261" priority="45" operator="containsText" text="Functioning">
      <formula>NOT(ISERROR(SEARCH("Functioning",F75)))</formula>
    </cfRule>
  </conditionalFormatting>
  <conditionalFormatting sqref="F63">
    <cfRule type="beginsWith" dxfId="4260" priority="40" stopIfTrue="1" operator="beginsWith" text="Functioning At Risk">
      <formula>LEFT(F63,LEN("Functioning At Risk"))="Functioning At Risk"</formula>
    </cfRule>
    <cfRule type="beginsWith" dxfId="4259" priority="41" stopIfTrue="1" operator="beginsWith" text="Not Functioning">
      <formula>LEFT(F63,LEN("Not Functioning"))="Not Functioning"</formula>
    </cfRule>
    <cfRule type="containsText" dxfId="4258" priority="42" operator="containsText" text="Functioning">
      <formula>NOT(ISERROR(SEARCH("Functioning",F63)))</formula>
    </cfRule>
  </conditionalFormatting>
  <conditionalFormatting sqref="F49:F50">
    <cfRule type="beginsWith" dxfId="4257" priority="37" stopIfTrue="1" operator="beginsWith" text="Functioning At Risk">
      <formula>LEFT(F49,LEN("Functioning At Risk"))="Functioning At Risk"</formula>
    </cfRule>
    <cfRule type="beginsWith" dxfId="4256" priority="38" stopIfTrue="1" operator="beginsWith" text="Not Functioning">
      <formula>LEFT(F49,LEN("Not Functioning"))="Not Functioning"</formula>
    </cfRule>
    <cfRule type="containsText" dxfId="4255" priority="39" operator="containsText" text="Functioning">
      <formula>NOT(ISERROR(SEARCH("Functioning",F49)))</formula>
    </cfRule>
  </conditionalFormatting>
  <conditionalFormatting sqref="F52">
    <cfRule type="beginsWith" dxfId="4254" priority="34" stopIfTrue="1" operator="beginsWith" text="Functioning At Risk">
      <formula>LEFT(F52,LEN("Functioning At Risk"))="Functioning At Risk"</formula>
    </cfRule>
    <cfRule type="beginsWith" dxfId="4253" priority="35" stopIfTrue="1" operator="beginsWith" text="Not Functioning">
      <formula>LEFT(F52,LEN("Not Functioning"))="Not Functioning"</formula>
    </cfRule>
    <cfRule type="containsText" dxfId="4252" priority="36" operator="containsText" text="Functioning">
      <formula>NOT(ISERROR(SEARCH("Functioning",F52)))</formula>
    </cfRule>
  </conditionalFormatting>
  <conditionalFormatting sqref="F67">
    <cfRule type="beginsWith" dxfId="4251" priority="31" stopIfTrue="1" operator="beginsWith" text="Functioning At Risk">
      <formula>LEFT(F67,LEN("Functioning At Risk"))="Functioning At Risk"</formula>
    </cfRule>
    <cfRule type="beginsWith" dxfId="4250" priority="32" stopIfTrue="1" operator="beginsWith" text="Not Functioning">
      <formula>LEFT(F67,LEN("Not Functioning"))="Not Functioning"</formula>
    </cfRule>
    <cfRule type="containsText" dxfId="4249" priority="33" operator="containsText" text="Functioning">
      <formula>NOT(ISERROR(SEARCH("Functioning",F67)))</formula>
    </cfRule>
  </conditionalFormatting>
  <conditionalFormatting sqref="F64">
    <cfRule type="beginsWith" dxfId="4248" priority="28" stopIfTrue="1" operator="beginsWith" text="Functioning At Risk">
      <formula>LEFT(F64,LEN("Functioning At Risk"))="Functioning At Risk"</formula>
    </cfRule>
    <cfRule type="beginsWith" dxfId="4247" priority="29" stopIfTrue="1" operator="beginsWith" text="Not Functioning">
      <formula>LEFT(F64,LEN("Not Functioning"))="Not Functioning"</formula>
    </cfRule>
    <cfRule type="containsText" dxfId="4246" priority="30" operator="containsText" text="Functioning">
      <formula>NOT(ISERROR(SEARCH("Functioning",F64)))</formula>
    </cfRule>
  </conditionalFormatting>
  <conditionalFormatting sqref="F110 F87:F88 F95:F98">
    <cfRule type="beginsWith" dxfId="4245" priority="25" stopIfTrue="1" operator="beginsWith" text="Functioning At Risk">
      <formula>LEFT(F87,LEN("Functioning At Risk"))="Functioning At Risk"</formula>
    </cfRule>
    <cfRule type="beginsWith" dxfId="4244" priority="26" stopIfTrue="1" operator="beginsWith" text="Not Functioning">
      <formula>LEFT(F87,LEN("Not Functioning"))="Not Functioning"</formula>
    </cfRule>
    <cfRule type="containsText" dxfId="4243" priority="27" operator="containsText" text="Functioning">
      <formula>NOT(ISERROR(SEARCH("Functioning",F87)))</formula>
    </cfRule>
  </conditionalFormatting>
  <conditionalFormatting sqref="F99:F100">
    <cfRule type="beginsWith" dxfId="4242" priority="22" stopIfTrue="1" operator="beginsWith" text="Functioning At Risk">
      <formula>LEFT(F99,LEN("Functioning At Risk"))="Functioning At Risk"</formula>
    </cfRule>
    <cfRule type="beginsWith" dxfId="4241" priority="23" stopIfTrue="1" operator="beginsWith" text="Not Functioning">
      <formula>LEFT(F99,LEN("Not Functioning"))="Not Functioning"</formula>
    </cfRule>
    <cfRule type="containsText" dxfId="4240" priority="24" operator="containsText" text="Functioning">
      <formula>NOT(ISERROR(SEARCH("Functioning",F99)))</formula>
    </cfRule>
  </conditionalFormatting>
  <conditionalFormatting sqref="F119:F120">
    <cfRule type="beginsWith" dxfId="4239" priority="19" stopIfTrue="1" operator="beginsWith" text="Functioning At Risk">
      <formula>LEFT(F119,LEN("Functioning At Risk"))="Functioning At Risk"</formula>
    </cfRule>
    <cfRule type="beginsWith" dxfId="4238" priority="20" stopIfTrue="1" operator="beginsWith" text="Not Functioning">
      <formula>LEFT(F119,LEN("Not Functioning"))="Not Functioning"</formula>
    </cfRule>
    <cfRule type="containsText" dxfId="4237" priority="21" operator="containsText" text="Functioning">
      <formula>NOT(ISERROR(SEARCH("Functioning",F119)))</formula>
    </cfRule>
  </conditionalFormatting>
  <conditionalFormatting sqref="F115:F118">
    <cfRule type="beginsWith" dxfId="4236" priority="16" stopIfTrue="1" operator="beginsWith" text="Functioning At Risk">
      <formula>LEFT(F115,LEN("Functioning At Risk"))="Functioning At Risk"</formula>
    </cfRule>
    <cfRule type="beginsWith" dxfId="4235" priority="17" stopIfTrue="1" operator="beginsWith" text="Not Functioning">
      <formula>LEFT(F115,LEN("Not Functioning"))="Not Functioning"</formula>
    </cfRule>
    <cfRule type="containsText" dxfId="4234" priority="18" operator="containsText" text="Functioning">
      <formula>NOT(ISERROR(SEARCH("Functioning",F115)))</formula>
    </cfRule>
  </conditionalFormatting>
  <conditionalFormatting sqref="F103">
    <cfRule type="beginsWith" dxfId="4233" priority="13" stopIfTrue="1" operator="beginsWith" text="Functioning At Risk">
      <formula>LEFT(F103,LEN("Functioning At Risk"))="Functioning At Risk"</formula>
    </cfRule>
    <cfRule type="beginsWith" dxfId="4232" priority="14" stopIfTrue="1" operator="beginsWith" text="Not Functioning">
      <formula>LEFT(F103,LEN("Not Functioning"))="Not Functioning"</formula>
    </cfRule>
    <cfRule type="containsText" dxfId="4231" priority="15" operator="containsText" text="Functioning">
      <formula>NOT(ISERROR(SEARCH("Functioning",F103)))</formula>
    </cfRule>
  </conditionalFormatting>
  <conditionalFormatting sqref="F89:F90">
    <cfRule type="beginsWith" dxfId="4230" priority="10" stopIfTrue="1" operator="beginsWith" text="Functioning At Risk">
      <formula>LEFT(F89,LEN("Functioning At Risk"))="Functioning At Risk"</formula>
    </cfRule>
    <cfRule type="beginsWith" dxfId="4229" priority="11" stopIfTrue="1" operator="beginsWith" text="Not Functioning">
      <formula>LEFT(F89,LEN("Not Functioning"))="Not Functioning"</formula>
    </cfRule>
    <cfRule type="containsText" dxfId="4228" priority="12" operator="containsText" text="Functioning">
      <formula>NOT(ISERROR(SEARCH("Functioning",F89)))</formula>
    </cfRule>
  </conditionalFormatting>
  <conditionalFormatting sqref="F92">
    <cfRule type="beginsWith" dxfId="4227" priority="7" stopIfTrue="1" operator="beginsWith" text="Functioning At Risk">
      <formula>LEFT(F92,LEN("Functioning At Risk"))="Functioning At Risk"</formula>
    </cfRule>
    <cfRule type="beginsWith" dxfId="4226" priority="8" stopIfTrue="1" operator="beginsWith" text="Not Functioning">
      <formula>LEFT(F92,LEN("Not Functioning"))="Not Functioning"</formula>
    </cfRule>
    <cfRule type="containsText" dxfId="4225" priority="9" operator="containsText" text="Functioning">
      <formula>NOT(ISERROR(SEARCH("Functioning",F92)))</formula>
    </cfRule>
  </conditionalFormatting>
  <conditionalFormatting sqref="F107">
    <cfRule type="beginsWith" dxfId="4224" priority="4" stopIfTrue="1" operator="beginsWith" text="Functioning At Risk">
      <formula>LEFT(F107,LEN("Functioning At Risk"))="Functioning At Risk"</formula>
    </cfRule>
    <cfRule type="beginsWith" dxfId="4223" priority="5" stopIfTrue="1" operator="beginsWith" text="Not Functioning">
      <formula>LEFT(F107,LEN("Not Functioning"))="Not Functioning"</formula>
    </cfRule>
    <cfRule type="containsText" dxfId="4222" priority="6" operator="containsText" text="Functioning">
      <formula>NOT(ISERROR(SEARCH("Functioning",F107)))</formula>
    </cfRule>
  </conditionalFormatting>
  <conditionalFormatting sqref="F104">
    <cfRule type="beginsWith" dxfId="4221" priority="1" stopIfTrue="1" operator="beginsWith" text="Functioning At Risk">
      <formula>LEFT(F104,LEN("Functioning At Risk"))="Functioning At Risk"</formula>
    </cfRule>
    <cfRule type="beginsWith" dxfId="4220" priority="2" stopIfTrue="1" operator="beginsWith" text="Not Functioning">
      <formula>LEFT(F104,LEN("Not Functioning"))="Not Functioning"</formula>
    </cfRule>
    <cfRule type="containsText" dxfId="4219" priority="3" operator="containsText" text="Functioning">
      <formula>NOT(ISERROR(SEARCH("Functioning",F104)))</formula>
    </cfRule>
  </conditionalFormatting>
  <dataValidations count="14">
    <dataValidation type="decimal" allowBlank="1" showErrorMessage="1" prompt="The user should input a value for either basal area or density, not both. " sqref="E99:E102 E59:E62">
      <formula1>0</formula1>
      <formula2>5280</formula2>
    </dataValidation>
    <dataValidation allowBlank="1" showErrorMessage="1" prompt="The user should input a value for either basal area or density, not both. " sqref="E103:E104 E63:E64"/>
    <dataValidation allowBlank="1" showInputMessage="1" showErrorMessage="1" prompt="The user should not input values for all 4 measurement methods. If the user is not using TMI, then the remaining 3 measurement methods should be used together." sqref="E75:E78 E115:E118"/>
    <dataValidation allowBlank="1" showErrorMessage="1" prompt="The user can only input a value for either leaf litter processing rate or shredders for organic matter, not both. " sqref="E72 E112"/>
    <dataValidation type="decimal" allowBlank="1" showInputMessage="1" showErrorMessage="1" sqref="E55:E58 E95:E98">
      <formula1>0</formula1>
      <formula2>5280</formula2>
    </dataValidation>
    <dataValidation allowBlank="1" showInputMessage="1" showErrorMessage="1" prompt="This measurement method should be used in combination with either Erosion Rate or Dominant BEHI/NBS." sqref="E53 E93"/>
    <dataValidation allowBlank="1" showInputMessage="1" showErrorMessage="1" prompt="The user should input a value for either BEHI/NBS or Erosion Rate, not both. " sqref="E51 E91"/>
    <dataValidation allowBlank="1" showErrorMessage="1" prompt="Select catchment conditon level from the completed catchment assessment form. " sqref="E45:E46 E85:E86"/>
    <dataValidation type="list" allowBlank="1" showErrorMessage="1" sqref="B12">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52 E92">
      <formula1>BEHI.NBS</formula1>
    </dataValidation>
    <dataValidation type="list" allowBlank="1" showErrorMessage="1" sqref="B14">
      <formula1>BedMaterial</formula1>
    </dataValidation>
    <dataValidation allowBlank="1" showErrorMessage="1" sqref="B13 E105 E65 E54 E94"/>
    <dataValidation type="list" allowBlank="1" showErrorMessage="1" sqref="B10:B11">
      <formula1>StreamType</formula1>
    </dataValidation>
    <dataValidation allowBlank="1" showInputMessage="1" showErrorMessage="1" prompt="The user should only input a value for either LWDI or # Pieces, not both. " sqref="E49:E50 E89:E90"/>
  </dataValidations>
  <pageMargins left="0.25" right="0.25" top="0.75" bottom="0.75" header="0.3" footer="0.3"/>
  <pageSetup paperSize="3" fitToWidth="0" fitToHeight="0" orientation="landscape" r:id="rId1"/>
  <headerFooter>
    <oddHeader>&amp;C&amp;"-,Bold"TN SQT v1.0
Quantification Tool Spreadsheet Reach 4</oddHeader>
  </headerFooter>
  <rowBreaks count="2" manualBreakCount="2">
    <brk id="41" max="16383" man="1"/>
    <brk id="81" max="16383" man="1"/>
  </row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'Pull Down Notes'!$B$100:$B$103</xm:f>
          </x14:formula1>
          <xm:sqref>B21</xm:sqref>
        </x14:dataValidation>
        <x14:dataValidation type="list" allowBlank="1" showInputMessage="1" showErrorMessage="1">
          <x14:formula1>
            <xm:f>'Pull Down Notes'!$B$96:$B$98</xm:f>
          </x14:formula1>
          <xm:sqref>B20</xm:sqref>
        </x14:dataValidation>
        <x14:dataValidation type="list" allowBlank="1" showInputMessage="1" showErrorMessage="1">
          <x14:formula1>
            <xm:f>'Pull Down Notes'!$B$93:$B$94</xm:f>
          </x14:formula1>
          <xm:sqref>B19</xm:sqref>
        </x14:dataValidation>
        <x14:dataValidation type="list" allowBlank="1" showErrorMessage="1">
          <x14:formula1>
            <xm:f>'Pull Down Notes'!$B$107:$B$108</xm:f>
          </x14:formula1>
          <xm:sqref>B18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3"/>
  <sheetViews>
    <sheetView topLeftCell="A385" zoomScale="70" zoomScaleNormal="70" zoomScalePageLayoutView="70" workbookViewId="0">
      <selection activeCell="E398" sqref="E398"/>
    </sheetView>
  </sheetViews>
  <sheetFormatPr defaultColWidth="8.88671875" defaultRowHeight="14.4" x14ac:dyDescent="0.3"/>
  <cols>
    <col min="1" max="1" width="35.88671875" style="14" bestFit="1" customWidth="1"/>
    <col min="2" max="2" width="35.6640625" style="14" bestFit="1" customWidth="1"/>
    <col min="3" max="4" width="24" style="14" customWidth="1"/>
    <col min="5" max="6" width="12.88671875" style="14" customWidth="1"/>
    <col min="7" max="7" width="10.5546875" style="14" customWidth="1"/>
    <col min="8" max="8" width="10.6640625" style="14" customWidth="1"/>
    <col min="9" max="9" width="12.5546875" style="316" customWidth="1"/>
    <col min="10" max="10" width="10.5546875" style="14" customWidth="1"/>
    <col min="11" max="11" width="12.5546875" style="316" customWidth="1"/>
    <col min="12" max="12" width="18.5546875" style="14" customWidth="1"/>
    <col min="13" max="13" width="13.6640625" style="14" customWidth="1"/>
    <col min="14" max="16384" width="8.88671875" style="14"/>
  </cols>
  <sheetData>
    <row r="1" spans="1:15" ht="21" x14ac:dyDescent="0.4">
      <c r="A1" s="544" t="s">
        <v>131</v>
      </c>
      <c r="B1" s="545"/>
      <c r="C1" s="545"/>
      <c r="D1" s="545"/>
      <c r="E1" s="545"/>
      <c r="F1" s="546"/>
      <c r="G1" s="544" t="s">
        <v>18</v>
      </c>
      <c r="H1" s="545"/>
      <c r="I1" s="545"/>
      <c r="J1" s="545"/>
      <c r="K1" s="546"/>
      <c r="L1" s="21"/>
    </row>
    <row r="2" spans="1:15" ht="15.6" x14ac:dyDescent="0.3">
      <c r="A2" s="158" t="s">
        <v>1</v>
      </c>
      <c r="B2" s="158" t="s">
        <v>2</v>
      </c>
      <c r="C2" s="542" t="s">
        <v>3</v>
      </c>
      <c r="D2" s="644"/>
      <c r="E2" s="158" t="s">
        <v>15</v>
      </c>
      <c r="F2" s="158" t="s">
        <v>16</v>
      </c>
      <c r="G2" s="158" t="s">
        <v>19</v>
      </c>
      <c r="H2" s="158" t="s">
        <v>20</v>
      </c>
      <c r="I2" s="314" t="s">
        <v>20</v>
      </c>
      <c r="J2" s="158" t="s">
        <v>21</v>
      </c>
      <c r="K2" s="158" t="s">
        <v>21</v>
      </c>
      <c r="L2" s="21"/>
    </row>
    <row r="3" spans="1:15" ht="15.6" x14ac:dyDescent="0.3">
      <c r="A3" s="540" t="s">
        <v>60</v>
      </c>
      <c r="B3" s="299" t="s">
        <v>86</v>
      </c>
      <c r="C3" s="52" t="s">
        <v>388</v>
      </c>
      <c r="D3" s="52"/>
      <c r="E3" s="162"/>
      <c r="F3" s="338" t="str">
        <f>IF(E3="","",IF(E3&lt;=0,0,IF(E3&gt;=0.95,1,ROUND('Reference Standards'!C$14*E3+'Reference Standards'!C$15,2))))</f>
        <v/>
      </c>
      <c r="G3" s="83" t="str">
        <f>IFERROR(AVERAGE(F3),"")</f>
        <v/>
      </c>
      <c r="H3" s="522" t="str">
        <f>IFERROR(ROUND(AVERAGE(G3:G4),2),"")</f>
        <v/>
      </c>
      <c r="I3" s="519" t="str">
        <f>IF(H3="","",IF(H3&gt;0.69,"Functioning",IF(H3&gt;0.29,"Functioning At Risk",IF(H3&gt;-1,"Not Functioning"))))</f>
        <v/>
      </c>
      <c r="J3" s="559" t="str">
        <f>IF(AND(H3="",H5="",H7="",H29="",H33=""),"",ROUND((IF(H3="",0,H3)*0.2)+(IF(H5="",0,H5)*0.2)+(IF(H7="",0,H7)*0.2)+(IF(H29="",0,H29)*0.2)+(IF(H33="",0,H33)*0.2),2))</f>
        <v/>
      </c>
      <c r="K3" s="555" t="str">
        <f>IF(J3="","",IF(J3&lt;0.3, "Not Functioning",IF(OR(H3&lt;0.7,H5&lt;0.7,H7&lt;0.7,H29&lt;0.7,H33&lt;0.7),"Functioning At Risk",IF(J3&lt;0.7,"Functioning At Risk","Functioning"))))</f>
        <v/>
      </c>
      <c r="L3" s="21"/>
      <c r="N3" s="19"/>
    </row>
    <row r="4" spans="1:15" ht="15.6" x14ac:dyDescent="0.3">
      <c r="A4" s="541"/>
      <c r="B4" s="371" t="s">
        <v>128</v>
      </c>
      <c r="C4" s="373" t="s">
        <v>161</v>
      </c>
      <c r="D4" s="374"/>
      <c r="E4" s="43"/>
      <c r="F4" s="372" t="str">
        <f>IF(E4="","",IF(E4&gt;=1,1,IF(E4&lt;=0,0,ROUND(E4,2))))</f>
        <v/>
      </c>
      <c r="G4" s="367" t="str">
        <f>IFERROR(AVERAGE(F4:F4),"")</f>
        <v/>
      </c>
      <c r="H4" s="523"/>
      <c r="I4" s="519"/>
      <c r="J4" s="559"/>
      <c r="K4" s="555"/>
      <c r="L4" s="21"/>
      <c r="N4" s="19"/>
    </row>
    <row r="5" spans="1:15" ht="15.6" x14ac:dyDescent="0.3">
      <c r="A5" s="524" t="s">
        <v>6</v>
      </c>
      <c r="B5" s="572" t="s">
        <v>7</v>
      </c>
      <c r="C5" s="54" t="s">
        <v>8</v>
      </c>
      <c r="D5" s="54"/>
      <c r="E5" s="162"/>
      <c r="F5" s="339" t="str">
        <f>IF(E5="","",ROUND(IF(E5&gt;1.6,0,IF(E5&lt;=1,1,E5^2*'Reference Standards'!K$14+E5*'Reference Standards'!K$15+'Reference Standards'!K$16)),2))</f>
        <v/>
      </c>
      <c r="G5" s="579" t="str">
        <f>IFERROR(AVERAGE(F5:F6),"")</f>
        <v/>
      </c>
      <c r="H5" s="579" t="str">
        <f>IFERROR(ROUND(AVERAGE(G5),2),"")</f>
        <v/>
      </c>
      <c r="I5" s="569" t="str">
        <f>IF(H5="","",IF(H5&gt;0.69,"Functioning",IF(H5&gt;0.29,"Functioning At Risk",IF(H5&gt;-1,"Not Functioning"))))</f>
        <v/>
      </c>
      <c r="J5" s="559"/>
      <c r="K5" s="555"/>
      <c r="L5" s="21"/>
      <c r="N5" s="19"/>
      <c r="O5" s="19"/>
    </row>
    <row r="6" spans="1:15" ht="15.6" x14ac:dyDescent="0.3">
      <c r="A6" s="525"/>
      <c r="B6" s="572"/>
      <c r="C6" s="54" t="s">
        <v>9</v>
      </c>
      <c r="D6" s="54"/>
      <c r="E6" s="163"/>
      <c r="F6" s="339" t="str">
        <f>IF(E6="","",(IF(OR('Quantification Tool R4'!B$11="A",'Quantification Tool R4'!B$11="B",'Quantification Tool R4'!$B$11="Bc"),IF(E6&lt;1.2,0,IF(E6&gt;=2.2,1,ROUND(IF(E6&lt;1.4,E6*'Reference Standards'!$K$84+'Reference Standards'!$K$85,E6*'Reference Standards'!$L$84+'Reference Standards'!$L$85),2))),IF(OR('Quantification Tool R4'!B$11="C",'Quantification Tool R4'!B$11="E"),IF(E6&lt;2,0,IF(E6&gt;=5,1,ROUND(IF(E6&lt;2.4,E6*'Reference Standards'!$L$49+'Reference Standards'!$L$50,E6*'Reference Standards'!$K$49+'Reference Standards'!$K$50),2)))))))</f>
        <v/>
      </c>
      <c r="G6" s="581"/>
      <c r="H6" s="580"/>
      <c r="I6" s="570"/>
      <c r="J6" s="559"/>
      <c r="K6" s="555"/>
      <c r="L6" s="21"/>
      <c r="N6" s="19"/>
      <c r="O6" s="19"/>
    </row>
    <row r="7" spans="1:15" ht="15.6" x14ac:dyDescent="0.3">
      <c r="A7" s="526" t="s">
        <v>26</v>
      </c>
      <c r="B7" s="557" t="s">
        <v>27</v>
      </c>
      <c r="C7" s="60" t="s">
        <v>333</v>
      </c>
      <c r="D7" s="244"/>
      <c r="E7" s="61"/>
      <c r="F7" s="340" t="str">
        <f>IF(E7="","",IF(OR(LEFT('Quantification Tool R4'!$B$12,2)="65",LEFT('Quantification Tool R4'!$B$12,2)="66",LEFT('Quantification Tool R4'!$B$12,2)="71"),IF(E7&gt;=850,1,IF(E7&lt;250,ROUND('Reference Standards'!$S$17*(E7)+'Reference Standards'!$S$18,2),ROUND('Reference Standards'!$T$17*E7+'Reference Standards'!$T$18,2))),  IF(E7&gt;=345,1,IF(E7&lt;=180,ROUND('Reference Standards'!$U$17*(E7)+'Reference Standards'!$U$18,2),ROUND('Reference Standards'!$V$17*E7+'Reference Standards'!$V$18,2))))    )</f>
        <v/>
      </c>
      <c r="G7" s="528" t="str">
        <f>IFERROR(AVERAGE(F7:F8),"")</f>
        <v/>
      </c>
      <c r="H7" s="566" t="str">
        <f>IFERROR(ROUND(AVERAGE(G7:G28),2),"")</f>
        <v/>
      </c>
      <c r="I7" s="555" t="str">
        <f>IF(H7="","",IF(H7&gt;0.69,"Functioning",IF(H7&gt;0.29,"Functioning At Risk",IF(H7&gt;-1,"Not Functioning"))))</f>
        <v/>
      </c>
      <c r="J7" s="559"/>
      <c r="K7" s="555"/>
      <c r="L7" s="21"/>
      <c r="N7" s="19"/>
      <c r="O7" s="19"/>
    </row>
    <row r="8" spans="1:15" ht="15.6" x14ac:dyDescent="0.3">
      <c r="A8" s="520"/>
      <c r="B8" s="558"/>
      <c r="C8" s="63" t="s">
        <v>323</v>
      </c>
      <c r="D8" s="245"/>
      <c r="E8" s="53"/>
      <c r="F8" s="341" t="str">
        <f>IF(E8="","",IF(OR(LEFT('Quantification Tool R4'!$B$12,2)="65",LEFT('Quantification Tool R4'!$B$12,2)="66",LEFT('Quantification Tool R4'!$B$12,2)="71"),IF(E8&gt;=30,1,IF(E8&lt;13,ROUND('Reference Standards'!$S$53*(E8)+'Reference Standards'!$S$54,2),ROUND('Reference Standards'!$T$53*E8+'Reference Standards'!$T$54,2))),  IF(E8&gt;=16,1,IF(E8&lt;=9,ROUND('Reference Standards'!$U$53*(E8)+'Reference Standards'!$U$54,2),ROUND('Reference Standards'!$V$53*E8+'Reference Standards'!$V$54,2))))    )</f>
        <v/>
      </c>
      <c r="G8" s="530"/>
      <c r="H8" s="566"/>
      <c r="I8" s="555"/>
      <c r="J8" s="559"/>
      <c r="K8" s="555"/>
      <c r="L8" s="21"/>
      <c r="N8" s="19"/>
      <c r="O8" s="19"/>
    </row>
    <row r="9" spans="1:15" ht="15.6" x14ac:dyDescent="0.3">
      <c r="A9" s="520"/>
      <c r="B9" s="520" t="s">
        <v>395</v>
      </c>
      <c r="C9" s="58" t="s">
        <v>80</v>
      </c>
      <c r="D9" s="58"/>
      <c r="E9" s="165"/>
      <c r="F9" s="340" t="str">
        <f>IF(E9="","",ROUND(IF(E9&gt;0.7,0,IF(E9&lt;=0.1,1,E9^3*'Reference Standards'!S$87+E9^2*'Reference Standards'!S$88+E9*'Reference Standards'!S$89+'Reference Standards'!S$90)),2))</f>
        <v/>
      </c>
      <c r="G9" s="528" t="str">
        <f>IFERROR(ROUND(AVERAGE(F9:F12),2),"")</f>
        <v/>
      </c>
      <c r="H9" s="567"/>
      <c r="I9" s="555"/>
      <c r="J9" s="559"/>
      <c r="K9" s="555"/>
      <c r="L9" s="21"/>
      <c r="N9" s="19"/>
      <c r="O9" s="19"/>
    </row>
    <row r="10" spans="1:15" ht="15.6" x14ac:dyDescent="0.3">
      <c r="A10" s="520"/>
      <c r="B10" s="520"/>
      <c r="C10" s="58" t="s">
        <v>49</v>
      </c>
      <c r="D10" s="58"/>
      <c r="E10" s="165"/>
      <c r="F10" s="84" t="str">
        <f>IF(E10="","",IF(OR(E10="Ex/Ex",E10="Ex/VH"),0, IF(OR(E10="Ex/H",E10="VH/Ex",E10="VH/VH", E10="H/Ex",E10="H/VH",E10="M/Ex"),0.1,IF(OR(E10="Ex/M",E10="VH/H",E10="H/H", E10="M/VH"),0.2, IF(OR(E10="Ex/L",E10="VH/M",E10="H/M", E10="M/H",E10="L/Ex"),0.3, IF(OR(E10="Ex/VL",E10="VH/L",E10="H/L"),0.4, IF(OR(E10="VH/VL",E10="H/VL",E10="M/M", E10="L/VH"),0.5, IF(OR(E10="M/L",E10="L/H"),0.6, IF(OR(E10="M/VL",E10="L/M"),0.7, IF(OR(E10="L/L",E10="L/VL"),1))))))))))</f>
        <v/>
      </c>
      <c r="G10" s="529"/>
      <c r="H10" s="567"/>
      <c r="I10" s="555"/>
      <c r="J10" s="559"/>
      <c r="K10" s="555"/>
      <c r="L10" s="21"/>
      <c r="N10" s="19"/>
      <c r="O10" s="19"/>
    </row>
    <row r="11" spans="1:15" ht="15.6" x14ac:dyDescent="0.3">
      <c r="A11" s="520"/>
      <c r="B11" s="520"/>
      <c r="C11" s="58" t="s">
        <v>87</v>
      </c>
      <c r="D11" s="58"/>
      <c r="E11" s="165"/>
      <c r="F11" s="84" t="str">
        <f>IF(E11="","",ROUND(IF(E11&gt;40,0,IF(E11&lt;5,1,E11^3*'Reference Standards'!S$122+E11^2*'Reference Standards'!S$123+E11*'Reference Standards'!S$124+'Reference Standards'!S$125)),2))</f>
        <v/>
      </c>
      <c r="G11" s="529"/>
      <c r="H11" s="567"/>
      <c r="I11" s="555"/>
      <c r="J11" s="559"/>
      <c r="K11" s="555"/>
      <c r="L11" s="21"/>
      <c r="N11" s="19"/>
      <c r="O11" s="19"/>
    </row>
    <row r="12" spans="1:15" ht="15.6" x14ac:dyDescent="0.3">
      <c r="A12" s="520"/>
      <c r="B12" s="521"/>
      <c r="C12" s="59" t="s">
        <v>394</v>
      </c>
      <c r="D12" s="59"/>
      <c r="E12" s="167"/>
      <c r="F12" s="341" t="str">
        <f>IF(E12="","",ROUND(IF(E12&gt;=30,0,IF(E12&lt;=0,1,E12*'Reference Standards'!S$156+'Reference Standards'!S$157)),2))</f>
        <v/>
      </c>
      <c r="G12" s="530"/>
      <c r="H12" s="567"/>
      <c r="I12" s="555"/>
      <c r="J12" s="559"/>
      <c r="K12" s="555"/>
      <c r="L12" s="21"/>
      <c r="N12" s="19"/>
      <c r="O12" s="19"/>
    </row>
    <row r="13" spans="1:15" ht="15.6" x14ac:dyDescent="0.3">
      <c r="A13" s="520"/>
      <c r="B13" s="520" t="s">
        <v>50</v>
      </c>
      <c r="C13" s="60" t="s">
        <v>377</v>
      </c>
      <c r="D13" s="64"/>
      <c r="E13" s="136"/>
      <c r="F13" s="294" t="str">
        <f>IF(E13="","",ROUND(IF(E13&gt;9.2,1,E13*'Reference Standards'!$S$189+'Reference Standards'!$S$190),2))</f>
        <v/>
      </c>
      <c r="G13" s="552" t="str">
        <f>IFERROR(ROUND(AVERAGE(F13:F22),2),"")</f>
        <v/>
      </c>
      <c r="H13" s="567"/>
      <c r="I13" s="555"/>
      <c r="J13" s="559"/>
      <c r="K13" s="555"/>
      <c r="L13" s="21"/>
      <c r="N13" s="19"/>
      <c r="O13" s="19"/>
    </row>
    <row r="14" spans="1:15" ht="15.6" x14ac:dyDescent="0.3">
      <c r="A14" s="520"/>
      <c r="B14" s="520"/>
      <c r="C14" s="62" t="s">
        <v>378</v>
      </c>
      <c r="D14" s="58"/>
      <c r="E14" s="162"/>
      <c r="F14" s="294" t="str">
        <f>IF(E14="","",ROUND(IF(E14&gt;9.2,1,E14*'Reference Standards'!$S$189+'Reference Standards'!$S$190),2))</f>
        <v/>
      </c>
      <c r="G14" s="553"/>
      <c r="H14" s="567"/>
      <c r="I14" s="555"/>
      <c r="J14" s="559"/>
      <c r="K14" s="555"/>
      <c r="L14" s="21"/>
      <c r="N14" s="19"/>
      <c r="O14" s="19"/>
    </row>
    <row r="15" spans="1:15" ht="15.6" x14ac:dyDescent="0.3">
      <c r="A15" s="520"/>
      <c r="B15" s="520"/>
      <c r="C15" s="62" t="s">
        <v>379</v>
      </c>
      <c r="D15" s="58"/>
      <c r="E15" s="162"/>
      <c r="F15" s="294" t="str">
        <f>IF(E15="","",ROUND( IF(E15&gt;=200,1,IF(E15&lt;50, E15^2*'Reference Standards'!S$224+E15*'Reference Standards'!S$225+'Reference Standards'!S$226, E15*'Reference Standards'!T$224+'Reference Standards'!T$225)),2))</f>
        <v/>
      </c>
      <c r="G15" s="553"/>
      <c r="H15" s="567"/>
      <c r="I15" s="555"/>
      <c r="J15" s="559"/>
      <c r="K15" s="555"/>
      <c r="L15" s="21"/>
      <c r="N15" s="19"/>
      <c r="O15" s="19"/>
    </row>
    <row r="16" spans="1:15" ht="15.6" x14ac:dyDescent="0.3">
      <c r="A16" s="520"/>
      <c r="B16" s="520"/>
      <c r="C16" s="62" t="s">
        <v>380</v>
      </c>
      <c r="D16" s="58"/>
      <c r="E16" s="162"/>
      <c r="F16" s="294" t="str">
        <f>IF(E16="","",ROUND( IF(E16&gt;=200,1,IF(E16&lt;50, E16^2*'Reference Standards'!S$224+E16*'Reference Standards'!S$225+'Reference Standards'!S$226, E16*'Reference Standards'!T$224+'Reference Standards'!T$225)),2))</f>
        <v/>
      </c>
      <c r="G16" s="553"/>
      <c r="H16" s="567"/>
      <c r="I16" s="555"/>
      <c r="J16" s="559"/>
      <c r="K16" s="555"/>
      <c r="L16" s="21"/>
      <c r="N16" s="19"/>
      <c r="O16" s="19"/>
    </row>
    <row r="17" spans="1:15" ht="15.6" x14ac:dyDescent="0.3">
      <c r="A17" s="520"/>
      <c r="B17" s="520"/>
      <c r="C17" s="58" t="s">
        <v>381</v>
      </c>
      <c r="D17" s="58"/>
      <c r="E17" s="162"/>
      <c r="F17" s="294" t="str">
        <f>IF(E17="","",ROUND(IF(AND(E17&gt;=135,E17&lt;=262),1,IF(  E17&gt;=366,0.5, IF(E17&lt;135,E17*'Reference Standards'!S$259+'Reference Standards'!S$260, E17*'Reference Standards'!T$259+'Reference Standards'!T$260))),2))</f>
        <v/>
      </c>
      <c r="G17" s="553"/>
      <c r="H17" s="567"/>
      <c r="I17" s="555"/>
      <c r="J17" s="559"/>
      <c r="K17" s="555"/>
      <c r="L17" s="21"/>
      <c r="N17" s="19"/>
      <c r="O17" s="19"/>
    </row>
    <row r="18" spans="1:15" ht="15.6" x14ac:dyDescent="0.3">
      <c r="A18" s="520"/>
      <c r="B18" s="520"/>
      <c r="C18" s="58" t="s">
        <v>382</v>
      </c>
      <c r="D18" s="58"/>
      <c r="E18" s="162"/>
      <c r="F18" s="294" t="str">
        <f>IF(E18="","",ROUND(IF(AND(E18&gt;=135,E18&lt;=262),1,IF(  E18&gt;=366,0.5, IF(E18&lt;135,E18*'Reference Standards'!S$259+'Reference Standards'!S$260, E18*'Reference Standards'!T$259+'Reference Standards'!T$260))),2))</f>
        <v/>
      </c>
      <c r="G18" s="553"/>
      <c r="H18" s="567"/>
      <c r="I18" s="555"/>
      <c r="J18" s="559"/>
      <c r="K18" s="555"/>
      <c r="L18" s="21"/>
      <c r="N18" s="19"/>
      <c r="O18" s="19"/>
    </row>
    <row r="19" spans="1:15" ht="15.6" x14ac:dyDescent="0.3">
      <c r="A19" s="520"/>
      <c r="B19" s="520"/>
      <c r="C19" s="58" t="s">
        <v>383</v>
      </c>
      <c r="D19" s="58"/>
      <c r="E19" s="162"/>
      <c r="F19" s="84" t="str">
        <f>IF(E19="","",ROUND(IF(E19&gt;=75,1,IF(E19&lt;=0,0,E19*'Reference Standards'!S$330)),2))</f>
        <v/>
      </c>
      <c r="G19" s="553"/>
      <c r="H19" s="567"/>
      <c r="I19" s="555"/>
      <c r="J19" s="559"/>
      <c r="K19" s="555"/>
      <c r="L19" s="21"/>
      <c r="N19" s="19"/>
      <c r="O19" s="19"/>
    </row>
    <row r="20" spans="1:15" ht="15.6" x14ac:dyDescent="0.3">
      <c r="A20" s="520"/>
      <c r="B20" s="520"/>
      <c r="C20" s="58" t="s">
        <v>384</v>
      </c>
      <c r="D20" s="58"/>
      <c r="E20" s="162"/>
      <c r="F20" s="84" t="str">
        <f>IF(E20="","",ROUND(IF(E20&gt;=75,1,IF(E20&lt;=0,0,E20*'Reference Standards'!S$330)),2))</f>
        <v/>
      </c>
      <c r="G20" s="553"/>
      <c r="H20" s="567"/>
      <c r="I20" s="555"/>
      <c r="J20" s="559"/>
      <c r="K20" s="555"/>
      <c r="L20" s="21"/>
      <c r="N20" s="19"/>
      <c r="O20" s="19"/>
    </row>
    <row r="21" spans="1:15" ht="15.6" x14ac:dyDescent="0.3">
      <c r="A21" s="520"/>
      <c r="B21" s="520"/>
      <c r="C21" s="58" t="s">
        <v>385</v>
      </c>
      <c r="D21" s="58"/>
      <c r="E21" s="162"/>
      <c r="F21" s="294" t="str">
        <f>IF(E21="","",ROUND(IF(AND(E21&gt;=36.3,E21&lt;=68),1,IF(E21&gt;100,0,IF(E21&lt;36.3,(('Reference Standards'!S$297*(E21^2))+('Reference Standards'!S$298*E21)+'Reference Standards'!S$299),IF(E21&gt;68,(('Reference Standards'!T$297*(E21^2))+('Reference Standards'!T$298*E21)+'Reference Standards'!T$299))))),2))</f>
        <v/>
      </c>
      <c r="G21" s="553"/>
      <c r="H21" s="567"/>
      <c r="I21" s="555"/>
      <c r="J21" s="559"/>
      <c r="K21" s="555"/>
      <c r="L21" s="21"/>
      <c r="N21" s="19"/>
      <c r="O21" s="19"/>
    </row>
    <row r="22" spans="1:15" ht="15.6" x14ac:dyDescent="0.3">
      <c r="A22" s="520"/>
      <c r="B22" s="521"/>
      <c r="C22" s="58" t="s">
        <v>386</v>
      </c>
      <c r="D22" s="65"/>
      <c r="E22" s="162"/>
      <c r="F22" s="294" t="str">
        <f>IF(E22="","",ROUND(IF(AND(E22&gt;=36.3,E22&lt;=68),1,IF(E22&gt;100,0,IF(E22&lt;36.3,(('Reference Standards'!S$297*(E22^2))+('Reference Standards'!S$298*E22)+'Reference Standards'!S$299),IF(E22&gt;68,(('Reference Standards'!T$297*(E22^2))+('Reference Standards'!T$298*E22)+'Reference Standards'!T$299))))),2))</f>
        <v/>
      </c>
      <c r="G22" s="554"/>
      <c r="H22" s="567"/>
      <c r="I22" s="555"/>
      <c r="J22" s="559"/>
      <c r="K22" s="555"/>
      <c r="L22" s="21"/>
      <c r="N22" s="19"/>
      <c r="O22" s="19"/>
    </row>
    <row r="23" spans="1:15" ht="15.6" x14ac:dyDescent="0.3">
      <c r="A23" s="520"/>
      <c r="B23" s="56" t="s">
        <v>108</v>
      </c>
      <c r="C23" s="72" t="s">
        <v>130</v>
      </c>
      <c r="D23" s="58"/>
      <c r="E23" s="43"/>
      <c r="F23" s="82" t="str">
        <f>IF(E23="","",IF(OR('Quantification Tool R4'!B$14="Gravel",'Quantification Tool R4'!B$14="Cobble"),IF(E23&gt;0.1,1,IF(E23&lt;=0.01,0,ROUND(E23*'Reference Standards'!$S$362+'Reference Standards'!$S$363,2)))))</f>
        <v/>
      </c>
      <c r="G23" s="82" t="str">
        <f>IFERROR(AVERAGE(F23),"")</f>
        <v/>
      </c>
      <c r="H23" s="567"/>
      <c r="I23" s="555"/>
      <c r="J23" s="559"/>
      <c r="K23" s="555"/>
      <c r="L23" s="21"/>
      <c r="N23" s="19"/>
      <c r="O23" s="19"/>
    </row>
    <row r="24" spans="1:15" ht="15.6" x14ac:dyDescent="0.3">
      <c r="A24" s="520"/>
      <c r="B24" s="526" t="s">
        <v>51</v>
      </c>
      <c r="C24" s="64" t="s">
        <v>52</v>
      </c>
      <c r="D24" s="64"/>
      <c r="E24" s="166"/>
      <c r="F24" s="337" t="str">
        <f>IF(E24="","",IF(ISNUMBER('Quantification Tool R4'!$B$17),IF('Quantification Tool R4'!$B$17&lt;=2,IF(AND(E24&gt;=3,E24&lt;=5),1,IF(OR(E24&lt;=1,E24&gt;=7),0,ROUND(IF(E24&lt;3,E24*'Reference Standards'!S$398+'Reference Standards'!S$399,E24*'Reference Standards'!T$398+'Reference Standards'!T$399),2))),IF(E24&lt;=2.5,1,IF(E24&gt;=5.8,0,ROUND(E24*'Reference Standards'!S$430+'Reference Standards'!S$431,2))))))</f>
        <v/>
      </c>
      <c r="G24" s="528" t="str">
        <f>IFERROR(AVERAGE(F24:F27),"")</f>
        <v/>
      </c>
      <c r="H24" s="567"/>
      <c r="I24" s="555"/>
      <c r="J24" s="559"/>
      <c r="K24" s="555"/>
      <c r="L24" s="21"/>
      <c r="N24" s="19"/>
      <c r="O24" s="19"/>
    </row>
    <row r="25" spans="1:15" ht="15.6" x14ac:dyDescent="0.3">
      <c r="A25" s="520"/>
      <c r="B25" s="520"/>
      <c r="C25" s="58" t="s">
        <v>53</v>
      </c>
      <c r="D25" s="58"/>
      <c r="E25" s="165"/>
      <c r="F25" s="84" t="str">
        <f>IF(E25="","", IF( E25&gt;=2.4,1, IF(E25&lt;=1,0,  ROUND(IF(E25&lt;2.4, E25*'Reference Standards'!$S$464+'Reference Standards'!$S$465  ),2))))</f>
        <v/>
      </c>
      <c r="G25" s="529"/>
      <c r="H25" s="567"/>
      <c r="I25" s="555"/>
      <c r="J25" s="559"/>
      <c r="K25" s="555"/>
      <c r="L25" s="21"/>
      <c r="N25" s="19"/>
      <c r="O25" s="19"/>
    </row>
    <row r="26" spans="1:15" ht="15.6" x14ac:dyDescent="0.3">
      <c r="A26" s="520"/>
      <c r="B26" s="520"/>
      <c r="C26" s="58" t="s">
        <v>334</v>
      </c>
      <c r="D26" s="58"/>
      <c r="E26" s="165"/>
      <c r="F26" s="390" t="str">
        <f>IF(E26="","", IF(LEFT('Quantification Tool R4'!$B$12,2)="67",  IF( AND(E26&gt;=45,E26&lt;=65),1, IF(OR(E26&lt;=20,E26&gt;=90),0, ROUND(  IF(E26&lt;45, E26*'Reference Standards'!$S$498+'Reference Standards'!$S$499,E26*'Reference Standards'!$T$498+'Reference Standards'!$T$499),2))), IF(OR(  LEFT('Quantification Tool R4'!$B$12,2)="68", LEFT('Quantification Tool R4'!$B$12,2)="69",LEFT('Quantification Tool R4'!$B$12,2)="71"),  IF( AND(E26&gt;=30,E26&lt;=50),1, IF(OR(E26&lt;=10,E26&gt;=70),0, ROUND(  IF(E26&lt;30, E26*'Reference Standards'!$S$533+'Reference Standards'!$S$534,E26*'Reference Standards'!$T$533+'Reference Standards'!$T$534),2))), IF(LEFT('Quantification Tool R4'!$B$12,2)="66",  IF( AND(E26&gt;=20,E26&lt;=45),1, IF(OR(E26&lt;=0,E26&gt;=90),0, ROUND(  IF(E26&lt;20, E26*'Reference Standards'!$S$567+'Reference Standards'!$S$568,E26*'Reference Standards'!$T$567+'Reference Standards'!$T$568),2))), IF(OR(  LEFT('Quantification Tool R4'!$B$12,2)="65", LEFT('Quantification Tool R4'!$B$12,2)="74", LEFT('Quantification Tool R4'!$B$12,2)="73"),  IF( AND(E26&gt;=20,E26&lt;=30),1, IF(OR(E26&lt;=0,E26&gt;=50),0, ROUND(  IF(E26&lt;20, E26*'Reference Standards'!$S$601+'Reference Standards'!$S$602,E26*'Reference Standards'!$T$601+'Reference Standards'!$T$602),2))))))))</f>
        <v/>
      </c>
      <c r="G26" s="529"/>
      <c r="H26" s="567"/>
      <c r="I26" s="555"/>
      <c r="J26" s="559"/>
      <c r="K26" s="555"/>
      <c r="L26" s="21"/>
      <c r="N26" s="19"/>
      <c r="O26" s="19"/>
    </row>
    <row r="27" spans="1:15" ht="15.6" x14ac:dyDescent="0.3">
      <c r="A27" s="520"/>
      <c r="B27" s="521"/>
      <c r="C27" s="62" t="s">
        <v>210</v>
      </c>
      <c r="D27" s="58"/>
      <c r="E27" s="167"/>
      <c r="F27" s="391" t="str">
        <f>IF(E27="","",IF(E27&gt;=1.6,0,IF(E27&lt;=1,1,ROUND('Reference Standards'!$S$633*E27^3+'Reference Standards'!$S$634*E27^2+'Reference Standards'!$S$635*E27+'Reference Standards'!$S$636,2))))</f>
        <v/>
      </c>
      <c r="G27" s="530"/>
      <c r="H27" s="567"/>
      <c r="I27" s="555"/>
      <c r="J27" s="559"/>
      <c r="K27" s="555"/>
      <c r="L27" s="21"/>
      <c r="N27" s="19"/>
      <c r="O27" s="19"/>
    </row>
    <row r="28" spans="1:15" ht="15.6" x14ac:dyDescent="0.3">
      <c r="A28" s="521"/>
      <c r="B28" s="296" t="s">
        <v>55</v>
      </c>
      <c r="C28" s="242" t="s">
        <v>54</v>
      </c>
      <c r="D28" s="243"/>
      <c r="E28" s="163"/>
      <c r="F28" s="342" t="str">
        <f>IF(E28="","",IF(AND('Quantification Tool R4'!B$11="E",'Quantification Tool R4'!$B$14="Sand",'Quantification Tool R4'!$B$21="Unconfined Alluvial"),ROUND(IF(OR(E28&gt;1.8,E28&lt;1.3),0,IF(E28&lt;=1.6,1,E28*'Reference Standards'!S$667+'Reference Standards'!S$668)),2),    IF('Quantification Tool R4'!$B$21="Unconfined Alluvial",ROUND(IF(OR(E28&lt;1.2, E28&gt;1.5),0,IF(E28&lt;=1.4,1,E28*'Reference Standards'!$S$700+'Reference Standards'!$S$701)),2), IF('Quantification Tool R4'!$B$21="Confined Alluvial",ROUND(IF(E28&lt;1.15,0,IF(E28&lt;=1.4,E28*'Reference Standards'!$S$729+'Reference Standards'!$S$730,1)),2),  IF('Quantification Tool R4'!$B$21="Colluvial",ROUND(IF(E28&gt;1.3,0,IF(E28&gt;1.2,E28*'Reference Standards'!$S$760+'Reference Standards'!$S$761,1)),2) )))))</f>
        <v/>
      </c>
      <c r="G28" s="84" t="str">
        <f>IFERROR(AVERAGE(F28),"")</f>
        <v/>
      </c>
      <c r="H28" s="567"/>
      <c r="I28" s="555"/>
      <c r="J28" s="559"/>
      <c r="K28" s="555"/>
      <c r="L28" s="21"/>
      <c r="N28" s="19"/>
      <c r="O28" s="19"/>
    </row>
    <row r="29" spans="1:15" ht="15.6" x14ac:dyDescent="0.3">
      <c r="A29" s="537" t="s">
        <v>58</v>
      </c>
      <c r="B29" s="67" t="s">
        <v>88</v>
      </c>
      <c r="C29" s="70" t="s">
        <v>338</v>
      </c>
      <c r="D29" s="70"/>
      <c r="E29" s="43"/>
      <c r="F29" s="343" t="str">
        <f>IF(E29="","",ROUND(IF(E29&gt;=942,0,IF(E29&lt;=487,E29*'Reference Standards'!AB$15+'Reference Standards'!AB$16,E29*'Reference Standards'!$AC$15+'Reference Standards'!$AC$16)),2))</f>
        <v/>
      </c>
      <c r="G29" s="85" t="str">
        <f>IFERROR(AVERAGE(F29),"")</f>
        <v/>
      </c>
      <c r="H29" s="547" t="str">
        <f>IFERROR(ROUND(AVERAGE(G29:G32),2),"")</f>
        <v/>
      </c>
      <c r="I29" s="534" t="str">
        <f>IF(H29="","",IF(H29&gt;0.69,"Functioning",IF(H29&gt;0.29,"Functioning At Risk",IF(H29&gt;-1,"Not Functioning"))))</f>
        <v/>
      </c>
      <c r="J29" s="559"/>
      <c r="K29" s="555"/>
      <c r="L29" s="21"/>
      <c r="O29" s="19"/>
    </row>
    <row r="30" spans="1:15" ht="15.6" x14ac:dyDescent="0.3">
      <c r="A30" s="538"/>
      <c r="B30" s="297" t="s">
        <v>362</v>
      </c>
      <c r="C30" s="66" t="s">
        <v>354</v>
      </c>
      <c r="D30" s="66"/>
      <c r="E30" s="163"/>
      <c r="F30" s="344" t="str">
        <f>IF(E30="","",IF(OR('Quantification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June")),IF(E30&gt;93,0,IF(E30&lt;13,1,ROUND('Reference Standards'!$AB$53*E30^2+'Reference Standards'!$AB$54*E30+'Reference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R4'!$B$12="73b"),IF(E30&gt;94,0,IF(E30&lt;17,1,ROUND('Reference Standards'!$AC$53*E30^2+'Reference Standards'!$AC$54*E30+'Reference Standards'!$AC$55,2))),    IF(OR(AND(OR('Quantification Tool R4'!$B$12="68b",'Quantification Tool R4'!$B$12="71i"),'Quantification Tool R4'!$B$13&gt;2), 'Quantification Tool R4'!$B$12="71e"),IF(E30&gt;91,0,IF(E30&lt;24,1,ROUND('Reference Standards'!$AD$53*E30^2+'Reference Standards'!$AD$54*E30+'Reference Standards'!$AD$55,2))),  IF(OR(AND(OR('Quantification Tool R4'!$B$12="71f",'Quantification Tool R4'!$B$12="71g",'Quantification Tool R4'!$B$12="71h",'Quantification Tool R4'!$B$12="71i"),'Quantification Tool R4'!$B$13&lt;=2), AND('Quantification Tool R4'!$B$12="74a",'Quantification Tool R4'!$B$13&gt;2)),IF(E30&gt;95,0,IF(E30&lt;=36,1,ROUND('Reference Standards'!$AE$53*E30^2+'Reference Standards'!$AE$54*E30+'Reference Standards'!$AE$55,2))))))))</f>
        <v/>
      </c>
      <c r="G30" s="236" t="str">
        <f>IFERROR(AVERAGE(F30:F30),"")</f>
        <v/>
      </c>
      <c r="H30" s="548"/>
      <c r="I30" s="535"/>
      <c r="J30" s="559"/>
      <c r="K30" s="555"/>
      <c r="L30" s="21"/>
      <c r="O30" s="19"/>
    </row>
    <row r="31" spans="1:15" ht="15.6" x14ac:dyDescent="0.3">
      <c r="A31" s="538"/>
      <c r="B31" s="67" t="s">
        <v>81</v>
      </c>
      <c r="C31" s="68" t="s">
        <v>281</v>
      </c>
      <c r="D31" s="68"/>
      <c r="E31" s="162"/>
      <c r="F31" s="344" t="str">
        <f>IF(E31="","",IF(ISNUMBER('Quantification Tool R4'!$B$13),IF(OR('Quantification Tool R4'!$B$12="66e",'Quantification Tool R4'!$B$12="66f",'Quantification Tool R4'!$B$12="66g"),ROUND(IF(E31&gt;=0.61,0,IF(E31&lt;=0.01,1,IF(E31&lt;=0.06,E31*'Reference Standards'!$AD$197+'Reference Standards'!$AD$198,E31^2*'Reference Standards'!$AB$196+E31*'Reference Standards'!$AB$197+'Reference Standards'!$AB$198))),2),IF('Quantification Tool R4'!$B$12="68b",ROUND(IF(E31&gt;=1.1,0,IF(E31&lt;=0.17,1,IF(E31&lt;=0.22,E31*'Reference Standards'!$AE$197+'Reference Standards'!$AE$198,E31^2*'Reference Standards'!$AC$196+E31*'Reference Standards'!$AC$197+'Reference Standards'!$AC$198))),2),IF('Quantification Tool R4'!$B$13&lt;=2.5,IF('Quantification Tool R4'!$B$12="69de",ROUND(IF(E31&gt;=0.22,0,IF(E31&lt;=0.01,1,E31^2*'Reference Standards'!$AB$90+E31*'Reference Standards'!$AB$91+'Reference Standards'!$AB$92)),2),IF('Quantification Tool R4'!$B$12="68c",ROUND(IF(E31&gt;=0.87,0,IF(E31&lt;=0.01,1,E31^2*'Reference Standards'!$AC$90+E31*'Reference Standards'!$AC$91+'Reference Standards'!$AC$92)),2),IF('Quantification Tool R4'!$B$12="68a",ROUND(IF(E31&gt;=0.81,0,IF(E31&lt;=0.01,1,E31^2*'Reference Standards'!$AD$90+E31*'Reference Standards'!$AD$91+'Reference Standards'!$AD$92)),2),IF('Quantification Tool R4'!$B$12="65abei",ROUND(IF(E31&gt;=0.67,0,IF(E31&lt;=0.01,1,IF(E31&lt;=0.18,E31*'Reference Standards'!$AG$91+'Reference Standards'!$AG$92,E31*'Reference Standards'!$AE$91+'Reference Standards'!$AE$92))),2),IF('Quantification Tool R4'!$B$12="65j",ROUND(IF(E31&gt;=0.32,0,IF(E31&lt;=0.01,1,IF(E31&lt;=0.25,E31*'Reference Standards'!$AH$91+'Reference Standards'!$AH$92,E31*'Reference Standards'!$AF$91+'Reference Standards'!$AF$92))),2),IF('Quantification Tool R4'!$B$12="71f",ROUND(IF(E31&gt;=3,0,IF(E31&lt;=0,1,IF(E31&lt;=0.01,0.7,E31^2*'Reference Standards'!$AB$126+E31*'Reference Standards'!$AB$127+'Reference Standards'!$AB$128))),2),IF('Quantification Tool R4'!$B$12="74a",ROUND(IF(E31&gt;=0.14,0,IF(E31&lt;=0.01,1,IF(E31&lt;=0.02,0.7,E31^2*'Reference Standards'!$AC$126+E31*'Reference Standards'!$AC$127+'Reference Standards'!$AC$128))),2),IF(OR('Quantification Tool R4'!$B$12="67fhi",'Quantification Tool R4'!$B$12="67g"),ROUND(IF(E31&gt;=1.9,0,IF(E31&lt;=0.01,1,IF(E31&lt;=0.05,E31*'Reference Standards'!$AF$127+'Reference Standards'!$AF$128,E31^2*'Reference Standards'!$AD$126+E31*'Reference Standards'!$AD$127+'Reference Standards'!$AD$128))),2),IF('Quantification Tool R4'!$B$12="73a",ROUND(IF(E31&gt;=1.44,0,IF(E31&lt;=0.01,1,IF(E31&lt;=0.12,E31*'Reference Standards'!$AG$127+'Reference Standards'!$AG$128,E31^2*'Reference Standards'!$AE$126+E31*'Reference Standards'!$AE$127+'Reference Standards'!$AE$128))),2),IF('Quantification Tool R4'!$B$12="66d",ROUND(IF(E31&gt;=0.46,0,IF(E31&lt;=0.02,1,IF(E31&lt;=0.08,E31*'Reference Standards'!$AF$163+'Reference Standards'!$AF$164,E31^2*'Reference Standards'!$AB$162+E31*'Reference Standards'!$AB$163+'Reference Standards'!$AB$164))),2),IF(OR('Quantification Tool R4'!$B$12="71g",'Quantification Tool R4'!$B$12="71h",'Quantification Tool R4'!$B$12="71i"),ROUND(IF(E31&gt;=3,0,IF(E31&lt;=0.06,1,IF(E31&lt;=0.24,E31*'Reference Standards'!$AG$163+'Reference Standards'!$AG$164,E31^2*'Reference Standards'!$AC$162+E31*'Reference Standards'!$AC$163+'Reference Standards'!$AC$164))),2),IF('Quantification Tool R4'!$B$12="74b",ROUND(IF(E31&gt;=1.3,0,IF(E31&lt;=0.29,1,IF(E31&lt;=0.48,E31*'Reference Standards'!$AH$163+'Reference Standards'!$AH$164,E31^2*'Reference Standards'!$AD$162+E31*'Reference Standards'!$AD$163+'Reference Standards'!$AD$164))),2),IF('Quantification Tool R4'!$B$12="71e",ROUND(IF(E31&gt;=4.3,0,IF(E31&lt;=0.53,1,IF(E31&lt;=0.67,E31*'Reference Standards'!$AI$163+'Reference Standards'!$AI$164,E31^2*'Reference Standards'!$AE$162+E31*'Reference Standards'!$AE$163+'Reference Standards'!$AE$164))),2)))))))))))))),IF('Quantification Tool R4'!$B$13&gt;2.5,IF('Quantification Tool R4'!$B$12="73a",ROUND(IF(E31&gt;=0.55,0,IF(E31&lt;=0,1,E31^2*'Reference Standards'!$AB$232+E31*'Reference Standards'!$AB$233+'Reference Standards'!$AB$234)),2),IF('Quantification Tool R4'!$B$12="68a",ROUND(IF(E31&gt;=0.54,0,IF(E31&lt;=0,1,IF(E31&lt;=0.01,0.85,E31^2*'Reference Standards'!$AC$232+E31*'Reference Standards'!$AC$233+'Reference Standards'!$AC$234))),2),IF('Quantification Tool R4'!$B$12="74a",ROUND(IF(E31&gt;=0.47,0,IF(E31&lt;=0.01,1,IF(E31&lt;=0.02,0.7,E31^2*'Reference Standards'!$AD$232+E31*'Reference Standards'!$AD$233+'Reference Standards'!$AD$234))),2),IF('Quantification Tool R4'!$B$12="69de",ROUND(IF(E31&gt;=0.26,0,IF(E31&lt;=0.01,1,IF(E31&lt;=0.02,0.85,E31^2*'Reference Standards'!$AE$232+E31*'Reference Standards'!$AE$233+'Reference Standards'!$AE$234))),2),IF('Quantification Tool R4'!$B$12="71f",ROUND(IF(E31&gt;=0.87,0,IF(E31&lt;=0.01,1,IF(E31&lt;=0.04,E31*'Reference Standards'!$AF$269+'Reference Standards'!$AF$270,E31^2*'Reference Standards'!$AB$268+E31*'Reference Standards'!$AB$269+'Reference Standards'!$AB$270))),2),IF('Quantification Tool R4'!$B$12="65abei",ROUND(IF(E31&gt;=0.82,0,IF(E31&lt;=0.01,1,IF(E31&lt;=0.06,E31*'Reference Standards'!$AG$269+'Reference Standards'!$AG$270,E31^2*'Reference Standards'!$AC$268+E31*'Reference Standards'!$AC$269+'Reference Standards'!$AC$270))),2),IF('Quantification Tool R4'!$B$12="65j",ROUND(IF(E31&gt;=0.33,0,IF(E31&lt;=0.03,1,IF(E31&lt;=0.09,E31*'Reference Standards'!$AH$269+'Reference Standards'!$AH$270,E31^2*'Reference Standards'!$AD$268+E31*'Reference Standards'!$AD$269+'Reference Standards'!$AD$270))),2),IF('Quantification Tool R4'!$B$12="68c",ROUND(IF(E31&gt;=0.7,0,IF(E31&lt;=0.07,1,IF(E31&lt;=0.12,E31*'Reference Standards'!$AI$269+'Reference Standards'!$AI$270,E31^2*'Reference Standards'!$AE$268+E31*'Reference Standards'!$AE$269+'Reference Standards'!$AE$270))),2),IF(OR('Quantification Tool R4'!$B$12="67fhi",'Quantification Tool R4'!$B$12="67g"),ROUND(IF(E31&gt;=1.8,0,IF(E31&lt;=0.08,1,IF(E31&lt;=0.2,E31*'Reference Standards'!$AF$306+'Reference Standards'!$AF$307,E31^2*'Reference Standards'!$AB$305+E31*'Reference Standards'!$AB$306+'Reference Standards'!$AB$307))),2),IF('Quantification Tool R4'!$B$12="74b",ROUND(IF(E31&gt;=0.96,0,IF(E31&lt;=0.12,1,IF(E31&lt;=0.16,E31*'Reference Standards'!$AG$306+'Reference Standards'!$AG$307,E31^2*'Reference Standards'!$AC$305+E31*'Reference Standards'!$AC$306+'Reference Standards'!$AC$307))),2),IF('Quantification Tool R4'!$B$12="66d",ROUND(IF(E31&gt;=0.75,0,IF(E31&lt;=0.13,1,IF(E31&lt;=0.2,E31*'Reference Standards'!$AH$306+'Reference Standards'!$AH$307,E31^2*'Reference Standards'!$AD$305+E31*'Reference Standards'!$AD$306+'Reference Standards'!$AD$307))),2),IF(OR('Quantification Tool R4'!$B$12="71g",'Quantification Tool R4'!$B$12="71h",'Quantification Tool R4'!$B$12="71i"),ROUND(IF(E31&gt;=1.68,0,IF(E31&lt;=0.08,1,IF(E31&lt;=0.23,E31*'Reference Standards'!$AI$306+'Reference Standards'!$AI$307,E31^2*'Reference Standards'!$AE$305+E31*'Reference Standards'!$AE$306+'Reference Standards'!$AE$307))),2),IF('Quantification Tool R4'!$B$12="71e",ROUND(IF(E31&gt;=5.3,0,IF(E31&lt;=0.94,1,IF(E31&lt;=1.4,E31*'Reference Standards'!$AF$310+'Reference Standards'!$AF$311,E31^2*'Reference Standards'!$AB$309+E31*'Reference Standards'!$AB$310+'Reference Standards'!$AB$311))),2))))))))))))))))))))</f>
        <v/>
      </c>
      <c r="G31" s="86" t="str">
        <f>IFERROR(AVERAGE(F31),"")</f>
        <v/>
      </c>
      <c r="H31" s="548"/>
      <c r="I31" s="535"/>
      <c r="J31" s="559"/>
      <c r="K31" s="555"/>
      <c r="L31" s="21"/>
      <c r="O31" s="19"/>
    </row>
    <row r="32" spans="1:15" ht="15.6" x14ac:dyDescent="0.3">
      <c r="A32" s="539"/>
      <c r="B32" s="298" t="s">
        <v>82</v>
      </c>
      <c r="C32" s="66" t="s">
        <v>280</v>
      </c>
      <c r="D32" s="66"/>
      <c r="E32" s="136"/>
      <c r="F32" s="343" t="str">
        <f>IF(E32="","",IF(ISNUMBER('Quantification Tool R4'!$B$13),IF('Quantification Tool R4'!$B$13&gt;2.5,IF(OR('Quantification Tool R4'!$B$12="71h",'Quantification Tool R4'!$B$12="71i",'Quantification Tool R4'!$B$12="73a",'Quantification Tool R4'!$B$12="74a"),IF(E32&lt;=0.01,1,IF(OR('Quantification Tool R4'!$B$12="71h",'Quantification Tool R4'!$B$12="71i"),IF(E32&gt;0.37,0,ROUND(IF(E32&gt;0.03,'Reference Standards'!$AB$425*E32^2+'Reference Standards'!$AB$426*E32+'Reference Standards'!$AB$427,'Reference Standards'!$AF$426*E32+'Reference Standards'!$AF$427),2)),IF('Quantification Tool R4'!$B$12="73a",IF(E32&gt;0.405,0,ROUND(IF(E32&gt;0.046,'Reference Standards'!$AC$425*E32^2+'Reference Standards'!$AC$426*E32+'Reference Standards'!$AC$427,'Reference Standards'!$AG$426*E32+'Reference Standards'!$AG$427),2)),IF('Quantification Tool R4'!$B$12="74a",IF(E32&gt;0.3,0,ROUND(IF(E32&gt;0.052,'Reference Standards'!$AD$425*E32^2+'Reference Standards'!$AD$426*E32+'Reference Standards'!$AD$427,'Reference Standards'!$AH$426*E32+'Reference Standards'!$AH$427),2)))))),IF(E32&lt;=0.002,1,IF(OR('Quantification Tool R4'!$B$12="66d",'Quantification Tool R4'!$B$12="66e",'Quantification Tool R4'!$B$12="66g"),IF(E32&gt;0.053,0,ROUND(E32^2*'Reference Standards'!$AB$347+E32*'Reference Standards'!$AB$348+'Reference Standards'!$AB$349,2)),IF('Quantification Tool R4'!$B$12="68b",IF(E32&gt;0.05,0,ROUND(E32^2*'Reference Standards'!$AC$347+E32*'Reference Standards'!$AC$348+'Reference Standards'!$AC$349,2)),IF(OR('Quantification Tool R4'!$B$12="68a",'Quantification Tool R4'!$B$12="68c"),IF(E32&gt;0.07,0,ROUND(E32^2*'Reference Standards'!$AD$347+E32*'Reference Standards'!$AD$348+'Reference Standards'!$AD$349,2)),IF(OR('Quantification Tool R4'!$B$12="71f",'Quantification Tool R4'!$B$12="71g"),IF(E32&gt;0.13,0,ROUND(IF(E32&gt;0.042,E32*'Reference Standards'!$AE$348+'Reference Standards'!$AE$349,E32*'Reference Standards'!$AF$348+'Reference Standards'!$AF$349),2)),IF('Quantification Tool R4'!$B$12="67fhi",IF(E32&gt;0.16,0,ROUND(E32^2*'Reference Standards'!$AG$347+E32*'Reference Standards'!$AG$348+'Reference Standards'!$AG$349,2)),IF('Quantification Tool R4'!$B$12="65j",IF(E32&gt;0.035,0,ROUND(IF(E32&lt;=0.003,0.7,E32^2*'Reference Standards'!$AB$387+E32*'Reference Standards'!$AB$388+'Reference Standards'!$AB$389),2)),IF('Quantification Tool R4'!$B$12="69de",IF(E32&gt;0.037,0,ROUND(IF(E32&lt;=0.003,0.7,E32^2*'Reference Standards'!$AC$387+E32*'Reference Standards'!$AC$388+'Reference Standards'!$AC$389),2)),IF('Quantification Tool R4'!$B$12="71e",IF(E32&gt;0.23,0,ROUND(IF(E32&lt;=0.003,0.7,E32^2*'Reference Standards'!$AD$387+E32*'Reference Standards'!$AD$388+'Reference Standards'!$AD$389),2)),IF('Quantification Tool R4'!$B$12="66f",IF(E32&gt;0.06,0,ROUND(IF(E32&lt;=0.003,0.85,IF(E32&lt;=0.004,0.7,E32^2*'Reference Standards'!$AE$387+E32*'Reference Standards'!$AE$388+'Reference Standards'!$AE$389)),2)),IF('Quantification Tool R4'!$B$12="67g",IF(E32&gt;0.11,0,ROUND(IF(E32&lt;=0.01,E32*'Reference Standards'!$AH$388+'Reference Standards'!$AH$389,E32^2*'Reference Standards'!$AF$387+E32*'Reference Standards'!$AF$388+'Reference Standards'!$AF$389),2)),IF('Quantification Tool R4'!$B$12="74b",IF(E32&gt;0.49,0,ROUND(IF(E32&lt;=0.01,E32*'Reference Standards'!$AH$388+'Reference Standards'!$AH$389,E32^2*'Reference Standards'!$AG$387+E32*'Reference Standards'!$AG$388+'Reference Standards'!$AG$389),2)),IF('Quantification Tool R4'!$B$12="65abei",IF(E32&gt;0.199,0,ROUND(IF(E32&lt;=0.01,E32*'Reference Standards'!$AI$426+'Reference Standards'!$AI$427,E32^2*'Reference Standards'!$AE$425+E32*'Reference Standards'!$AE$426+'Reference Standards'!$AE$427),2)))))))))))))))),IF('Quantification Tool R4'!$B$13&lt;=2.5,IF(OR('Quantification Tool R4'!$B$12="66d",'Quantification Tool R4'!$B$12="66e",'Quantification Tool R4'!$B$12="66g"),IF(E32&gt;0.05,0,ROUND(IF(E32&lt;=0.002,1,IF(E32&lt;=0.005,E32*'Reference Standards'!$AF$464+'Reference Standards'!$AF$465,E32^2*'Reference Standards'!$AB$463+E32*'Reference Standards'!$AB$464+'Reference Standards'!$AB$465)),2)),IF('Quantification Tool R4'!$B$12="67fhi",IF(E32&gt;0.1,0,ROUND(IF(E32&lt;=0.002,1,IF(E32&lt;=0.006,E32*'Reference Standards'!$AG$464+'Reference Standards'!$AG$465,E32^2*'Reference Standards'!$AC$463+E32*'Reference Standards'!$AC$464+'Reference Standards'!$AC$465)),2)),IF('Quantification Tool R4'!$B$12="65abei",IF(E32&gt;0.13,0,ROUND(IF(E32&lt;=0.003,1,IF(E32&lt;=0.008,E32*'Reference Standards'!$AH$464+'Reference Standards'!$AH$465,E32^2*'Reference Standards'!$AD$463+E32*'Reference Standards'!$AD$464+'Reference Standards'!$AD$465)),2)),IF('Quantification Tool R4'!$B$12="68b",IF(E32&gt;0.043,0,ROUND(IF(E32&lt;=0.004,1,IF(E32&lt;=0.005,0.7,E32^2*'Reference Standards'!$AE$463+E32*'Reference Standards'!$AE$464+'Reference Standards'!$AE$465)),2)),IF('Quantification Tool R4'!$B$12="69de",IF(E32&gt;=0.034,0,ROUND(IF(E32&lt;=0.003,1,IF(E32&lt;=0.006,E32*'Reference Standards'!$AG$500+'Reference Standards'!$AG$501,E32*'Reference Standards'!$AB$500+'Reference Standards'!$AB$501)),2)),IF(OR('Quantification Tool R4'!$B$12="68a",'Quantification Tool R4'!$B$12="68c"),IF(E32&gt;0.202,0,ROUND(IF(E32&lt;=0.003,1,IF(E32&lt;=0.006,E32*'Reference Standards'!$AG$500+'Reference Standards'!$AG$501,IF(E32&gt;=0.04,E32*'Reference Standards'!$AC$500+'Reference Standards'!$AC$501,E32*'Reference Standards'!$AE$500+'Reference Standards'!$AE$501))),2)),IF(OR('Quantification Tool R4'!$B$12="71f",'Quantification Tool R4'!$B$12="71g"),IF(E32&gt;0.631,0,ROUND(IF(E32&lt;=0.003,1,IF(E32&lt;=0.006,E32*'Reference Standards'!$AG$500+'Reference Standards'!$AG$501,IF(E32&gt;=0.17,E32*'Reference Standards'!$AD$500+'Reference Standards'!$AD$501,E32*'Reference Standards'!$AF$500+'Reference Standards'!$AF$501))),2)),IF('Quantification Tool R4'!$B$12="71e",IF(E32&gt;1.23,0,ROUND(IF(E32&lt;=0.004,1,IF(E32&lt;=0.006,E32*'Reference Standards'!$AF$538+'Reference Standards'!$AF$539,E32^2*'Reference Standards'!$AB$537+E32*'Reference Standards'!$AB$538+'Reference Standards'!$AB$539)),2)),IF('Quantification Tool R4'!$B$12="67g",IF(E32&gt;0.11,0,ROUND(IF(E32&lt;=0.006,1,IF(E32&lt;=0.011,E32*'Reference Standards'!$AG$538+'Reference Standards'!$AG$539,E32^2*'Reference Standards'!$AC$537+E32*'Reference Standards'!$AC$538+'Reference Standards'!$AC$539)),2)),IF('Quantification Tool R4'!$B$12="65j",IF(E32&gt;0.046,0,ROUND(IF(E32&lt;=0.007,1,IF(E32&lt;=0.012,E32*'Reference Standards'!$AH$538+'Reference Standards'!$AH$539,E32^2*'Reference Standards'!$AD$537+E32*'Reference Standards'!$AD$538+'Reference Standards'!$AD$539)),2)),IF('Quantification Tool R4'!$B$12="66f",IF(E32&gt;0.081,0,ROUND(IF(E32&lt;=0.008,1,IF(E32&lt;=0.011,E32*'Reference Standards'!$AI$538+'Reference Standards'!$AI$539,E32^2*'Reference Standards'!$AE$537+E32*'Reference Standards'!$AE$538+'Reference Standards'!$AE$539)),2)),IF(OR('Quantification Tool R4'!$B$12="71h",'Quantification Tool R4'!$B$12="71i"),IF(E32&gt;0.37,0,ROUND(IF(E32&lt;=0.013,1,IF(E32&lt;=0.032,E32*'Reference Standards'!$AH$576+'Reference Standards'!$AH$577,IF(E32&lt;=0.3,E32*'Reference Standards'!$AF$576+'Reference Standards'!$AF$577,E32*'Reference Standards'!$AB$576+'Reference Standards'!$AB$577))),2)),IF('Quantification Tool R4'!$B$12="73a",IF(E32&gt;0.448,0,ROUND(IF(E32&lt;=0.071,1,IF(E32&lt;=0.086,E32*'Reference Standards'!$AJ$576+'Reference Standards'!$AJ$577,IF(E32&lt;=0.165,E32*'Reference Standards'!$AG$576+'Reference Standards'!$AG$577,E32*'Reference Standards'!$AE$576+'Reference Standards'!$AE$577))),2)),IF('Quantification Tool R4'!$B$12="74b",IF(E32&gt;0.43,0,ROUND(IF(E32&lt;=0.018,1,IF(E32&lt;=0.019,0.85,IF(E32&lt;=0.02,0.7,E32^2*'Reference Standards'!$AC$575+E32*'Reference Standards'!$AC$576+'Reference Standards'!$AC$577))),2)),IF('Quantification Tool R4'!$B$12="74a",IF(E32&gt;0.217,0,ROUND(IF(E32&lt;=0.02,1,IF(E32&lt;=0.033,E32*'Reference Standards'!$AI$576+'Reference Standards'!$AI$577,E32^2*'Reference Standards'!$AD$575+E32*'Reference Standards'!$AD$576+'Reference Standards'!$AD$577)),2)))))))))))))))))))))</f>
        <v/>
      </c>
      <c r="G32" s="87" t="str">
        <f>IFERROR(AVERAGE(F32),"")</f>
        <v/>
      </c>
      <c r="H32" s="549"/>
      <c r="I32" s="536"/>
      <c r="J32" s="559"/>
      <c r="K32" s="555"/>
      <c r="L32" s="21"/>
      <c r="O32" s="19"/>
    </row>
    <row r="33" spans="1:15" ht="15.6" x14ac:dyDescent="0.3">
      <c r="A33" s="550" t="s">
        <v>59</v>
      </c>
      <c r="B33" s="560" t="s">
        <v>340</v>
      </c>
      <c r="C33" s="125" t="s">
        <v>331</v>
      </c>
      <c r="D33" s="126"/>
      <c r="E33" s="166"/>
      <c r="F33" s="345" t="str">
        <f>IF(E33="","",IF(OR('Quantification Tool R4'!B$12="73a",'Quantification Tool R4'!B$12="73b"),IF(E33&lt;1,0,IF(E33&gt;=30,1,ROUND(IF(E33&lt;22,'Reference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531" t="str">
        <f>IFERROR(AVERAGE(F33:F36),"")</f>
        <v/>
      </c>
      <c r="H33" s="568" t="str">
        <f>IFERROR(ROUND(AVERAGE(G33:G38),2),"")</f>
        <v/>
      </c>
      <c r="I33" s="519" t="str">
        <f>IF(H33="","",IF(H33&gt;0.69,"Functioning",IF(H33&gt;0.29,"Functioning At Risk",IF(H33&gt;-1,"Not Functioning"))))</f>
        <v/>
      </c>
      <c r="J33" s="559"/>
      <c r="K33" s="555"/>
      <c r="L33" s="21"/>
      <c r="O33" s="19"/>
    </row>
    <row r="34" spans="1:15" ht="15.6" x14ac:dyDescent="0.3">
      <c r="A34" s="556"/>
      <c r="B34" s="561"/>
      <c r="C34" s="174" t="s">
        <v>335</v>
      </c>
      <c r="D34" s="175"/>
      <c r="E34" s="165"/>
      <c r="F34" s="346" t="str">
        <f>IF(E34="","",IF(AND('Quantification Tool R4'!$B$12="74b",'Quantification Tool R4'!$B$13&lt;=2),IF(E34&lt;0,0,IF(E34&gt;15.6,0.69,ROUND('Reference Standards'!$AL$54*E34^2+'Reference Standards'!$AL$55*E34+'Reference Standards'!$AL$56,2))),IF(AND('Quantification Tool R4'!$B$12="65abei",'Quantification Tool R4'!$B$13&lt;=2),IF(E34&lt;0,0,IF(E34&gt;=20,0.69,ROUND('Reference Standards'!$AM$54*E34^2+'Reference Standards'!$AM$55*E34+'Reference Standards'!$AM$56,2))),IF(OR(AND('Quantification Tool R4'!$B$12="74a",'Quantification Tool R4'!$B$13&gt;2,'Quantification Tool R4'!$B$19="January - June"),AND('Quantification Tool R4'!$B$12="71i",'Quantification Tool R4'!$B$13&gt;2,'Quantification Tool R4'!$B$20="SQBANK")),IF(E34&lt;0,0,IF(E34&gt;24.7,0.69,ROUND('Reference Standards'!$AN$54*E34^2+'Reference Standards'!$AN$55*E34+'Reference Standards'!$AN$56,2))),IF(OR('Quantification Tool R4'!$B$12="74b",'Quantification Tool R4'!$B$12="65abei"),IF(E34&lt;0,0,IF(E34&gt;32.7,0.69,ROUND('Reference Standards'!$AO$54*E34^2+'Reference Standards'!$AO$55*E34+'Reference Standards'!$AO$56,2))),IF(AND('Quantification Tool R4'!$B$12="68b",'Quantification Tool R4'!$B$13&gt;2),IF(E34&lt;0,0,IF(E34&gt;41.2,0.69,ROUND('Reference Standards'!$AP$54*E34^2+'Reference Standards'!$AP$55*E34+'Reference Standards'!$AP$56,2))),IF(OR(AND('Quantification Tool R4'!$B$12="71i",'Quantification Tool R4'!$B$13&lt;=2),AND(OR('Quantification Tool R4'!$B$12="68c",'Quantification Tool R4'!$B$12="68d"),'Quantification Tool R4'!$B$19="January - June")),IF(E34&lt;0,0,IF(E34&gt;49.2,0.69,ROUND('Reference Standards'!$AL$94*E34^2+'Reference Standards'!$AL$95*E34+'Reference Standards'!$AL$96,2))),IF(OR(AND('Quantification Tool R4'!$B$12="68a",'Quantification Tool R4'!$B$19="January - June"),AND(OR('Quantification Tool R4'!$B$12="68c",'Quantification Tool R4'!$B$12="68d"),'Quantification Tool R4'!$B$19="July - December")),IF(E34&lt;0,0,IF(E34&gt;53.4,0.69,ROUND('Reference Standards'!$AM$94*E34^2+'Reference Standards'!$AM$95*E34+'Reference Standards'!$AM$96,2))),IF(OR(AND('Quantification Tool R4'!$B$12="71i",'Quantification Tool R4'!$B$13&gt;2,'Quantification Tool R4'!$B$20="SQKICK"),AND(OR('Quantification Tool R4'!$B$12="67fhi",'Quantification Tool R4'!$B$12="67g"),'Quantification Tool R4'!$B$13&lt;=2),'Quantification Tool R4'!$B$12="65j"),IF(E34&lt;0,0,IF(E34&gt;57.8,0.69,ROUND('Reference Standards'!$AN$94*E34^2+'Reference Standards'!$AN$95*E34+'Reference Standards'!$AN$96,2))),IF(OR(AND('Quantification Tool R4'!$B$12="74a",'Quantification Tool R4'!$B$13&gt;2,'Quantification Tool R4'!$B$19="July - December"),AND(OR('Quantification Tool R4'!$B$12="67fhi",'Quantification Tool R4'!$B$12="67g"),'Quantification Tool R4'!$B$13&gt;2),'Quantification Tool R4'!$B$12="69de"),IF(E34&lt;0,0,IF(E34&gt;62.5,0.69,ROUND('Reference Standards'!$AO$94*E34^2+'Reference Standards'!$AO$95*E34+'Reference Standards'!$AO$96,2))),  IF(OR('Quantification Tool R4'!$B$12="66d",'Quantification Tool R4'!$B$12="66e",'Quantification Tool R4'!$B$12="66ik",'Quantification Tool R4'!$B$12="71e",'Quantification Tool R4'!$B$12="71f",'Quantification Tool R4'!$B$12="71g",'Quantification Tool R4'!$B$12="71h"),IF(E34&lt;0,0,IF(E34&gt;66.5,0.69,ROUND('Reference Standards'!$AP$94*E34^2+'Reference Standards'!$AP$95*E34+'Reference Standards'!$AP$96,2))),IF(OR('Quantification Tool R4'!$B$12="66f",'Quantification Tool R4'!$B$12="66g",'Quantification Tool R4'!$B$12="66j",AND('Quantification Tool R4'!$B$12="68a",'Quantification Tool R4'!$B$19="July - December")), IF(E34&lt;0,0,IF(E34&gt;69,0.69,ROUND('Reference Standards'!$AQ$94*E34^2+'Reference Standards'!$AQ$95*E34+'Reference Standards'!$AQ$96,2))))   )))))))))))</f>
        <v/>
      </c>
      <c r="G34" s="531"/>
      <c r="H34" s="568"/>
      <c r="I34" s="519"/>
      <c r="J34" s="559"/>
      <c r="K34" s="555"/>
      <c r="L34" s="21"/>
      <c r="O34" s="19"/>
    </row>
    <row r="35" spans="1:15" ht="15.6" x14ac:dyDescent="0.3">
      <c r="A35" s="556"/>
      <c r="B35" s="561"/>
      <c r="C35" s="174" t="s">
        <v>339</v>
      </c>
      <c r="D35" s="175"/>
      <c r="E35" s="165"/>
      <c r="F35" s="346" t="str">
        <f>IF(E35="","",IF(AND('Quantification Tool R4'!$B$12="74b",'Quantification Tool R4'!$B$13&lt;=2),IF(E35&lt;0,0,IF(E35&gt;8.1,0.69,ROUND('Reference Standards'!$AL$131*E35^2+'Reference Standards'!$AL$132*E35+'Reference Standards'!$AL$133,2))),IF(OR('Quantification Tool R4'!$B$12="73a",'Quantification Tool R4'!$B$12="73b"),IF(E35&lt;0,0,IF(E35&gt;=28,0.69,ROUND('Reference Standards'!$AM$131*E35^2+'Reference Standards'!$AM$132*E35+'Reference Standards'!$AM$133,2))),IF(AND('Quantification Tool R4'!$B$12="74a",'Quantification Tool R4'!$B$13&gt;2,'Quantification Tool R4'!$B$19="January - June"),IF(E35&lt;0,0,IF(E35&gt;=32.5,0.69,ROUND('Reference Standards'!$AN$131*E35^2+'Reference Standards'!$AN$132*E35+'Reference Standards'!$AN$133,2))),IF(AND('Quantification Tool R4'!$B$12="71i",'Quantification Tool R4'!$B$13&gt;2,'Quantification Tool R4'!$B$20="SQBANK"),IF(E35&lt;0,0,IF(E35&gt;=37,0.69,ROUND('Reference Standards'!$AO$131*E35^2+'Reference Standards'!$AO$132*E35+'Reference Standards'!$AO$133,2))),IF(OR(AND(OR('Quantification Tool R4'!$B$12="65abei",'Quantification Tool R4'!$B$12="74b"),'Quantification Tool R4'!$B$13&gt;2),AND('Quantification Tool R4'!$B$12="71i",'Quantification Tool R4'!$B$13&gt;2,'Quantification Tool R4'!$B$20="SQKICK")),IF(E35&lt;0,0,IF(E35&gt;42.6,0.69,ROUND('Reference Standards'!$AP$131*E35^2+'Reference Standards'!$AP$132*E35+'Reference Standards'!$AP$133,2))),     IF(OR(AND('Quantification Tool R4'!$B$12="65abei",'Quantification Tool R4'!$B$13&lt;=2),AND(OR('Quantification Tool R4'!$B$12="68c",'Quantification Tool R4'!$B$12="68d"),'Quantification Tool R4'!$B$19="July - December"),'Quantification Tool R4'!$B$12="71e"),IF(E35&lt;0,0,IF(E35&gt;=48,0.69,ROUND('Reference Standards'!$AL$171*E35^2+'Reference Standards'!$AL$172*E35+'Reference Standards'!$AL$173,2))),IF(OR('Quantification Tool R4'!$B$12="65j",'Quantification Tool R4'!$B$12="67fhi",'Quantification Tool R4'!$B$12="67g",AND('Quantification Tool R4'!$B$12="74a",'Quantification Tool R4'!$B$19="July - December",'Quantification Tool R4'!$B$13&gt;2),AND('Quantification Tool R4'!$B$12="71i",'Quantification Tool R4'!$B$13&lt;=2)),IF(E35&lt;0,0,IF(E35&gt;=53,0.69,ROUND('Reference Standards'!$AM$171*E35^2+'Reference Standards'!$AM$172*E35+'Reference Standards'!$AM$173,2))),IF(OR(AND(OR('Quantification Tool R4'!$B$12="68b",'Quantification Tool R4'!$B$12="71f",'Quantification Tool R4'!$B$12="71g",'Quantification Tool R4'!$B$12="71h"),'Quantification Tool R4'!$B$13&gt;2),'Quantification Tool R4'!$B$12="68a"),IF(E35&lt;0,0,IF(E35&gt;=57,0.69,ROUND('Reference Standards'!$AN$171*E35^2+'Reference Standards'!$AN$172*E35+'Reference Standards'!$AN$173,2))),IF(OR('Quantification Tool R4'!$B$12="66f",'Quantification Tool R4'!$B$12="66g",'Quantification Tool R4'!$B$12="66j",AND(OR('Quantification Tool R4'!$B$12="71f",'Quantification Tool R4'!$B$12="71g",'Quantification Tool R4'!$B$12="71h"),'Quantification Tool R4'!$B$13&lt;=2)),IF(E35&lt;0,0,IF(E35&gt;=60,0.69,ROUND('Reference Standards'!$AO$171*E35^2+'Reference Standards'!$AO$172*E35+'Reference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December")),IF(E35&lt;0,0,IF(E35&gt;=67.5,0.69,ROUND('Reference Standards'!$AP$171*E35^2+'Reference Standards'!$AP$172*E35+'Reference Standards'!$AP$173,2))),IF(AND('Quantification Tool R4'!$B$12="69de",'Quantification Tool R4'!$B$19="January - June"), IF(E35&lt;0,0,IF(E35&gt;=72,0.69,ROUND('Reference Standards'!$AQ$171*E35^2+'Reference Standards'!$AQ$172*E35+'Reference Standards'!$AQ$173,2))))   )))))))))))</f>
        <v/>
      </c>
      <c r="G35" s="531"/>
      <c r="H35" s="568"/>
      <c r="I35" s="519"/>
      <c r="J35" s="559"/>
      <c r="K35" s="555"/>
      <c r="L35" s="21"/>
      <c r="O35" s="19"/>
    </row>
    <row r="36" spans="1:15" ht="15.6" x14ac:dyDescent="0.3">
      <c r="A36" s="556"/>
      <c r="B36" s="562"/>
      <c r="C36" s="127" t="s">
        <v>336</v>
      </c>
      <c r="D36" s="71"/>
      <c r="E36" s="167"/>
      <c r="F36" s="346" t="str">
        <f>IF(E36="","",IF(OR('Quantification Tool R4'!$B$12="67fhi",'Quantification Tool R4'!$B$12="67g",'Quantification Tool R4'!$B$12="71e",'Quantification Tool R4'!$B$12="73a",'Quantification Tool R4'!$B$12="73b",AND(OR('Quantification Tool R4'!$B$12="71f",'Quantification Tool R4'!$B$12="71g",'Quantification Tool R4'!$B$12="71h"),'Quantification Tool R4'!$B$13&gt;2)),IF(E36&gt;100,0,IF(E36&lt;15,0.69,ROUND('Reference Standards'!$AL$208*E36^2+'Reference Standards'!$AL$209*E36+'Reference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),IF(E36&gt;100,0,IF(E36&lt;19,0.69,ROUND('Reference Standards'!$AM$208*E36^2+'Reference Standards'!$AM$209*E36+'Reference Standards'!$AM$210,2))),    IF(OR(AND('Quantification Tool R4'!$B$12="69de",'Quantification Tool R4'!$B$19="January - June"),AND('Quantification Tool R4'!$B$12="71i",'Quantification Tool R4'!$B$13&gt;2,'Quantification Tool R4'!$B$20="SQKICK" )),IF(E36&gt;100,0,IF(E36&lt;22,0.69,ROUND('Reference Standards'!$AN$208*E36^2+'Reference Standards'!$AN$209*E36+'Reference Standards'!$AN$210,2))),    IF(OR('Quantification Tool R4'!$B$12="65j",AND('Quantification Tool R4'!$B$12="68b",'Quantification Tool R4'!$B$13&gt;2)),IF(E36&gt;100,0,IF(E36&lt;24,0.69,ROUND('Reference Standards'!$AO$208*E36^2+'Reference Standards'!$AO$209*E36+'Reference Standards'!$AO$210,2))),    IF(AND(OR('Quantification Tool R4'!$B$12="65abei",'Quantification Tool R4'!$B$12="71f",'Quantification Tool R4'!$B$12="71g",'Quantification Tool R4'!$B$12="71h"),'Quantification Tool R4'!$B$13&lt;=2),IF(E36&gt;95,0,IF(E36&lt;33,0.69,ROUND('Reference Standards'!$AL$246*E36^2+'Reference Standards'!$AL$247*E36+'Reference Standards'!$AL$248,2))),   IF(AND(OR('Quantification Tool R4'!$B$12="65abei",'Quantification Tool R4'!$B$12="74b"),'Quantification Tool R4'!$B$13&gt;2),IF(E36&gt;97,0,IF(E36&lt;36,0.69,ROUND('Reference Standards'!$AM$246*E36^2+'Reference Standards'!$AM$247*E36+'Reference Standards'!$AM$248,2))),  IF(AND('Quantification Tool R4'!$B$12="74a",'Quantification Tool R4'!$B$19="January - June",'Quantification Tool R4'!$B$13&gt;2),IF(E36&gt;93,0,IF(E36&lt;52,0.69,ROUND('Reference Standards'!$AN$246*E36^2+'Reference Standards'!$AN$247*E36+'Reference Standards'!$AN$248,2))),   IF(AND('Quantification Tool R4'!$B$12="74b",'Quantification Tool R4'!$B$13&lt;=2),IF(E36&gt;97,0,IF(E36&lt;62,0.69,ROUND('Reference Standards'!$AO$246*E36^2+'Reference Standards'!$AO$247*E36+'Reference Standards'!$AO$248,2)))  )))))))))</f>
        <v/>
      </c>
      <c r="G36" s="531"/>
      <c r="H36" s="568"/>
      <c r="I36" s="519"/>
      <c r="J36" s="559"/>
      <c r="K36" s="555"/>
      <c r="L36" s="21"/>
      <c r="O36" s="19"/>
    </row>
    <row r="37" spans="1:15" ht="15.6" x14ac:dyDescent="0.3">
      <c r="A37" s="556"/>
      <c r="B37" s="563" t="s">
        <v>74</v>
      </c>
      <c r="C37" s="125" t="s">
        <v>211</v>
      </c>
      <c r="D37" s="126"/>
      <c r="E37" s="166"/>
      <c r="F37" s="345" t="str">
        <f>IF(E37="","",IF(E37=1,0.15,IF(E37=3,0.5,IF(E37=5,0.85,0))))</f>
        <v/>
      </c>
      <c r="G37" s="564" t="str">
        <f>IFERROR(AVERAGE(F37:F38),"")</f>
        <v/>
      </c>
      <c r="H37" s="568"/>
      <c r="I37" s="519"/>
      <c r="J37" s="559"/>
      <c r="K37" s="555"/>
      <c r="L37" s="21"/>
    </row>
    <row r="38" spans="1:15" ht="15.6" x14ac:dyDescent="0.3">
      <c r="A38" s="551"/>
      <c r="B38" s="563"/>
      <c r="C38" s="127" t="s">
        <v>332</v>
      </c>
      <c r="D38" s="71"/>
      <c r="E38" s="167"/>
      <c r="F38" s="347" t="str">
        <f>IF(E38="","",IF(E38=1,0.15,IF(E38=3,0.5,IF(E38=5,0.85,0))))</f>
        <v/>
      </c>
      <c r="G38" s="565"/>
      <c r="H38" s="568"/>
      <c r="I38" s="519"/>
      <c r="J38" s="559"/>
      <c r="K38" s="555"/>
      <c r="L38" s="21"/>
    </row>
    <row r="39" spans="1:15" x14ac:dyDescent="0.3">
      <c r="J39" s="13"/>
      <c r="K39" s="317"/>
      <c r="L39" s="21"/>
    </row>
    <row r="40" spans="1:15" ht="21" x14ac:dyDescent="0.4">
      <c r="A40" s="148" t="s">
        <v>135</v>
      </c>
      <c r="B40" s="246"/>
      <c r="C40" s="249" t="s">
        <v>324</v>
      </c>
      <c r="D40" s="246"/>
      <c r="E40" s="247"/>
      <c r="F40" s="248"/>
      <c r="G40" s="544" t="s">
        <v>18</v>
      </c>
      <c r="H40" s="545"/>
      <c r="I40" s="545"/>
      <c r="J40" s="545"/>
      <c r="K40" s="546"/>
      <c r="L40" s="21"/>
    </row>
    <row r="41" spans="1:15" ht="15.6" x14ac:dyDescent="0.3">
      <c r="A41" s="158" t="s">
        <v>1</v>
      </c>
      <c r="B41" s="158" t="s">
        <v>2</v>
      </c>
      <c r="C41" s="542" t="s">
        <v>3</v>
      </c>
      <c r="D41" s="644"/>
      <c r="E41" s="158" t="s">
        <v>15</v>
      </c>
      <c r="F41" s="158" t="s">
        <v>16</v>
      </c>
      <c r="G41" s="158" t="s">
        <v>19</v>
      </c>
      <c r="H41" s="158" t="s">
        <v>20</v>
      </c>
      <c r="I41" s="314" t="s">
        <v>20</v>
      </c>
      <c r="J41" s="158" t="s">
        <v>21</v>
      </c>
      <c r="K41" s="158" t="s">
        <v>21</v>
      </c>
    </row>
    <row r="42" spans="1:15" ht="15.6" x14ac:dyDescent="0.3">
      <c r="A42" s="540" t="s">
        <v>60</v>
      </c>
      <c r="B42" s="299" t="s">
        <v>86</v>
      </c>
      <c r="C42" s="52" t="s">
        <v>388</v>
      </c>
      <c r="D42" s="52"/>
      <c r="E42" s="162"/>
      <c r="F42" s="338" t="str">
        <f>IF(E42="","",IF(E42&lt;=0,0,IF(E42&gt;=0.95,1,ROUND('Reference Standards'!C$14*E42+'Reference Standards'!C$15,2))))</f>
        <v/>
      </c>
      <c r="G42" s="83" t="str">
        <f>IFERROR(AVERAGE(F42),"")</f>
        <v/>
      </c>
      <c r="H42" s="522" t="str">
        <f>IFERROR(ROUND(AVERAGE(G42:G43),2),"")</f>
        <v/>
      </c>
      <c r="I42" s="519" t="str">
        <f>IF(H42="","",IF(H42&gt;0.69,"Functioning",IF(H42&gt;0.29,"Functioning At Risk",IF(H42&gt;-1,"Not Functioning"))))</f>
        <v/>
      </c>
      <c r="J42" s="559" t="str">
        <f>IF(AND(H42="",H44="",H46="",H68="",H72=""),"",ROUND((IF(H42="",0,H42)*0.2)+(IF(H44="",0,H44)*0.2)+(IF(H46="",0,H46)*0.2)+(IF(H68="",0,H68)*0.2)+(IF(H72="",0,H72)*0.2),2))</f>
        <v/>
      </c>
      <c r="K42" s="555" t="str">
        <f>IF(J42="","",IF(J42&lt;0.3, "Not Functioning",IF(OR(H42&lt;0.7,H44&lt;0.7,H46&lt;0.7,H68&lt;0.7,H72&lt;0.7),"Functioning At Risk",IF(J42&lt;0.7,"Functioning At Risk","Functioning"))))</f>
        <v/>
      </c>
    </row>
    <row r="43" spans="1:15" ht="15.6" x14ac:dyDescent="0.3">
      <c r="A43" s="541"/>
      <c r="B43" s="371" t="s">
        <v>128</v>
      </c>
      <c r="C43" s="373" t="s">
        <v>161</v>
      </c>
      <c r="D43" s="374"/>
      <c r="E43" s="43"/>
      <c r="F43" s="372" t="str">
        <f>IF(E43="","",IF(E43&gt;=1,1,IF(E43&lt;=0,0,ROUND(E43,2))))</f>
        <v/>
      </c>
      <c r="G43" s="367" t="str">
        <f>IFERROR(AVERAGE(F43:F43),"")</f>
        <v/>
      </c>
      <c r="H43" s="523"/>
      <c r="I43" s="519"/>
      <c r="J43" s="559"/>
      <c r="K43" s="555"/>
    </row>
    <row r="44" spans="1:15" ht="15.6" x14ac:dyDescent="0.3">
      <c r="A44" s="524" t="s">
        <v>6</v>
      </c>
      <c r="B44" s="572" t="s">
        <v>7</v>
      </c>
      <c r="C44" s="54" t="s">
        <v>8</v>
      </c>
      <c r="D44" s="54"/>
      <c r="E44" s="162"/>
      <c r="F44" s="339" t="str">
        <f>IF(E44="","",ROUND(IF(E44&gt;1.6,0,IF(E44&lt;=1,1,E44^2*'Reference Standards'!K$14+E44*'Reference Standards'!K$15+'Reference Standards'!K$16)),2))</f>
        <v/>
      </c>
      <c r="G44" s="579" t="str">
        <f>IFERROR(AVERAGE(F44:F45),"")</f>
        <v/>
      </c>
      <c r="H44" s="579" t="str">
        <f>IFERROR(ROUND(AVERAGE(G44),2),"")</f>
        <v/>
      </c>
      <c r="I44" s="569" t="str">
        <f>IF(H44="","",IF(H44&gt;0.69,"Functioning",IF(H44&gt;0.29,"Functioning At Risk",IF(H44&gt;-1,"Not Functioning"))))</f>
        <v/>
      </c>
      <c r="J44" s="559"/>
      <c r="K44" s="555"/>
    </row>
    <row r="45" spans="1:15" ht="15.6" x14ac:dyDescent="0.3">
      <c r="A45" s="525"/>
      <c r="B45" s="572"/>
      <c r="C45" s="54" t="s">
        <v>9</v>
      </c>
      <c r="D45" s="54"/>
      <c r="E45" s="163"/>
      <c r="F45" s="339" t="str">
        <f>IF(E45="","",(IF(OR('Quantification Tool R4'!B$11="A",'Quantification Tool R4'!B$11="B",'Quantification Tool R4'!$B$11="Bc"),IF(E45&lt;1.2,0,IF(E45&gt;=2.2,1,ROUND(IF(E45&lt;1.4,E45*'Reference Standards'!$K$84+'Reference Standards'!$K$85,E45*'Reference Standards'!$L$84+'Reference Standards'!$L$85),2))),IF(OR('Quantification Tool R4'!B$11="C",'Quantification Tool R4'!B$11="E"),IF(E45&lt;2,0,IF(E45&gt;=5,1,ROUND(IF(E45&lt;2.4,E45*'Reference Standards'!$L$49+'Reference Standards'!$L$50,E45*'Reference Standards'!$K$49+'Reference Standards'!$K$50),2)))))))</f>
        <v/>
      </c>
      <c r="G45" s="581"/>
      <c r="H45" s="580"/>
      <c r="I45" s="570"/>
      <c r="J45" s="559"/>
      <c r="K45" s="555"/>
    </row>
    <row r="46" spans="1:15" ht="15.6" x14ac:dyDescent="0.3">
      <c r="A46" s="526" t="s">
        <v>26</v>
      </c>
      <c r="B46" s="557" t="s">
        <v>27</v>
      </c>
      <c r="C46" s="60" t="s">
        <v>333</v>
      </c>
      <c r="D46" s="244"/>
      <c r="E46" s="61"/>
      <c r="F46" s="340" t="str">
        <f>IF(E46="","",IF(OR(LEFT('Quantification Tool R4'!$B$12,2)="65",LEFT('Quantification Tool R4'!$B$12,2)="66",LEFT('Quantification Tool R4'!$B$12,2)="71"),IF(E46&gt;=850,1,IF(E46&lt;250,ROUND('Reference Standards'!$S$17*(E46)+'Reference Standards'!$S$18,2),ROUND('Reference Standards'!$T$17*E46+'Reference Standards'!$T$18,2))),  IF(E46&gt;=345,1,IF(E46&lt;=180,ROUND('Reference Standards'!$U$17*(E46)+'Reference Standards'!$U$18,2),ROUND('Reference Standards'!$V$17*E46+'Reference Standards'!$V$18,2))))    )</f>
        <v/>
      </c>
      <c r="G46" s="528" t="str">
        <f>IFERROR(AVERAGE(F46:F47),"")</f>
        <v/>
      </c>
      <c r="H46" s="566" t="str">
        <f>IFERROR(ROUND(AVERAGE(G46:G67),2),"")</f>
        <v/>
      </c>
      <c r="I46" s="555" t="str">
        <f>IF(H46="","",IF(H46&gt;0.69,"Functioning",IF(H46&gt;0.29,"Functioning At Risk",IF(H46&gt;-1,"Not Functioning"))))</f>
        <v/>
      </c>
      <c r="J46" s="559"/>
      <c r="K46" s="555"/>
    </row>
    <row r="47" spans="1:15" ht="15.6" x14ac:dyDescent="0.3">
      <c r="A47" s="520"/>
      <c r="B47" s="558"/>
      <c r="C47" s="63" t="s">
        <v>323</v>
      </c>
      <c r="D47" s="245"/>
      <c r="E47" s="53"/>
      <c r="F47" s="341" t="str">
        <f>IF(E47="","",IF(OR(LEFT('Quantification Tool R4'!$B$12,2)="65",LEFT('Quantification Tool R4'!$B$12,2)="66",LEFT('Quantification Tool R4'!$B$12,2)="71"),IF(E47&gt;=30,1,IF(E47&lt;13,ROUND('Reference Standards'!$S$53*(E47)+'Reference Standards'!$S$54,2),ROUND('Reference Standards'!$T$53*E47+'Reference Standards'!$T$54,2))),  IF(E47&gt;=16,1,IF(E47&lt;=9,ROUND('Reference Standards'!$U$53*(E47)+'Reference Standards'!$U$54,2),ROUND('Reference Standards'!$V$53*E47+'Reference Standards'!$V$54,2))))    )</f>
        <v/>
      </c>
      <c r="G47" s="530"/>
      <c r="H47" s="566"/>
      <c r="I47" s="555"/>
      <c r="J47" s="559"/>
      <c r="K47" s="555"/>
    </row>
    <row r="48" spans="1:15" ht="15.6" x14ac:dyDescent="0.3">
      <c r="A48" s="520"/>
      <c r="B48" s="520" t="s">
        <v>395</v>
      </c>
      <c r="C48" s="58" t="s">
        <v>80</v>
      </c>
      <c r="D48" s="58"/>
      <c r="E48" s="165"/>
      <c r="F48" s="340" t="str">
        <f>IF(E48="","",ROUND(IF(E48&gt;0.7,0,IF(E48&lt;=0.1,1,E48^3*'Reference Standards'!S$87+E48^2*'Reference Standards'!S$88+E48*'Reference Standards'!S$89+'Reference Standards'!S$90)),2))</f>
        <v/>
      </c>
      <c r="G48" s="528" t="str">
        <f>IFERROR(ROUND(AVERAGE(F48:F51),2),"")</f>
        <v/>
      </c>
      <c r="H48" s="567"/>
      <c r="I48" s="555"/>
      <c r="J48" s="559"/>
      <c r="K48" s="555"/>
    </row>
    <row r="49" spans="1:13" ht="15.6" x14ac:dyDescent="0.3">
      <c r="A49" s="520"/>
      <c r="B49" s="520"/>
      <c r="C49" s="58" t="s">
        <v>49</v>
      </c>
      <c r="D49" s="58"/>
      <c r="E49" s="165"/>
      <c r="F49" s="84" t="str">
        <f>IF(E49="","",IF(OR(E49="Ex/Ex",E49="Ex/VH"),0, IF(OR(E49="Ex/H",E49="VH/Ex",E49="VH/VH", E49="H/Ex",E49="H/VH",E49="M/Ex"),0.1,IF(OR(E49="Ex/M",E49="VH/H",E49="H/H", E49="M/VH"),0.2, IF(OR(E49="Ex/L",E49="VH/M",E49="H/M", E49="M/H",E49="L/Ex"),0.3, IF(OR(E49="Ex/VL",E49="VH/L",E49="H/L"),0.4, IF(OR(E49="VH/VL",E49="H/VL",E49="M/M", E49="L/VH"),0.5, IF(OR(E49="M/L",E49="L/H"),0.6, IF(OR(E49="M/VL",E49="L/M"),0.7, IF(OR(E49="L/L",E49="L/VL"),1))))))))))</f>
        <v/>
      </c>
      <c r="G49" s="529"/>
      <c r="H49" s="567"/>
      <c r="I49" s="555"/>
      <c r="J49" s="559"/>
      <c r="K49" s="555"/>
    </row>
    <row r="50" spans="1:13" ht="15.6" x14ac:dyDescent="0.3">
      <c r="A50" s="520"/>
      <c r="B50" s="520"/>
      <c r="C50" s="58" t="s">
        <v>87</v>
      </c>
      <c r="D50" s="58"/>
      <c r="E50" s="165"/>
      <c r="F50" s="84" t="str">
        <f>IF(E50="","",ROUND(IF(E50&gt;40,0,IF(E50&lt;5,1,E50^3*'Reference Standards'!S$122+E50^2*'Reference Standards'!S$123+E50*'Reference Standards'!S$124+'Reference Standards'!S$125)),2))</f>
        <v/>
      </c>
      <c r="G50" s="529"/>
      <c r="H50" s="567"/>
      <c r="I50" s="555"/>
      <c r="J50" s="559"/>
      <c r="K50" s="555"/>
    </row>
    <row r="51" spans="1:13" ht="15.6" x14ac:dyDescent="0.3">
      <c r="A51" s="520"/>
      <c r="B51" s="521"/>
      <c r="C51" s="59" t="s">
        <v>394</v>
      </c>
      <c r="D51" s="59"/>
      <c r="E51" s="167"/>
      <c r="F51" s="341" t="str">
        <f>IF(E51="","",ROUND(IF(E51&gt;=30,0,IF(E51&lt;=0,1,E51*'Reference Standards'!S$156+'Reference Standards'!S$157)),2))</f>
        <v/>
      </c>
      <c r="G51" s="530"/>
      <c r="H51" s="567"/>
      <c r="I51" s="555"/>
      <c r="J51" s="559"/>
      <c r="K51" s="555"/>
    </row>
    <row r="52" spans="1:13" ht="15.6" x14ac:dyDescent="0.3">
      <c r="A52" s="520"/>
      <c r="B52" s="520" t="s">
        <v>50</v>
      </c>
      <c r="C52" s="60" t="s">
        <v>377</v>
      </c>
      <c r="D52" s="64"/>
      <c r="E52" s="136"/>
      <c r="F52" s="294" t="str">
        <f>IF(E52="","",ROUND(IF(E52&gt;9.2,1,E52*'Reference Standards'!$S$189+'Reference Standards'!$S$190),2))</f>
        <v/>
      </c>
      <c r="G52" s="552" t="str">
        <f>IFERROR(ROUND(AVERAGE(F52:F61),2),"")</f>
        <v/>
      </c>
      <c r="H52" s="567"/>
      <c r="I52" s="555"/>
      <c r="J52" s="559"/>
      <c r="K52" s="555"/>
    </row>
    <row r="53" spans="1:13" ht="15.6" x14ac:dyDescent="0.3">
      <c r="A53" s="520"/>
      <c r="B53" s="520"/>
      <c r="C53" s="62" t="s">
        <v>378</v>
      </c>
      <c r="D53" s="58"/>
      <c r="E53" s="162"/>
      <c r="F53" s="294" t="str">
        <f>IF(E53="","",ROUND(IF(E53&gt;9.2,1,E53*'Reference Standards'!$S$189+'Reference Standards'!$S$190),2))</f>
        <v/>
      </c>
      <c r="G53" s="553"/>
      <c r="H53" s="567"/>
      <c r="I53" s="555"/>
      <c r="J53" s="559"/>
      <c r="K53" s="555"/>
    </row>
    <row r="54" spans="1:13" ht="15.6" x14ac:dyDescent="0.3">
      <c r="A54" s="520"/>
      <c r="B54" s="520"/>
      <c r="C54" s="62" t="s">
        <v>379</v>
      </c>
      <c r="D54" s="58"/>
      <c r="E54" s="162"/>
      <c r="F54" s="294" t="str">
        <f>IF(E54="","",ROUND( IF(E54&gt;=200,1,IF(E54&lt;50, E54^2*'Reference Standards'!S$224+E54*'Reference Standards'!S$225+'Reference Standards'!S$226, E54*'Reference Standards'!T$224+'Reference Standards'!T$225)),2))</f>
        <v/>
      </c>
      <c r="G54" s="553"/>
      <c r="H54" s="567"/>
      <c r="I54" s="555"/>
      <c r="J54" s="559"/>
      <c r="K54" s="555"/>
    </row>
    <row r="55" spans="1:13" ht="15.6" x14ac:dyDescent="0.3">
      <c r="A55" s="520"/>
      <c r="B55" s="520"/>
      <c r="C55" s="62" t="s">
        <v>380</v>
      </c>
      <c r="D55" s="58"/>
      <c r="E55" s="162"/>
      <c r="F55" s="294" t="str">
        <f>IF(E55="","",ROUND( IF(E55&gt;=200,1,IF(E55&lt;50, E55^2*'Reference Standards'!S$224+E55*'Reference Standards'!S$225+'Reference Standards'!S$226, E55*'Reference Standards'!T$224+'Reference Standards'!T$225)),2))</f>
        <v/>
      </c>
      <c r="G55" s="553"/>
      <c r="H55" s="567"/>
      <c r="I55" s="555"/>
      <c r="J55" s="559"/>
      <c r="K55" s="555"/>
    </row>
    <row r="56" spans="1:13" ht="15.6" x14ac:dyDescent="0.3">
      <c r="A56" s="520"/>
      <c r="B56" s="520"/>
      <c r="C56" s="58" t="s">
        <v>381</v>
      </c>
      <c r="D56" s="58"/>
      <c r="E56" s="162"/>
      <c r="F56" s="294" t="str">
        <f>IF(E56="","",ROUND(IF(AND(E56&gt;=135,E56&lt;=262),1,IF(  E56&gt;=366,0.5, IF(E56&lt;135,E56*'Reference Standards'!S$259+'Reference Standards'!S$260, E56*'Reference Standards'!T$259+'Reference Standards'!T$260))),2))</f>
        <v/>
      </c>
      <c r="G56" s="553"/>
      <c r="H56" s="567"/>
      <c r="I56" s="555"/>
      <c r="J56" s="559"/>
      <c r="K56" s="555"/>
    </row>
    <row r="57" spans="1:13" ht="15.6" x14ac:dyDescent="0.3">
      <c r="A57" s="520"/>
      <c r="B57" s="520"/>
      <c r="C57" s="58" t="s">
        <v>382</v>
      </c>
      <c r="D57" s="58"/>
      <c r="E57" s="162"/>
      <c r="F57" s="294" t="str">
        <f>IF(E57="","",ROUND(IF(AND(E57&gt;=135,E57&lt;=262),1,IF(  E57&gt;=366,0.5, IF(E57&lt;135,E57*'Reference Standards'!S$259+'Reference Standards'!S$260, E57*'Reference Standards'!T$259+'Reference Standards'!T$260))),2))</f>
        <v/>
      </c>
      <c r="G57" s="553"/>
      <c r="H57" s="567"/>
      <c r="I57" s="555"/>
      <c r="J57" s="559"/>
      <c r="K57" s="555"/>
    </row>
    <row r="58" spans="1:13" ht="15.6" x14ac:dyDescent="0.3">
      <c r="A58" s="520"/>
      <c r="B58" s="520"/>
      <c r="C58" s="58" t="s">
        <v>383</v>
      </c>
      <c r="D58" s="58"/>
      <c r="E58" s="162"/>
      <c r="F58" s="84" t="str">
        <f>IF(E58="","",ROUND(IF(E58&gt;=75,1,IF(E58&lt;=0,0,E58*'Reference Standards'!S$330)),2))</f>
        <v/>
      </c>
      <c r="G58" s="553"/>
      <c r="H58" s="567"/>
      <c r="I58" s="555"/>
      <c r="J58" s="559"/>
      <c r="K58" s="555"/>
    </row>
    <row r="59" spans="1:13" ht="15.6" x14ac:dyDescent="0.3">
      <c r="A59" s="520"/>
      <c r="B59" s="520"/>
      <c r="C59" s="58" t="s">
        <v>384</v>
      </c>
      <c r="D59" s="58"/>
      <c r="E59" s="162"/>
      <c r="F59" s="84" t="str">
        <f>IF(E59="","",ROUND(IF(E59&gt;=75,1,IF(E59&lt;=0,0,E59*'Reference Standards'!S$330)),2))</f>
        <v/>
      </c>
      <c r="G59" s="553"/>
      <c r="H59" s="567"/>
      <c r="I59" s="555"/>
      <c r="J59" s="559"/>
      <c r="K59" s="555"/>
    </row>
    <row r="60" spans="1:13" ht="15.6" x14ac:dyDescent="0.3">
      <c r="A60" s="520"/>
      <c r="B60" s="520"/>
      <c r="C60" s="58" t="s">
        <v>385</v>
      </c>
      <c r="D60" s="58"/>
      <c r="E60" s="162"/>
      <c r="F60" s="294" t="str">
        <f>IF(E60="","",ROUND(IF(AND(E60&gt;=36.3,E60&lt;=68),1,IF(E60&gt;100,0,IF(E60&lt;36.3,(('Reference Standards'!S$297*(E60^2))+('Reference Standards'!S$298*E60)+'Reference Standards'!S$299),IF(E60&gt;68,(('Reference Standards'!T$297*(E60^2))+('Reference Standards'!T$298*E60)+'Reference Standards'!T$299))))),2))</f>
        <v/>
      </c>
      <c r="G60" s="553"/>
      <c r="H60" s="567"/>
      <c r="I60" s="555"/>
      <c r="J60" s="559"/>
      <c r="K60" s="555"/>
      <c r="M60" s="21"/>
    </row>
    <row r="61" spans="1:13" ht="15.6" x14ac:dyDescent="0.3">
      <c r="A61" s="520"/>
      <c r="B61" s="521"/>
      <c r="C61" s="58" t="s">
        <v>386</v>
      </c>
      <c r="D61" s="65"/>
      <c r="E61" s="162"/>
      <c r="F61" s="294" t="str">
        <f>IF(E61="","",ROUND(IF(AND(E61&gt;=36.3,E61&lt;=68),1,IF(E61&gt;100,0,IF(E61&lt;36.3,(('Reference Standards'!S$297*(E61^2))+('Reference Standards'!S$298*E61)+'Reference Standards'!S$299),IF(E61&gt;68,(('Reference Standards'!T$297*(E61^2))+('Reference Standards'!T$298*E61)+'Reference Standards'!T$299))))),2))</f>
        <v/>
      </c>
      <c r="G61" s="554"/>
      <c r="H61" s="567"/>
      <c r="I61" s="555"/>
      <c r="J61" s="559"/>
      <c r="K61" s="555"/>
    </row>
    <row r="62" spans="1:13" ht="15.6" x14ac:dyDescent="0.3">
      <c r="A62" s="520"/>
      <c r="B62" s="56" t="s">
        <v>108</v>
      </c>
      <c r="C62" s="72" t="s">
        <v>130</v>
      </c>
      <c r="D62" s="58"/>
      <c r="E62" s="43"/>
      <c r="F62" s="82" t="str">
        <f>IF(E62="","",IF(OR('Quantification Tool R4'!B$14="Gravel",'Quantification Tool R4'!B$14="Cobble"),IF(E62&gt;0.1,1,IF(E62&lt;=0.01,0,ROUND(E62*'Reference Standards'!$S$362+'Reference Standards'!$S$363,2)))))</f>
        <v/>
      </c>
      <c r="G62" s="82" t="str">
        <f>IFERROR(AVERAGE(F62),"")</f>
        <v/>
      </c>
      <c r="H62" s="567"/>
      <c r="I62" s="555"/>
      <c r="J62" s="559"/>
      <c r="K62" s="555"/>
    </row>
    <row r="63" spans="1:13" ht="15.6" x14ac:dyDescent="0.3">
      <c r="A63" s="520"/>
      <c r="B63" s="526" t="s">
        <v>51</v>
      </c>
      <c r="C63" s="64" t="s">
        <v>52</v>
      </c>
      <c r="D63" s="64"/>
      <c r="E63" s="166"/>
      <c r="F63" s="337" t="str">
        <f>IF(E63="","",IF(ISNUMBER('Quantification Tool R4'!$B$17),IF('Quantification Tool R4'!$B$17&lt;=2,IF(AND(E63&gt;=3,E63&lt;=5),1,IF(OR(E63&lt;=1,E63&gt;=7),0,ROUND(IF(E63&lt;3,E63*'Reference Standards'!S$398+'Reference Standards'!S$399,E63*'Reference Standards'!T$398+'Reference Standards'!T$399),2))),IF(E63&lt;=2.5,1,IF(E63&gt;=5.8,0,ROUND(E63*'Reference Standards'!S$430+'Reference Standards'!S$431,2))))))</f>
        <v/>
      </c>
      <c r="G63" s="528" t="str">
        <f>IFERROR(AVERAGE(F63:F66),"")</f>
        <v/>
      </c>
      <c r="H63" s="567"/>
      <c r="I63" s="555"/>
      <c r="J63" s="559"/>
      <c r="K63" s="555"/>
    </row>
    <row r="64" spans="1:13" ht="15.6" x14ac:dyDescent="0.3">
      <c r="A64" s="520"/>
      <c r="B64" s="520"/>
      <c r="C64" s="58" t="s">
        <v>53</v>
      </c>
      <c r="D64" s="58"/>
      <c r="E64" s="165"/>
      <c r="F64" s="84" t="str">
        <f>IF(E64="","", IF( E64&gt;=2.4,1, IF(E64&lt;=1,0,  ROUND(IF(E64&lt;2.4, E64*'Reference Standards'!$S$464+'Reference Standards'!$S$465  ),2))))</f>
        <v/>
      </c>
      <c r="G64" s="529"/>
      <c r="H64" s="567"/>
      <c r="I64" s="555"/>
      <c r="J64" s="559"/>
      <c r="K64" s="555"/>
    </row>
    <row r="65" spans="1:12" ht="15.6" x14ac:dyDescent="0.3">
      <c r="A65" s="520"/>
      <c r="B65" s="520"/>
      <c r="C65" s="58" t="s">
        <v>334</v>
      </c>
      <c r="D65" s="58"/>
      <c r="E65" s="165"/>
      <c r="F65" s="390" t="str">
        <f>IF(E65="","", IF(LEFT('Quantification Tool R4'!$B$12,2)="67",  IF( AND(E65&gt;=45,E65&lt;=65),1, IF(OR(E65&lt;=20,E65&gt;=90),0, ROUND(  IF(E65&lt;45, E65*'Reference Standards'!$S$498+'Reference Standards'!$S$499,E65*'Reference Standards'!$T$498+'Reference Standards'!$T$499),2))), IF(OR(  LEFT('Quantification Tool R4'!$B$12,2)="68", LEFT('Quantification Tool R4'!$B$12,2)="69",LEFT('Quantification Tool R4'!$B$12,2)="71"),  IF( AND(E65&gt;=30,E65&lt;=50),1, IF(OR(E65&lt;=10,E65&gt;=70),0, ROUND(  IF(E65&lt;30, E65*'Reference Standards'!$S$533+'Reference Standards'!$S$534,E65*'Reference Standards'!$T$533+'Reference Standards'!$T$534),2))), IF(LEFT('Quantification Tool R4'!$B$12,2)="66",  IF( AND(E65&gt;=20,E65&lt;=45),1, IF(OR(E65&lt;=0,E65&gt;=90),0, ROUND(  IF(E65&lt;20, E65*'Reference Standards'!$S$567+'Reference Standards'!$S$568,E65*'Reference Standards'!$T$567+'Reference Standards'!$T$568),2))), IF(OR(  LEFT('Quantification Tool R4'!$B$12,2)="65", LEFT('Quantification Tool R4'!$B$12,2)="74", LEFT('Quantification Tool R4'!$B$12,2)="73"),  IF( AND(E65&gt;=20,E65&lt;=30),1, IF(OR(E65&lt;=0,E65&gt;=50),0, ROUND(  IF(E65&lt;20, E65*'Reference Standards'!$S$601+'Reference Standards'!$S$602,E65*'Reference Standards'!$T$601+'Reference Standards'!$T$602),2))))))))</f>
        <v/>
      </c>
      <c r="G65" s="529"/>
      <c r="H65" s="567"/>
      <c r="I65" s="555"/>
      <c r="J65" s="559"/>
      <c r="K65" s="555"/>
    </row>
    <row r="66" spans="1:12" ht="15.6" x14ac:dyDescent="0.3">
      <c r="A66" s="520"/>
      <c r="B66" s="521"/>
      <c r="C66" s="62" t="s">
        <v>210</v>
      </c>
      <c r="D66" s="58"/>
      <c r="E66" s="167"/>
      <c r="F66" s="391" t="str">
        <f>IF(E66="","",IF(E66&gt;=1.6,0,IF(E66&lt;=1,1,ROUND('Reference Standards'!$S$633*E66^3+'Reference Standards'!$S$634*E66^2+'Reference Standards'!$S$635*E66+'Reference Standards'!$S$636,2))))</f>
        <v/>
      </c>
      <c r="G66" s="530"/>
      <c r="H66" s="567"/>
      <c r="I66" s="555"/>
      <c r="J66" s="559"/>
      <c r="K66" s="555"/>
      <c r="L66" s="13"/>
    </row>
    <row r="67" spans="1:12" ht="15.6" x14ac:dyDescent="0.3">
      <c r="A67" s="521"/>
      <c r="B67" s="296" t="s">
        <v>55</v>
      </c>
      <c r="C67" s="242" t="s">
        <v>54</v>
      </c>
      <c r="D67" s="243"/>
      <c r="E67" s="163"/>
      <c r="F67" s="342" t="str">
        <f>IF(E67="","",IF(AND('Quantification Tool R4'!B$11="E",'Quantification Tool R4'!$B$14="Sand",'Quantification Tool R4'!$B$21="Unconfined Alluvial"),ROUND(IF(OR(E67&gt;1.8,E67&lt;1.3),0,IF(E67&lt;=1.6,1,E67*'Reference Standards'!S$667+'Reference Standards'!S$668)),2),    IF('Quantification Tool R4'!$B$21="Unconfined Alluvial",ROUND(IF(OR(E67&lt;1.2, E67&gt;1.5),0,IF(E67&lt;=1.4,1,E67*'Reference Standards'!$S$700+'Reference Standards'!$S$701)),2), IF('Quantification Tool R4'!$B$21="Confined Alluvial",ROUND(IF(E67&lt;1.15,0,IF(E67&lt;=1.4,E67*'Reference Standards'!$S$729+'Reference Standards'!$S$730,1)),2),  IF('Quantification Tool R4'!$B$21="Colluvial",ROUND(IF(E67&gt;1.3,0,IF(E67&gt;1.2,E67*'Reference Standards'!$S$760+'Reference Standards'!$S$761,1)),2) )))))</f>
        <v/>
      </c>
      <c r="G67" s="84" t="str">
        <f>IFERROR(AVERAGE(F67),"")</f>
        <v/>
      </c>
      <c r="H67" s="567"/>
      <c r="I67" s="555"/>
      <c r="J67" s="559"/>
      <c r="K67" s="555"/>
      <c r="L67" s="13"/>
    </row>
    <row r="68" spans="1:12" ht="15.6" x14ac:dyDescent="0.3">
      <c r="A68" s="537" t="s">
        <v>58</v>
      </c>
      <c r="B68" s="67" t="s">
        <v>88</v>
      </c>
      <c r="C68" s="70" t="s">
        <v>338</v>
      </c>
      <c r="D68" s="70"/>
      <c r="E68" s="43"/>
      <c r="F68" s="343" t="str">
        <f>IF(E68="","",ROUND(IF(E68&gt;=942,0,IF(E68&lt;=487,E68*'Reference Standards'!AB$15+'Reference Standards'!AB$16,E68*'Reference Standards'!$AC$15+'Reference Standards'!$AC$16)),2))</f>
        <v/>
      </c>
      <c r="G68" s="85" t="str">
        <f>IFERROR(AVERAGE(F68),"")</f>
        <v/>
      </c>
      <c r="H68" s="547" t="str">
        <f>IFERROR(ROUND(AVERAGE(G68:G71),2),"")</f>
        <v/>
      </c>
      <c r="I68" s="534" t="str">
        <f>IF(H68="","",IF(H68&gt;0.69,"Functioning",IF(H68&gt;0.29,"Functioning At Risk",IF(H68&gt;-1,"Not Functioning"))))</f>
        <v/>
      </c>
      <c r="J68" s="559"/>
      <c r="K68" s="555"/>
      <c r="L68" s="21"/>
    </row>
    <row r="69" spans="1:12" ht="15.6" x14ac:dyDescent="0.3">
      <c r="A69" s="538"/>
      <c r="B69" s="297" t="s">
        <v>362</v>
      </c>
      <c r="C69" s="66" t="s">
        <v>354</v>
      </c>
      <c r="D69" s="66"/>
      <c r="E69" s="163"/>
      <c r="F69" s="344" t="str">
        <f>IF(E69="","",IF(OR('Quantification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June")),IF(E69&gt;93,0,IF(E69&lt;13,1,ROUND('Reference Standards'!$AB$53*E69^2+'Reference Standards'!$AB$54*E69+'Reference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R4'!$B$12="73b"),IF(E69&gt;94,0,IF(E69&lt;17,1,ROUND('Reference Standards'!$AC$53*E69^2+'Reference Standards'!$AC$54*E69+'Reference Standards'!$AC$55,2))),    IF(OR(AND(OR('Quantification Tool R4'!$B$12="68b",'Quantification Tool R4'!$B$12="71i"),'Quantification Tool R4'!$B$13&gt;2), 'Quantification Tool R4'!$B$12="71e"),IF(E69&gt;91,0,IF(E69&lt;24,1,ROUND('Reference Standards'!$AD$53*E69^2+'Reference Standards'!$AD$54*E69+'Reference Standards'!$AD$55,2))),  IF(OR(AND(OR('Quantification Tool R4'!$B$12="71f",'Quantification Tool R4'!$B$12="71g",'Quantification Tool R4'!$B$12="71h",'Quantification Tool R4'!$B$12="71i"),'Quantification Tool R4'!$B$13&lt;=2), AND('Quantification Tool R4'!$B$12="74a",'Quantification Tool R4'!$B$13&gt;2)),IF(E69&gt;95,0,IF(E69&lt;=36,1,ROUND('Reference Standards'!$AE$53*E69^2+'Reference Standards'!$AE$54*E69+'Reference Standards'!$AE$55,2))))))))</f>
        <v/>
      </c>
      <c r="G69" s="236" t="str">
        <f>IFERROR(AVERAGE(F69:F69),"")</f>
        <v/>
      </c>
      <c r="H69" s="548"/>
      <c r="I69" s="535"/>
      <c r="J69" s="559"/>
      <c r="K69" s="555"/>
      <c r="L69" s="21"/>
    </row>
    <row r="70" spans="1:12" ht="15.6" x14ac:dyDescent="0.3">
      <c r="A70" s="538"/>
      <c r="B70" s="67" t="s">
        <v>81</v>
      </c>
      <c r="C70" s="68" t="s">
        <v>281</v>
      </c>
      <c r="D70" s="68"/>
      <c r="E70" s="162"/>
      <c r="F70" s="344" t="str">
        <f>IF(E70="","",IF(ISNUMBER('Quantification Tool R4'!$B$13),IF(OR('Quantification Tool R4'!$B$12="66e",'Quantification Tool R4'!$B$12="66f",'Quantification Tool R4'!$B$12="66g"),ROUND(IF(E70&gt;=0.61,0,IF(E70&lt;=0.01,1,IF(E70&lt;=0.06,E70*'Reference Standards'!$AD$197+'Reference Standards'!$AD$198,E70^2*'Reference Standards'!$AB$196+E70*'Reference Standards'!$AB$197+'Reference Standards'!$AB$198))),2),IF('Quantification Tool R4'!$B$12="68b",ROUND(IF(E70&gt;=1.1,0,IF(E70&lt;=0.17,1,IF(E70&lt;=0.22,E70*'Reference Standards'!$AE$197+'Reference Standards'!$AE$198,E70^2*'Reference Standards'!$AC$196+E70*'Reference Standards'!$AC$197+'Reference Standards'!$AC$198))),2),IF('Quantification Tool R4'!$B$13&lt;=2.5,IF('Quantification Tool R4'!$B$12="69de",ROUND(IF(E70&gt;=0.22,0,IF(E70&lt;=0.01,1,E70^2*'Reference Standards'!$AB$90+E70*'Reference Standards'!$AB$91+'Reference Standards'!$AB$92)),2),IF('Quantification Tool R4'!$B$12="68c",ROUND(IF(E70&gt;=0.87,0,IF(E70&lt;=0.01,1,E70^2*'Reference Standards'!$AC$90+E70*'Reference Standards'!$AC$91+'Reference Standards'!$AC$92)),2),IF('Quantification Tool R4'!$B$12="68a",ROUND(IF(E70&gt;=0.81,0,IF(E70&lt;=0.01,1,E70^2*'Reference Standards'!$AD$90+E70*'Reference Standards'!$AD$91+'Reference Standards'!$AD$92)),2),IF('Quantification Tool R4'!$B$12="65abei",ROUND(IF(E70&gt;=0.67,0,IF(E70&lt;=0.01,1,IF(E70&lt;=0.18,E70*'Reference Standards'!$AG$91+'Reference Standards'!$AG$92,E70*'Reference Standards'!$AE$91+'Reference Standards'!$AE$92))),2),IF('Quantification Tool R4'!$B$12="65j",ROUND(IF(E70&gt;=0.32,0,IF(E70&lt;=0.01,1,IF(E70&lt;=0.25,E70*'Reference Standards'!$AH$91+'Reference Standards'!$AH$92,E70*'Reference Standards'!$AF$91+'Reference Standards'!$AF$92))),2),IF('Quantification Tool R4'!$B$12="71f",ROUND(IF(E70&gt;=3,0,IF(E70&lt;=0,1,IF(E70&lt;=0.01,0.7,E70^2*'Reference Standards'!$AB$126+E70*'Reference Standards'!$AB$127+'Reference Standards'!$AB$128))),2),IF('Quantification Tool R4'!$B$12="74a",ROUND(IF(E70&gt;=0.14,0,IF(E70&lt;=0.01,1,IF(E70&lt;=0.02,0.7,E70^2*'Reference Standards'!$AC$126+E70*'Reference Standards'!$AC$127+'Reference Standards'!$AC$128))),2),IF(OR('Quantification Tool R4'!$B$12="67fhi",'Quantification Tool R4'!$B$12="67g"),ROUND(IF(E70&gt;=1.9,0,IF(E70&lt;=0.01,1,IF(E70&lt;=0.05,E70*'Reference Standards'!$AF$127+'Reference Standards'!$AF$128,E70^2*'Reference Standards'!$AD$126+E70*'Reference Standards'!$AD$127+'Reference Standards'!$AD$128))),2),IF('Quantification Tool R4'!$B$12="73a",ROUND(IF(E70&gt;=1.44,0,IF(E70&lt;=0.01,1,IF(E70&lt;=0.12,E70*'Reference Standards'!$AG$127+'Reference Standards'!$AG$128,E70^2*'Reference Standards'!$AE$126+E70*'Reference Standards'!$AE$127+'Reference Standards'!$AE$128))),2),IF('Quantification Tool R4'!$B$12="66d",ROUND(IF(E70&gt;=0.46,0,IF(E70&lt;=0.02,1,IF(E70&lt;=0.08,E70*'Reference Standards'!$AF$163+'Reference Standards'!$AF$164,E70^2*'Reference Standards'!$AB$162+E70*'Reference Standards'!$AB$163+'Reference Standards'!$AB$164))),2),IF(OR('Quantification Tool R4'!$B$12="71g",'Quantification Tool R4'!$B$12="71h",'Quantification Tool R4'!$B$12="71i"),ROUND(IF(E70&gt;=3,0,IF(E70&lt;=0.06,1,IF(E70&lt;=0.24,E70*'Reference Standards'!$AG$163+'Reference Standards'!$AG$164,E70^2*'Reference Standards'!$AC$162+E70*'Reference Standards'!$AC$163+'Reference Standards'!$AC$164))),2),IF('Quantification Tool R4'!$B$12="74b",ROUND(IF(E70&gt;=1.3,0,IF(E70&lt;=0.29,1,IF(E70&lt;=0.48,E70*'Reference Standards'!$AH$163+'Reference Standards'!$AH$164,E70^2*'Reference Standards'!$AD$162+E70*'Reference Standards'!$AD$163+'Reference Standards'!$AD$164))),2),IF('Quantification Tool R4'!$B$12="71e",ROUND(IF(E70&gt;=4.3,0,IF(E70&lt;=0.53,1,IF(E70&lt;=0.67,E70*'Reference Standards'!$AI$163+'Reference Standards'!$AI$164,E70^2*'Reference Standards'!$AE$162+E70*'Reference Standards'!$AE$163+'Reference Standards'!$AE$164))),2)))))))))))))),IF('Quantification Tool R4'!$B$13&gt;2.5,IF('Quantification Tool R4'!$B$12="73a",ROUND(IF(E70&gt;=0.55,0,IF(E70&lt;=0,1,E70^2*'Reference Standards'!$AB$232+E70*'Reference Standards'!$AB$233+'Reference Standards'!$AB$234)),2),IF('Quantification Tool R4'!$B$12="68a",ROUND(IF(E70&gt;=0.54,0,IF(E70&lt;=0,1,IF(E70&lt;=0.01,0.85,E70^2*'Reference Standards'!$AC$232+E70*'Reference Standards'!$AC$233+'Reference Standards'!$AC$234))),2),IF('Quantification Tool R4'!$B$12="74a",ROUND(IF(E70&gt;=0.47,0,IF(E70&lt;=0.01,1,IF(E70&lt;=0.02,0.7,E70^2*'Reference Standards'!$AD$232+E70*'Reference Standards'!$AD$233+'Reference Standards'!$AD$234))),2),IF('Quantification Tool R4'!$B$12="69de",ROUND(IF(E70&gt;=0.26,0,IF(E70&lt;=0.01,1,IF(E70&lt;=0.02,0.85,E70^2*'Reference Standards'!$AE$232+E70*'Reference Standards'!$AE$233+'Reference Standards'!$AE$234))),2),IF('Quantification Tool R4'!$B$12="71f",ROUND(IF(E70&gt;=0.87,0,IF(E70&lt;=0.01,1,IF(E70&lt;=0.04,E70*'Reference Standards'!$AF$269+'Reference Standards'!$AF$270,E70^2*'Reference Standards'!$AB$268+E70*'Reference Standards'!$AB$269+'Reference Standards'!$AB$270))),2),IF('Quantification Tool R4'!$B$12="65abei",ROUND(IF(E70&gt;=0.82,0,IF(E70&lt;=0.01,1,IF(E70&lt;=0.06,E70*'Reference Standards'!$AG$269+'Reference Standards'!$AG$270,E70^2*'Reference Standards'!$AC$268+E70*'Reference Standards'!$AC$269+'Reference Standards'!$AC$270))),2),IF('Quantification Tool R4'!$B$12="65j",ROUND(IF(E70&gt;=0.33,0,IF(E70&lt;=0.03,1,IF(E70&lt;=0.09,E70*'Reference Standards'!$AH$269+'Reference Standards'!$AH$270,E70^2*'Reference Standards'!$AD$268+E70*'Reference Standards'!$AD$269+'Reference Standards'!$AD$270))),2),IF('Quantification Tool R4'!$B$12="68c",ROUND(IF(E70&gt;=0.7,0,IF(E70&lt;=0.07,1,IF(E70&lt;=0.12,E70*'Reference Standards'!$AI$269+'Reference Standards'!$AI$270,E70^2*'Reference Standards'!$AE$268+E70*'Reference Standards'!$AE$269+'Reference Standards'!$AE$270))),2),IF(OR('Quantification Tool R4'!$B$12="67fhi",'Quantification Tool R4'!$B$12="67g"),ROUND(IF(E70&gt;=1.8,0,IF(E70&lt;=0.08,1,IF(E70&lt;=0.2,E70*'Reference Standards'!$AF$306+'Reference Standards'!$AF$307,E70^2*'Reference Standards'!$AB$305+E70*'Reference Standards'!$AB$306+'Reference Standards'!$AB$307))),2),IF('Quantification Tool R4'!$B$12="74b",ROUND(IF(E70&gt;=0.96,0,IF(E70&lt;=0.12,1,IF(E70&lt;=0.16,E70*'Reference Standards'!$AG$306+'Reference Standards'!$AG$307,E70^2*'Reference Standards'!$AC$305+E70*'Reference Standards'!$AC$306+'Reference Standards'!$AC$307))),2),IF('Quantification Tool R4'!$B$12="66d",ROUND(IF(E70&gt;=0.75,0,IF(E70&lt;=0.13,1,IF(E70&lt;=0.2,E70*'Reference Standards'!$AH$306+'Reference Standards'!$AH$307,E70^2*'Reference Standards'!$AD$305+E70*'Reference Standards'!$AD$306+'Reference Standards'!$AD$307))),2),IF(OR('Quantification Tool R4'!$B$12="71g",'Quantification Tool R4'!$B$12="71h",'Quantification Tool R4'!$B$12="71i"),ROUND(IF(E70&gt;=1.68,0,IF(E70&lt;=0.08,1,IF(E70&lt;=0.23,E70*'Reference Standards'!$AI$306+'Reference Standards'!$AI$307,E70^2*'Reference Standards'!$AE$305+E70*'Reference Standards'!$AE$306+'Reference Standards'!$AE$307))),2),IF('Quantification Tool R4'!$B$12="71e",ROUND(IF(E70&gt;=5.3,0,IF(E70&lt;=0.94,1,IF(E70&lt;=1.4,E70*'Reference Standards'!$AF$310+'Reference Standards'!$AF$311,E70^2*'Reference Standards'!$AB$309+E70*'Reference Standards'!$AB$310+'Reference Standards'!$AB$311))),2))))))))))))))))))))</f>
        <v/>
      </c>
      <c r="G70" s="86" t="str">
        <f>IFERROR(AVERAGE(F70),"")</f>
        <v/>
      </c>
      <c r="H70" s="548"/>
      <c r="I70" s="535"/>
      <c r="J70" s="559"/>
      <c r="K70" s="555"/>
      <c r="L70" s="21"/>
    </row>
    <row r="71" spans="1:12" ht="15.6" x14ac:dyDescent="0.3">
      <c r="A71" s="539"/>
      <c r="B71" s="298" t="s">
        <v>82</v>
      </c>
      <c r="C71" s="66" t="s">
        <v>280</v>
      </c>
      <c r="D71" s="66"/>
      <c r="E71" s="136"/>
      <c r="F71" s="343" t="str">
        <f>IF(E71="","",IF(ISNUMBER('Quantification Tool R4'!$B$13),IF('Quantification Tool R4'!$B$13&gt;2.5,IF(OR('Quantification Tool R4'!$B$12="71h",'Quantification Tool R4'!$B$12="71i",'Quantification Tool R4'!$B$12="73a",'Quantification Tool R4'!$B$12="74a"),IF(E71&lt;=0.01,1,IF(OR('Quantification Tool R4'!$B$12="71h",'Quantification Tool R4'!$B$12="71i"),IF(E71&gt;0.37,0,ROUND(IF(E71&gt;0.03,'Reference Standards'!$AB$425*E71^2+'Reference Standards'!$AB$426*E71+'Reference Standards'!$AB$427,'Reference Standards'!$AF$426*E71+'Reference Standards'!$AF$427),2)),IF('Quantification Tool R4'!$B$12="73a",IF(E71&gt;0.405,0,ROUND(IF(E71&gt;0.046,'Reference Standards'!$AC$425*E71^2+'Reference Standards'!$AC$426*E71+'Reference Standards'!$AC$427,'Reference Standards'!$AG$426*E71+'Reference Standards'!$AG$427),2)),IF('Quantification Tool R4'!$B$12="74a",IF(E71&gt;0.3,0,ROUND(IF(E71&gt;0.052,'Reference Standards'!$AD$425*E71^2+'Reference Standards'!$AD$426*E71+'Reference Standards'!$AD$427,'Reference Standards'!$AH$426*E71+'Reference Standards'!$AH$427),2)))))),IF(E71&lt;=0.002,1,IF(OR('Quantification Tool R4'!$B$12="66d",'Quantification Tool R4'!$B$12="66e",'Quantification Tool R4'!$B$12="66g"),IF(E71&gt;0.053,0,ROUND(E71^2*'Reference Standards'!$AB$347+E71*'Reference Standards'!$AB$348+'Reference Standards'!$AB$349,2)),IF('Quantification Tool R4'!$B$12="68b",IF(E71&gt;0.05,0,ROUND(E71^2*'Reference Standards'!$AC$347+E71*'Reference Standards'!$AC$348+'Reference Standards'!$AC$349,2)),IF(OR('Quantification Tool R4'!$B$12="68a",'Quantification Tool R4'!$B$12="68c"),IF(E71&gt;0.07,0,ROUND(E71^2*'Reference Standards'!$AD$347+E71*'Reference Standards'!$AD$348+'Reference Standards'!$AD$349,2)),IF(OR('Quantification Tool R4'!$B$12="71f",'Quantification Tool R4'!$B$12="71g"),IF(E71&gt;0.13,0,ROUND(IF(E71&gt;0.042,E71*'Reference Standards'!$AE$348+'Reference Standards'!$AE$349,E71*'Reference Standards'!$AF$348+'Reference Standards'!$AF$349),2)),IF('Quantification Tool R4'!$B$12="67fhi",IF(E71&gt;0.16,0,ROUND(E71^2*'Reference Standards'!$AG$347+E71*'Reference Standards'!$AG$348+'Reference Standards'!$AG$349,2)),IF('Quantification Tool R4'!$B$12="65j",IF(E71&gt;0.035,0,ROUND(IF(E71&lt;=0.003,0.7,E71^2*'Reference Standards'!$AB$387+E71*'Reference Standards'!$AB$388+'Reference Standards'!$AB$389),2)),IF('Quantification Tool R4'!$B$12="69de",IF(E71&gt;0.037,0,ROUND(IF(E71&lt;=0.003,0.7,E71^2*'Reference Standards'!$AC$387+E71*'Reference Standards'!$AC$388+'Reference Standards'!$AC$389),2)),IF('Quantification Tool R4'!$B$12="71e",IF(E71&gt;0.23,0,ROUND(IF(E71&lt;=0.003,0.7,E71^2*'Reference Standards'!$AD$387+E71*'Reference Standards'!$AD$388+'Reference Standards'!$AD$389),2)),IF('Quantification Tool R4'!$B$12="66f",IF(E71&gt;0.06,0,ROUND(IF(E71&lt;=0.003,0.85,IF(E71&lt;=0.004,0.7,E71^2*'Reference Standards'!$AE$387+E71*'Reference Standards'!$AE$388+'Reference Standards'!$AE$389)),2)),IF('Quantification Tool R4'!$B$12="67g",IF(E71&gt;0.11,0,ROUND(IF(E71&lt;=0.01,E71*'Reference Standards'!$AH$388+'Reference Standards'!$AH$389,E71^2*'Reference Standards'!$AF$387+E71*'Reference Standards'!$AF$388+'Reference Standards'!$AF$389),2)),IF('Quantification Tool R4'!$B$12="74b",IF(E71&gt;0.49,0,ROUND(IF(E71&lt;=0.01,E71*'Reference Standards'!$AH$388+'Reference Standards'!$AH$389,E71^2*'Reference Standards'!$AG$387+E71*'Reference Standards'!$AG$388+'Reference Standards'!$AG$389),2)),IF('Quantification Tool R4'!$B$12="65abei",IF(E71&gt;0.199,0,ROUND(IF(E71&lt;=0.01,E71*'Reference Standards'!$AI$426+'Reference Standards'!$AI$427,E71^2*'Reference Standards'!$AE$425+E71*'Reference Standards'!$AE$426+'Reference Standards'!$AE$427),2)))))))))))))))),IF('Quantification Tool R4'!$B$13&lt;=2.5,IF(OR('Quantification Tool R4'!$B$12="66d",'Quantification Tool R4'!$B$12="66e",'Quantification Tool R4'!$B$12="66g"),IF(E71&gt;0.05,0,ROUND(IF(E71&lt;=0.002,1,IF(E71&lt;=0.005,E71*'Reference Standards'!$AF$464+'Reference Standards'!$AF$465,E71^2*'Reference Standards'!$AB$463+E71*'Reference Standards'!$AB$464+'Reference Standards'!$AB$465)),2)),IF('Quantification Tool R4'!$B$12="67fhi",IF(E71&gt;0.1,0,ROUND(IF(E71&lt;=0.002,1,IF(E71&lt;=0.006,E71*'Reference Standards'!$AG$464+'Reference Standards'!$AG$465,E71^2*'Reference Standards'!$AC$463+E71*'Reference Standards'!$AC$464+'Reference Standards'!$AC$465)),2)),IF('Quantification Tool R4'!$B$12="65abei",IF(E71&gt;0.13,0,ROUND(IF(E71&lt;=0.003,1,IF(E71&lt;=0.008,E71*'Reference Standards'!$AH$464+'Reference Standards'!$AH$465,E71^2*'Reference Standards'!$AD$463+E71*'Reference Standards'!$AD$464+'Reference Standards'!$AD$465)),2)),IF('Quantification Tool R4'!$B$12="68b",IF(E71&gt;0.043,0,ROUND(IF(E71&lt;=0.004,1,IF(E71&lt;=0.005,0.7,E71^2*'Reference Standards'!$AE$463+E71*'Reference Standards'!$AE$464+'Reference Standards'!$AE$465)),2)),IF('Quantification Tool R4'!$B$12="69de",IF(E71&gt;=0.034,0,ROUND(IF(E71&lt;=0.003,1,IF(E71&lt;=0.006,E71*'Reference Standards'!$AG$500+'Reference Standards'!$AG$501,E71*'Reference Standards'!$AB$500+'Reference Standards'!$AB$501)),2)),IF(OR('Quantification Tool R4'!$B$12="68a",'Quantification Tool R4'!$B$12="68c"),IF(E71&gt;0.202,0,ROUND(IF(E71&lt;=0.003,1,IF(E71&lt;=0.006,E71*'Reference Standards'!$AG$500+'Reference Standards'!$AG$501,IF(E71&gt;=0.04,E71*'Reference Standards'!$AC$500+'Reference Standards'!$AC$501,E71*'Reference Standards'!$AE$500+'Reference Standards'!$AE$501))),2)),IF(OR('Quantification Tool R4'!$B$12="71f",'Quantification Tool R4'!$B$12="71g"),IF(E71&gt;0.631,0,ROUND(IF(E71&lt;=0.003,1,IF(E71&lt;=0.006,E71*'Reference Standards'!$AG$500+'Reference Standards'!$AG$501,IF(E71&gt;=0.17,E71*'Reference Standards'!$AD$500+'Reference Standards'!$AD$501,E71*'Reference Standards'!$AF$500+'Reference Standards'!$AF$501))),2)),IF('Quantification Tool R4'!$B$12="71e",IF(E71&gt;1.23,0,ROUND(IF(E71&lt;=0.004,1,IF(E71&lt;=0.006,E71*'Reference Standards'!$AF$538+'Reference Standards'!$AF$539,E71^2*'Reference Standards'!$AB$537+E71*'Reference Standards'!$AB$538+'Reference Standards'!$AB$539)),2)),IF('Quantification Tool R4'!$B$12="67g",IF(E71&gt;0.11,0,ROUND(IF(E71&lt;=0.006,1,IF(E71&lt;=0.011,E71*'Reference Standards'!$AG$538+'Reference Standards'!$AG$539,E71^2*'Reference Standards'!$AC$537+E71*'Reference Standards'!$AC$538+'Reference Standards'!$AC$539)),2)),IF('Quantification Tool R4'!$B$12="65j",IF(E71&gt;0.046,0,ROUND(IF(E71&lt;=0.007,1,IF(E71&lt;=0.012,E71*'Reference Standards'!$AH$538+'Reference Standards'!$AH$539,E71^2*'Reference Standards'!$AD$537+E71*'Reference Standards'!$AD$538+'Reference Standards'!$AD$539)),2)),IF('Quantification Tool R4'!$B$12="66f",IF(E71&gt;0.081,0,ROUND(IF(E71&lt;=0.008,1,IF(E71&lt;=0.011,E71*'Reference Standards'!$AI$538+'Reference Standards'!$AI$539,E71^2*'Reference Standards'!$AE$537+E71*'Reference Standards'!$AE$538+'Reference Standards'!$AE$539)),2)),IF(OR('Quantification Tool R4'!$B$12="71h",'Quantification Tool R4'!$B$12="71i"),IF(E71&gt;0.37,0,ROUND(IF(E71&lt;=0.013,1,IF(E71&lt;=0.032,E71*'Reference Standards'!$AH$576+'Reference Standards'!$AH$577,IF(E71&lt;=0.3,E71*'Reference Standards'!$AF$576+'Reference Standards'!$AF$577,E71*'Reference Standards'!$AB$576+'Reference Standards'!$AB$577))),2)),IF('Quantification Tool R4'!$B$12="73a",IF(E71&gt;0.448,0,ROUND(IF(E71&lt;=0.071,1,IF(E71&lt;=0.086,E71*'Reference Standards'!$AJ$576+'Reference Standards'!$AJ$577,IF(E71&lt;=0.165,E71*'Reference Standards'!$AG$576+'Reference Standards'!$AG$577,E71*'Reference Standards'!$AE$576+'Reference Standards'!$AE$577))),2)),IF('Quantification Tool R4'!$B$12="74b",IF(E71&gt;0.43,0,ROUND(IF(E71&lt;=0.018,1,IF(E71&lt;=0.019,0.85,IF(E71&lt;=0.02,0.7,E71^2*'Reference Standards'!$AC$575+E71*'Reference Standards'!$AC$576+'Reference Standards'!$AC$577))),2)),IF('Quantification Tool R4'!$B$12="74a",IF(E71&gt;0.217,0,ROUND(IF(E71&lt;=0.02,1,IF(E71&lt;=0.033,E71*'Reference Standards'!$AI$576+'Reference Standards'!$AI$577,E71^2*'Reference Standards'!$AD$575+E71*'Reference Standards'!$AD$576+'Reference Standards'!$AD$577)),2)))))))))))))))))))))</f>
        <v/>
      </c>
      <c r="G71" s="87" t="str">
        <f>IFERROR(AVERAGE(F71),"")</f>
        <v/>
      </c>
      <c r="H71" s="549"/>
      <c r="I71" s="536"/>
      <c r="J71" s="559"/>
      <c r="K71" s="555"/>
      <c r="L71" s="21"/>
    </row>
    <row r="72" spans="1:12" ht="15.6" x14ac:dyDescent="0.3">
      <c r="A72" s="550" t="s">
        <v>59</v>
      </c>
      <c r="B72" s="560" t="s">
        <v>340</v>
      </c>
      <c r="C72" s="125" t="s">
        <v>331</v>
      </c>
      <c r="D72" s="126"/>
      <c r="E72" s="166"/>
      <c r="F72" s="345" t="str">
        <f>IF(E72="","",IF(OR('Quantification Tool R4'!B$12="73a",'Quantification Tool R4'!B$12="73b"),IF(E72&lt;1,0,IF(E72&gt;=30,1,ROUND(IF(E72&lt;22,'Reference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531" t="str">
        <f>IFERROR(AVERAGE(F72:F75),"")</f>
        <v/>
      </c>
      <c r="H72" s="568" t="str">
        <f>IFERROR(ROUND(AVERAGE(G72:G77),2),"")</f>
        <v/>
      </c>
      <c r="I72" s="519" t="str">
        <f>IF(H72="","",IF(H72&gt;0.69,"Functioning",IF(H72&gt;0.29,"Functioning At Risk",IF(H72&gt;-1,"Not Functioning"))))</f>
        <v/>
      </c>
      <c r="J72" s="559"/>
      <c r="K72" s="555"/>
      <c r="L72" s="21"/>
    </row>
    <row r="73" spans="1:12" ht="15.6" x14ac:dyDescent="0.3">
      <c r="A73" s="556"/>
      <c r="B73" s="561"/>
      <c r="C73" s="174" t="s">
        <v>335</v>
      </c>
      <c r="D73" s="175"/>
      <c r="E73" s="165"/>
      <c r="F73" s="346" t="str">
        <f>IF(E73="","",IF(AND('Quantification Tool R4'!$B$12="74b",'Quantification Tool R4'!$B$13&lt;=2),IF(E73&lt;0,0,IF(E73&gt;15.6,0.69,ROUND('Reference Standards'!$AL$54*E73^2+'Reference Standards'!$AL$55*E73+'Reference Standards'!$AL$56,2))),IF(AND('Quantification Tool R4'!$B$12="65abei",'Quantification Tool R4'!$B$13&lt;=2),IF(E73&lt;0,0,IF(E73&gt;=20,0.69,ROUND('Reference Standards'!$AM$54*E73^2+'Reference Standards'!$AM$55*E73+'Reference Standards'!$AM$56,2))),IF(OR(AND('Quantification Tool R4'!$B$12="74a",'Quantification Tool R4'!$B$13&gt;2,'Quantification Tool R4'!$B$19="January - June"),AND('Quantification Tool R4'!$B$12="71i",'Quantification Tool R4'!$B$13&gt;2,'Quantification Tool R4'!$B$20="SQBANK")),IF(E73&lt;0,0,IF(E73&gt;24.7,0.69,ROUND('Reference Standards'!$AN$54*E73^2+'Reference Standards'!$AN$55*E73+'Reference Standards'!$AN$56,2))),IF(OR('Quantification Tool R4'!$B$12="74b",'Quantification Tool R4'!$B$12="65abei"),IF(E73&lt;0,0,IF(E73&gt;32.7,0.69,ROUND('Reference Standards'!$AO$54*E73^2+'Reference Standards'!$AO$55*E73+'Reference Standards'!$AO$56,2))),IF(AND('Quantification Tool R4'!$B$12="68b",'Quantification Tool R4'!$B$13&gt;2),IF(E73&lt;0,0,IF(E73&gt;41.2,0.69,ROUND('Reference Standards'!$AP$54*E73^2+'Reference Standards'!$AP$55*E73+'Reference Standards'!$AP$56,2))),IF(OR(AND('Quantification Tool R4'!$B$12="71i",'Quantification Tool R4'!$B$13&lt;=2),AND(OR('Quantification Tool R4'!$B$12="68c",'Quantification Tool R4'!$B$12="68d"),'Quantification Tool R4'!$B$19="January - June")),IF(E73&lt;0,0,IF(E73&gt;49.2,0.69,ROUND('Reference Standards'!$AL$94*E73^2+'Reference Standards'!$AL$95*E73+'Reference Standards'!$AL$96,2))),IF(OR(AND('Quantification Tool R4'!$B$12="68a",'Quantification Tool R4'!$B$19="January - June"),AND(OR('Quantification Tool R4'!$B$12="68c",'Quantification Tool R4'!$B$12="68d"),'Quantification Tool R4'!$B$19="July - December")),IF(E73&lt;0,0,IF(E73&gt;53.4,0.69,ROUND('Reference Standards'!$AM$94*E73^2+'Reference Standards'!$AM$95*E73+'Reference Standards'!$AM$96,2))),IF(OR(AND('Quantification Tool R4'!$B$12="71i",'Quantification Tool R4'!$B$13&gt;2,'Quantification Tool R4'!$B$20="SQKICK"),AND(OR('Quantification Tool R4'!$B$12="67fhi",'Quantification Tool R4'!$B$12="67g"),'Quantification Tool R4'!$B$13&lt;=2),'Quantification Tool R4'!$B$12="65j"),IF(E73&lt;0,0,IF(E73&gt;57.8,0.69,ROUND('Reference Standards'!$AN$94*E73^2+'Reference Standards'!$AN$95*E73+'Reference Standards'!$AN$96,2))),IF(OR(AND('Quantification Tool R4'!$B$12="74a",'Quantification Tool R4'!$B$13&gt;2,'Quantification Tool R4'!$B$19="July - December"),AND(OR('Quantification Tool R4'!$B$12="67fhi",'Quantification Tool R4'!$B$12="67g"),'Quantification Tool R4'!$B$13&gt;2),'Quantification Tool R4'!$B$12="69de"),IF(E73&lt;0,0,IF(E73&gt;62.5,0.69,ROUND('Reference Standards'!$AO$94*E73^2+'Reference Standards'!$AO$95*E73+'Reference Standards'!$AO$96,2))),  IF(OR('Quantification Tool R4'!$B$12="66d",'Quantification Tool R4'!$B$12="66e",'Quantification Tool R4'!$B$12="66ik",'Quantification Tool R4'!$B$12="71e",'Quantification Tool R4'!$B$12="71f",'Quantification Tool R4'!$B$12="71g",'Quantification Tool R4'!$B$12="71h"),IF(E73&lt;0,0,IF(E73&gt;66.5,0.69,ROUND('Reference Standards'!$AP$94*E73^2+'Reference Standards'!$AP$95*E73+'Reference Standards'!$AP$96,2))),IF(OR('Quantification Tool R4'!$B$12="66f",'Quantification Tool R4'!$B$12="66g",'Quantification Tool R4'!$B$12="66j",AND('Quantification Tool R4'!$B$12="68a",'Quantification Tool R4'!$B$19="July - December")), IF(E73&lt;0,0,IF(E73&gt;69,0.69,ROUND('Reference Standards'!$AQ$94*E73^2+'Reference Standards'!$AQ$95*E73+'Reference Standards'!$AQ$96,2))))   )))))))))))</f>
        <v/>
      </c>
      <c r="G73" s="531"/>
      <c r="H73" s="568"/>
      <c r="I73" s="519"/>
      <c r="J73" s="559"/>
      <c r="K73" s="555"/>
      <c r="L73" s="21"/>
    </row>
    <row r="74" spans="1:12" ht="15.6" x14ac:dyDescent="0.3">
      <c r="A74" s="556"/>
      <c r="B74" s="561"/>
      <c r="C74" s="174" t="s">
        <v>339</v>
      </c>
      <c r="D74" s="175"/>
      <c r="E74" s="165"/>
      <c r="F74" s="346" t="str">
        <f>IF(E74="","",IF(AND('Quantification Tool R4'!$B$12="74b",'Quantification Tool R4'!$B$13&lt;=2),IF(E74&lt;0,0,IF(E74&gt;8.1,0.69,ROUND('Reference Standards'!$AL$131*E74^2+'Reference Standards'!$AL$132*E74+'Reference Standards'!$AL$133,2))),IF(OR('Quantification Tool R4'!$B$12="73a",'Quantification Tool R4'!$B$12="73b"),IF(E74&lt;0,0,IF(E74&gt;=28,0.69,ROUND('Reference Standards'!$AM$131*E74^2+'Reference Standards'!$AM$132*E74+'Reference Standards'!$AM$133,2))),IF(AND('Quantification Tool R4'!$B$12="74a",'Quantification Tool R4'!$B$13&gt;2,'Quantification Tool R4'!$B$19="January - June"),IF(E74&lt;0,0,IF(E74&gt;=32.5,0.69,ROUND('Reference Standards'!$AN$131*E74^2+'Reference Standards'!$AN$132*E74+'Reference Standards'!$AN$133,2))),IF(AND('Quantification Tool R4'!$B$12="71i",'Quantification Tool R4'!$B$13&gt;2,'Quantification Tool R4'!$B$20="SQBANK"),IF(E74&lt;0,0,IF(E74&gt;=37,0.69,ROUND('Reference Standards'!$AO$131*E74^2+'Reference Standards'!$AO$132*E74+'Reference Standards'!$AO$133,2))),IF(OR(AND(OR('Quantification Tool R4'!$B$12="65abei",'Quantification Tool R4'!$B$12="74b"),'Quantification Tool R4'!$B$13&gt;2),AND('Quantification Tool R4'!$B$12="71i",'Quantification Tool R4'!$B$13&gt;2,'Quantification Tool R4'!$B$20="SQKICK")),IF(E74&lt;0,0,IF(E74&gt;42.6,0.69,ROUND('Reference Standards'!$AP$131*E74^2+'Reference Standards'!$AP$132*E74+'Reference Standards'!$AP$133,2))),     IF(OR(AND('Quantification Tool R4'!$B$12="65abei",'Quantification Tool R4'!$B$13&lt;=2),AND(OR('Quantification Tool R4'!$B$12="68c",'Quantification Tool R4'!$B$12="68d"),'Quantification Tool R4'!$B$19="July - December"),'Quantification Tool R4'!$B$12="71e"),IF(E74&lt;0,0,IF(E74&gt;=48,0.69,ROUND('Reference Standards'!$AL$171*E74^2+'Reference Standards'!$AL$172*E74+'Reference Standards'!$AL$173,2))),IF(OR('Quantification Tool R4'!$B$12="65j",'Quantification Tool R4'!$B$12="67fhi",'Quantification Tool R4'!$B$12="67g",AND('Quantification Tool R4'!$B$12="74a",'Quantification Tool R4'!$B$19="July - December",'Quantification Tool R4'!$B$13&gt;2),AND('Quantification Tool R4'!$B$12="71i",'Quantification Tool R4'!$B$13&lt;=2)),IF(E74&lt;0,0,IF(E74&gt;=53,0.69,ROUND('Reference Standards'!$AM$171*E74^2+'Reference Standards'!$AM$172*E74+'Reference Standards'!$AM$173,2))),IF(OR(AND(OR('Quantification Tool R4'!$B$12="68b",'Quantification Tool R4'!$B$12="71f",'Quantification Tool R4'!$B$12="71g",'Quantification Tool R4'!$B$12="71h"),'Quantification Tool R4'!$B$13&gt;2),'Quantification Tool R4'!$B$12="68a"),IF(E74&lt;0,0,IF(E74&gt;=57,0.69,ROUND('Reference Standards'!$AN$171*E74^2+'Reference Standards'!$AN$172*E74+'Reference Standards'!$AN$173,2))),IF(OR('Quantification Tool R4'!$B$12="66f",'Quantification Tool R4'!$B$12="66g",'Quantification Tool R4'!$B$12="66j",AND(OR('Quantification Tool R4'!$B$12="71f",'Quantification Tool R4'!$B$12="71g",'Quantification Tool R4'!$B$12="71h"),'Quantification Tool R4'!$B$13&lt;=2)),IF(E74&lt;0,0,IF(E74&gt;=60,0.69,ROUND('Reference Standards'!$AO$171*E74^2+'Reference Standards'!$AO$172*E74+'Reference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December")),IF(E74&lt;0,0,IF(E74&gt;=67.5,0.69,ROUND('Reference Standards'!$AP$171*E74^2+'Reference Standards'!$AP$172*E74+'Reference Standards'!$AP$173,2))),IF(AND('Quantification Tool R4'!$B$12="69de",'Quantification Tool R4'!$B$19="January - June"), IF(E74&lt;0,0,IF(E74&gt;=72,0.69,ROUND('Reference Standards'!$AQ$171*E74^2+'Reference Standards'!$AQ$172*E74+'Reference Standards'!$AQ$173,2))))   )))))))))))</f>
        <v/>
      </c>
      <c r="G74" s="531"/>
      <c r="H74" s="568"/>
      <c r="I74" s="519"/>
      <c r="J74" s="559"/>
      <c r="K74" s="555"/>
      <c r="L74" s="21"/>
    </row>
    <row r="75" spans="1:12" ht="15.6" x14ac:dyDescent="0.3">
      <c r="A75" s="556"/>
      <c r="B75" s="562"/>
      <c r="C75" s="127" t="s">
        <v>336</v>
      </c>
      <c r="D75" s="71"/>
      <c r="E75" s="167"/>
      <c r="F75" s="346" t="str">
        <f>IF(E75="","",IF(OR('Quantification Tool R4'!$B$12="67fhi",'Quantification Tool R4'!$B$12="67g",'Quantification Tool R4'!$B$12="71e",'Quantification Tool R4'!$B$12="73a",'Quantification Tool R4'!$B$12="73b",AND(OR('Quantification Tool R4'!$B$12="71f",'Quantification Tool R4'!$B$12="71g",'Quantification Tool R4'!$B$12="71h"),'Quantification Tool R4'!$B$13&gt;2)),IF(E75&gt;100,0,IF(E75&lt;15,0.69,ROUND('Reference Standards'!$AL$208*E75^2+'Reference Standards'!$AL$209*E75+'Reference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),IF(E75&gt;100,0,IF(E75&lt;19,0.69,ROUND('Reference Standards'!$AM$208*E75^2+'Reference Standards'!$AM$209*E75+'Reference Standards'!$AM$210,2))),    IF(OR(AND('Quantification Tool R4'!$B$12="69de",'Quantification Tool R4'!$B$19="January - June"),AND('Quantification Tool R4'!$B$12="71i",'Quantification Tool R4'!$B$13&gt;2,'Quantification Tool R4'!$B$20="SQKICK" )),IF(E75&gt;100,0,IF(E75&lt;22,0.69,ROUND('Reference Standards'!$AN$208*E75^2+'Reference Standards'!$AN$209*E75+'Reference Standards'!$AN$210,2))),    IF(OR('Quantification Tool R4'!$B$12="65j",AND('Quantification Tool R4'!$B$12="68b",'Quantification Tool R4'!$B$13&gt;2)),IF(E75&gt;100,0,IF(E75&lt;24,0.69,ROUND('Reference Standards'!$AO$208*E75^2+'Reference Standards'!$AO$209*E75+'Reference Standards'!$AO$210,2))),    IF(AND(OR('Quantification Tool R4'!$B$12="65abei",'Quantification Tool R4'!$B$12="71f",'Quantification Tool R4'!$B$12="71g",'Quantification Tool R4'!$B$12="71h"),'Quantification Tool R4'!$B$13&lt;=2),IF(E75&gt;95,0,IF(E75&lt;33,0.69,ROUND('Reference Standards'!$AL$246*E75^2+'Reference Standards'!$AL$247*E75+'Reference Standards'!$AL$248,2))),   IF(AND(OR('Quantification Tool R4'!$B$12="65abei",'Quantification Tool R4'!$B$12="74b"),'Quantification Tool R4'!$B$13&gt;2),IF(E75&gt;97,0,IF(E75&lt;36,0.69,ROUND('Reference Standards'!$AM$246*E75^2+'Reference Standards'!$AM$247*E75+'Reference Standards'!$AM$248,2))),  IF(AND('Quantification Tool R4'!$B$12="74a",'Quantification Tool R4'!$B$19="January - June",'Quantification Tool R4'!$B$13&gt;2),IF(E75&gt;93,0,IF(E75&lt;52,0.69,ROUND('Reference Standards'!$AN$246*E75^2+'Reference Standards'!$AN$247*E75+'Reference Standards'!$AN$248,2))),   IF(AND('Quantification Tool R4'!$B$12="74b",'Quantification Tool R4'!$B$13&lt;=2),IF(E75&gt;97,0,IF(E75&lt;62,0.69,ROUND('Reference Standards'!$AO$246*E75^2+'Reference Standards'!$AO$247*E75+'Reference Standards'!$AO$248,2)))  )))))))))</f>
        <v/>
      </c>
      <c r="G75" s="531"/>
      <c r="H75" s="568"/>
      <c r="I75" s="519"/>
      <c r="J75" s="559"/>
      <c r="K75" s="555"/>
      <c r="L75" s="21"/>
    </row>
    <row r="76" spans="1:12" ht="15.6" x14ac:dyDescent="0.3">
      <c r="A76" s="556"/>
      <c r="B76" s="563" t="s">
        <v>74</v>
      </c>
      <c r="C76" s="125" t="s">
        <v>211</v>
      </c>
      <c r="D76" s="126"/>
      <c r="E76" s="166"/>
      <c r="F76" s="345" t="str">
        <f>IF(E76="","",IF(E76=1,0.15,IF(E76=3,0.5,IF(E76=5,0.85,0))))</f>
        <v/>
      </c>
      <c r="G76" s="564" t="str">
        <f>IFERROR(AVERAGE(F76:F77),"")</f>
        <v/>
      </c>
      <c r="H76" s="568"/>
      <c r="I76" s="519"/>
      <c r="J76" s="559"/>
      <c r="K76" s="555"/>
      <c r="L76" s="21"/>
    </row>
    <row r="77" spans="1:12" ht="15.6" x14ac:dyDescent="0.3">
      <c r="A77" s="551"/>
      <c r="B77" s="563"/>
      <c r="C77" s="127" t="s">
        <v>332</v>
      </c>
      <c r="D77" s="71"/>
      <c r="E77" s="167"/>
      <c r="F77" s="347" t="str">
        <f>IF(E77="","",IF(E77=1,0.15,IF(E77=3,0.5,IF(E77=5,0.85,0))))</f>
        <v/>
      </c>
      <c r="G77" s="565"/>
      <c r="H77" s="568"/>
      <c r="I77" s="519"/>
      <c r="J77" s="559"/>
      <c r="K77" s="555"/>
      <c r="L77" s="21"/>
    </row>
    <row r="78" spans="1:12" x14ac:dyDescent="0.3">
      <c r="L78" s="21"/>
    </row>
    <row r="79" spans="1:12" ht="21" x14ac:dyDescent="0.4">
      <c r="A79" s="148" t="s">
        <v>135</v>
      </c>
      <c r="B79" s="246"/>
      <c r="C79" s="249" t="s">
        <v>324</v>
      </c>
      <c r="D79" s="246"/>
      <c r="E79" s="247"/>
      <c r="F79" s="248"/>
      <c r="G79" s="544" t="s">
        <v>18</v>
      </c>
      <c r="H79" s="545"/>
      <c r="I79" s="545"/>
      <c r="J79" s="545"/>
      <c r="K79" s="546"/>
      <c r="L79" s="21"/>
    </row>
    <row r="80" spans="1:12" ht="15.6" x14ac:dyDescent="0.3">
      <c r="A80" s="158" t="s">
        <v>1</v>
      </c>
      <c r="B80" s="158" t="s">
        <v>2</v>
      </c>
      <c r="C80" s="542" t="s">
        <v>3</v>
      </c>
      <c r="D80" s="644"/>
      <c r="E80" s="158" t="s">
        <v>15</v>
      </c>
      <c r="F80" s="158" t="s">
        <v>16</v>
      </c>
      <c r="G80" s="158" t="s">
        <v>19</v>
      </c>
      <c r="H80" s="158" t="s">
        <v>20</v>
      </c>
      <c r="I80" s="314" t="s">
        <v>20</v>
      </c>
      <c r="J80" s="158" t="s">
        <v>21</v>
      </c>
      <c r="K80" s="158" t="s">
        <v>21</v>
      </c>
    </row>
    <row r="81" spans="1:11" ht="15.6" x14ac:dyDescent="0.3">
      <c r="A81" s="540" t="s">
        <v>60</v>
      </c>
      <c r="B81" s="299" t="s">
        <v>86</v>
      </c>
      <c r="C81" s="52" t="s">
        <v>388</v>
      </c>
      <c r="D81" s="52"/>
      <c r="E81" s="162"/>
      <c r="F81" s="338" t="str">
        <f>IF(E81="","",IF(E81&lt;=0,0,IF(E81&gt;=0.95,1,ROUND('Reference Standards'!C$14*E81+'Reference Standards'!C$15,2))))</f>
        <v/>
      </c>
      <c r="G81" s="83" t="str">
        <f>IFERROR(AVERAGE(F81),"")</f>
        <v/>
      </c>
      <c r="H81" s="522" t="str">
        <f>IFERROR(ROUND(AVERAGE(G81:G82),2),"")</f>
        <v/>
      </c>
      <c r="I81" s="519" t="str">
        <f>IF(H81="","",IF(H81&gt;0.69,"Functioning",IF(H81&gt;0.29,"Functioning At Risk",IF(H81&gt;-1,"Not Functioning"))))</f>
        <v/>
      </c>
      <c r="J81" s="559" t="str">
        <f>IF(AND(H81="",H83="",H85="",H107="",H111=""),"",ROUND((IF(H81="",0,H81)*0.2)+(IF(H83="",0,H83)*0.2)+(IF(H85="",0,H85)*0.2)+(IF(H107="",0,H107)*0.2)+(IF(H111="",0,H111)*0.2),2))</f>
        <v/>
      </c>
      <c r="K81" s="555" t="str">
        <f>IF(J81="","",IF(J81&lt;0.3, "Not Functioning",IF(OR(H81&lt;0.7,H83&lt;0.7,H85&lt;0.7,H107&lt;0.7,H111&lt;0.7),"Functioning At Risk",IF(J81&lt;0.7,"Functioning At Risk","Functioning"))))</f>
        <v/>
      </c>
    </row>
    <row r="82" spans="1:11" ht="15.6" x14ac:dyDescent="0.3">
      <c r="A82" s="541"/>
      <c r="B82" s="371" t="s">
        <v>128</v>
      </c>
      <c r="C82" s="373" t="s">
        <v>161</v>
      </c>
      <c r="D82" s="374"/>
      <c r="E82" s="43"/>
      <c r="F82" s="372" t="str">
        <f>IF(E82="","",IF(E82&gt;=1,1,IF(E82&lt;=0,0,ROUND(E82,2))))</f>
        <v/>
      </c>
      <c r="G82" s="367" t="str">
        <f>IFERROR(AVERAGE(F82:F82),"")</f>
        <v/>
      </c>
      <c r="H82" s="523"/>
      <c r="I82" s="519"/>
      <c r="J82" s="559"/>
      <c r="K82" s="555"/>
    </row>
    <row r="83" spans="1:11" ht="15.6" x14ac:dyDescent="0.3">
      <c r="A83" s="524" t="s">
        <v>6</v>
      </c>
      <c r="B83" s="572" t="s">
        <v>7</v>
      </c>
      <c r="C83" s="54" t="s">
        <v>8</v>
      </c>
      <c r="D83" s="54"/>
      <c r="E83" s="162"/>
      <c r="F83" s="339" t="str">
        <f>IF(E83="","",ROUND(IF(E83&gt;1.6,0,IF(E83&lt;=1,1,E83^2*'Reference Standards'!K$14+E83*'Reference Standards'!K$15+'Reference Standards'!K$16)),2))</f>
        <v/>
      </c>
      <c r="G83" s="579" t="str">
        <f>IFERROR(AVERAGE(F83:F84),"")</f>
        <v/>
      </c>
      <c r="H83" s="579" t="str">
        <f>IFERROR(ROUND(AVERAGE(G83),2),"")</f>
        <v/>
      </c>
      <c r="I83" s="569" t="str">
        <f>IF(H83="","",IF(H83&gt;0.69,"Functioning",IF(H83&gt;0.29,"Functioning At Risk",IF(H83&gt;-1,"Not Functioning"))))</f>
        <v/>
      </c>
      <c r="J83" s="559"/>
      <c r="K83" s="555"/>
    </row>
    <row r="84" spans="1:11" ht="15.6" x14ac:dyDescent="0.3">
      <c r="A84" s="525"/>
      <c r="B84" s="572"/>
      <c r="C84" s="54" t="s">
        <v>9</v>
      </c>
      <c r="D84" s="54"/>
      <c r="E84" s="163"/>
      <c r="F84" s="339" t="str">
        <f>IF(E84="","",(IF(OR('Quantification Tool R4'!B$11="A",'Quantification Tool R4'!B$11="B",'Quantification Tool R4'!$B$11="Bc"),IF(E84&lt;1.2,0,IF(E84&gt;=2.2,1,ROUND(IF(E84&lt;1.4,E84*'Reference Standards'!$K$84+'Reference Standards'!$K$85,E84*'Reference Standards'!$L$84+'Reference Standards'!$L$85),2))),IF(OR('Quantification Tool R4'!B$11="C",'Quantification Tool R4'!B$11="E"),IF(E84&lt;2,0,IF(E84&gt;=5,1,ROUND(IF(E84&lt;2.4,E84*'Reference Standards'!$L$49+'Reference Standards'!$L$50,E84*'Reference Standards'!$K$49+'Reference Standards'!$K$50),2)))))))</f>
        <v/>
      </c>
      <c r="G84" s="581"/>
      <c r="H84" s="580"/>
      <c r="I84" s="570"/>
      <c r="J84" s="559"/>
      <c r="K84" s="555"/>
    </row>
    <row r="85" spans="1:11" ht="15.6" x14ac:dyDescent="0.3">
      <c r="A85" s="526" t="s">
        <v>26</v>
      </c>
      <c r="B85" s="557" t="s">
        <v>27</v>
      </c>
      <c r="C85" s="60" t="s">
        <v>333</v>
      </c>
      <c r="D85" s="244"/>
      <c r="E85" s="61"/>
      <c r="F85" s="340" t="str">
        <f>IF(E85="","",IF(OR(LEFT('Quantification Tool R4'!$B$12,2)="65",LEFT('Quantification Tool R4'!$B$12,2)="66",LEFT('Quantification Tool R4'!$B$12,2)="71"),IF(E85&gt;=850,1,IF(E85&lt;250,ROUND('Reference Standards'!$S$17*(E85)+'Reference Standards'!$S$18,2),ROUND('Reference Standards'!$T$17*E85+'Reference Standards'!$T$18,2))),  IF(E85&gt;=345,1,IF(E85&lt;=180,ROUND('Reference Standards'!$U$17*(E85)+'Reference Standards'!$U$18,2),ROUND('Reference Standards'!$V$17*E85+'Reference Standards'!$V$18,2))))    )</f>
        <v/>
      </c>
      <c r="G85" s="528" t="str">
        <f>IFERROR(AVERAGE(F85:F86),"")</f>
        <v/>
      </c>
      <c r="H85" s="566" t="str">
        <f>IFERROR(ROUND(AVERAGE(G85:G106),2),"")</f>
        <v/>
      </c>
      <c r="I85" s="555" t="str">
        <f>IF(H85="","",IF(H85&gt;0.69,"Functioning",IF(H85&gt;0.29,"Functioning At Risk",IF(H85&gt;-1,"Not Functioning"))))</f>
        <v/>
      </c>
      <c r="J85" s="559"/>
      <c r="K85" s="555"/>
    </row>
    <row r="86" spans="1:11" ht="15.6" x14ac:dyDescent="0.3">
      <c r="A86" s="520"/>
      <c r="B86" s="558"/>
      <c r="C86" s="63" t="s">
        <v>323</v>
      </c>
      <c r="D86" s="245"/>
      <c r="E86" s="53"/>
      <c r="F86" s="341" t="str">
        <f>IF(E86="","",IF(OR(LEFT('Quantification Tool R4'!$B$12,2)="65",LEFT('Quantification Tool R4'!$B$12,2)="66",LEFT('Quantification Tool R4'!$B$12,2)="71"),IF(E86&gt;=30,1,IF(E86&lt;13,ROUND('Reference Standards'!$S$53*(E86)+'Reference Standards'!$S$54,2),ROUND('Reference Standards'!$T$53*E86+'Reference Standards'!$T$54,2))),  IF(E86&gt;=16,1,IF(E86&lt;=9,ROUND('Reference Standards'!$U$53*(E86)+'Reference Standards'!$U$54,2),ROUND('Reference Standards'!$V$53*E86+'Reference Standards'!$V$54,2))))    )</f>
        <v/>
      </c>
      <c r="G86" s="530"/>
      <c r="H86" s="566"/>
      <c r="I86" s="555"/>
      <c r="J86" s="559"/>
      <c r="K86" s="555"/>
    </row>
    <row r="87" spans="1:11" ht="15.6" x14ac:dyDescent="0.3">
      <c r="A87" s="520"/>
      <c r="B87" s="520" t="s">
        <v>395</v>
      </c>
      <c r="C87" s="58" t="s">
        <v>80</v>
      </c>
      <c r="D87" s="58"/>
      <c r="E87" s="165"/>
      <c r="F87" s="340" t="str">
        <f>IF(E87="","",ROUND(IF(E87&gt;0.7,0,IF(E87&lt;=0.1,1,E87^3*'Reference Standards'!S$87+E87^2*'Reference Standards'!S$88+E87*'Reference Standards'!S$89+'Reference Standards'!S$90)),2))</f>
        <v/>
      </c>
      <c r="G87" s="528" t="str">
        <f>IFERROR(ROUND(AVERAGE(F87:F90),2),"")</f>
        <v/>
      </c>
      <c r="H87" s="567"/>
      <c r="I87" s="555"/>
      <c r="J87" s="559"/>
      <c r="K87" s="555"/>
    </row>
    <row r="88" spans="1:11" ht="15.6" x14ac:dyDescent="0.3">
      <c r="A88" s="520"/>
      <c r="B88" s="520"/>
      <c r="C88" s="58" t="s">
        <v>49</v>
      </c>
      <c r="D88" s="58"/>
      <c r="E88" s="165"/>
      <c r="F88" s="84" t="str">
        <f>IF(E88="","",IF(OR(E88="Ex/Ex",E88="Ex/VH"),0, IF(OR(E88="Ex/H",E88="VH/Ex",E88="VH/VH", E88="H/Ex",E88="H/VH",E88="M/Ex"),0.1,IF(OR(E88="Ex/M",E88="VH/H",E88="H/H", E88="M/VH"),0.2, IF(OR(E88="Ex/L",E88="VH/M",E88="H/M", E88="M/H",E88="L/Ex"),0.3, IF(OR(E88="Ex/VL",E88="VH/L",E88="H/L"),0.4, IF(OR(E88="VH/VL",E88="H/VL",E88="M/M", E88="L/VH"),0.5, IF(OR(E88="M/L",E88="L/H"),0.6, IF(OR(E88="M/VL",E88="L/M"),0.7, IF(OR(E88="L/L",E88="L/VL"),1))))))))))</f>
        <v/>
      </c>
      <c r="G88" s="529"/>
      <c r="H88" s="567"/>
      <c r="I88" s="555"/>
      <c r="J88" s="559"/>
      <c r="K88" s="555"/>
    </row>
    <row r="89" spans="1:11" ht="15.6" x14ac:dyDescent="0.3">
      <c r="A89" s="520"/>
      <c r="B89" s="520"/>
      <c r="C89" s="58" t="s">
        <v>87</v>
      </c>
      <c r="D89" s="58"/>
      <c r="E89" s="165"/>
      <c r="F89" s="84" t="str">
        <f>IF(E89="","",ROUND(IF(E89&gt;40,0,IF(E89&lt;5,1,E89^3*'Reference Standards'!S$122+E89^2*'Reference Standards'!S$123+E89*'Reference Standards'!S$124+'Reference Standards'!S$125)),2))</f>
        <v/>
      </c>
      <c r="G89" s="529"/>
      <c r="H89" s="567"/>
      <c r="I89" s="555"/>
      <c r="J89" s="559"/>
      <c r="K89" s="555"/>
    </row>
    <row r="90" spans="1:11" ht="15.6" x14ac:dyDescent="0.3">
      <c r="A90" s="520"/>
      <c r="B90" s="521"/>
      <c r="C90" s="59" t="s">
        <v>394</v>
      </c>
      <c r="D90" s="59"/>
      <c r="E90" s="167"/>
      <c r="F90" s="341" t="str">
        <f>IF(E90="","",ROUND(IF(E90&gt;=30,0,IF(E90&lt;=0,1,E90*'Reference Standards'!S$156+'Reference Standards'!S$157)),2))</f>
        <v/>
      </c>
      <c r="G90" s="530"/>
      <c r="H90" s="567"/>
      <c r="I90" s="555"/>
      <c r="J90" s="559"/>
      <c r="K90" s="555"/>
    </row>
    <row r="91" spans="1:11" ht="15.6" x14ac:dyDescent="0.3">
      <c r="A91" s="520"/>
      <c r="B91" s="520" t="s">
        <v>50</v>
      </c>
      <c r="C91" s="60" t="s">
        <v>377</v>
      </c>
      <c r="D91" s="64"/>
      <c r="E91" s="136"/>
      <c r="F91" s="294" t="str">
        <f>IF(E91="","",ROUND(IF(E91&gt;9.2,1,E91*'Reference Standards'!$S$189+'Reference Standards'!$S$190),2))</f>
        <v/>
      </c>
      <c r="G91" s="552" t="str">
        <f>IFERROR(ROUND(AVERAGE(F91:F100),2),"")</f>
        <v/>
      </c>
      <c r="H91" s="567"/>
      <c r="I91" s="555"/>
      <c r="J91" s="559"/>
      <c r="K91" s="555"/>
    </row>
    <row r="92" spans="1:11" ht="15.6" x14ac:dyDescent="0.3">
      <c r="A92" s="520"/>
      <c r="B92" s="520"/>
      <c r="C92" s="62" t="s">
        <v>378</v>
      </c>
      <c r="D92" s="58"/>
      <c r="E92" s="162"/>
      <c r="F92" s="294" t="str">
        <f>IF(E92="","",ROUND(IF(E92&gt;9.2,1,E92*'Reference Standards'!$S$189+'Reference Standards'!$S$190),2))</f>
        <v/>
      </c>
      <c r="G92" s="553"/>
      <c r="H92" s="567"/>
      <c r="I92" s="555"/>
      <c r="J92" s="559"/>
      <c r="K92" s="555"/>
    </row>
    <row r="93" spans="1:11" ht="15.6" x14ac:dyDescent="0.3">
      <c r="A93" s="520"/>
      <c r="B93" s="520"/>
      <c r="C93" s="62" t="s">
        <v>379</v>
      </c>
      <c r="D93" s="58"/>
      <c r="E93" s="162"/>
      <c r="F93" s="294" t="str">
        <f>IF(E93="","",ROUND( IF(E93&gt;=200,1,IF(E93&lt;50, E93^2*'Reference Standards'!S$224+E93*'Reference Standards'!S$225+'Reference Standards'!S$226, E93*'Reference Standards'!T$224+'Reference Standards'!T$225)),2))</f>
        <v/>
      </c>
      <c r="G93" s="553"/>
      <c r="H93" s="567"/>
      <c r="I93" s="555"/>
      <c r="J93" s="559"/>
      <c r="K93" s="555"/>
    </row>
    <row r="94" spans="1:11" ht="15.6" x14ac:dyDescent="0.3">
      <c r="A94" s="520"/>
      <c r="B94" s="520"/>
      <c r="C94" s="62" t="s">
        <v>380</v>
      </c>
      <c r="D94" s="58"/>
      <c r="E94" s="162"/>
      <c r="F94" s="294" t="str">
        <f>IF(E94="","",ROUND( IF(E94&gt;=200,1,IF(E94&lt;50, E94^2*'Reference Standards'!S$224+E94*'Reference Standards'!S$225+'Reference Standards'!S$226, E94*'Reference Standards'!T$224+'Reference Standards'!T$225)),2))</f>
        <v/>
      </c>
      <c r="G94" s="553"/>
      <c r="H94" s="567"/>
      <c r="I94" s="555"/>
      <c r="J94" s="559"/>
      <c r="K94" s="555"/>
    </row>
    <row r="95" spans="1:11" ht="15.6" x14ac:dyDescent="0.3">
      <c r="A95" s="520"/>
      <c r="B95" s="520"/>
      <c r="C95" s="58" t="s">
        <v>381</v>
      </c>
      <c r="D95" s="58"/>
      <c r="E95" s="162"/>
      <c r="F95" s="294" t="str">
        <f>IF(E95="","",ROUND(IF(AND(E95&gt;=135,E95&lt;=262),1,IF(  E95&gt;=366,0.5, IF(E95&lt;135,E95*'Reference Standards'!S$259+'Reference Standards'!S$260, E95*'Reference Standards'!T$259+'Reference Standards'!T$260))),2))</f>
        <v/>
      </c>
      <c r="G95" s="553"/>
      <c r="H95" s="567"/>
      <c r="I95" s="555"/>
      <c r="J95" s="559"/>
      <c r="K95" s="555"/>
    </row>
    <row r="96" spans="1:11" ht="15.6" x14ac:dyDescent="0.3">
      <c r="A96" s="520"/>
      <c r="B96" s="520"/>
      <c r="C96" s="58" t="s">
        <v>382</v>
      </c>
      <c r="D96" s="58"/>
      <c r="E96" s="162"/>
      <c r="F96" s="294" t="str">
        <f>IF(E96="","",ROUND(IF(AND(E96&gt;=135,E96&lt;=262),1,IF(  E96&gt;=366,0.5, IF(E96&lt;135,E96*'Reference Standards'!S$259+'Reference Standards'!S$260, E96*'Reference Standards'!T$259+'Reference Standards'!T$260))),2))</f>
        <v/>
      </c>
      <c r="G96" s="553"/>
      <c r="H96" s="567"/>
      <c r="I96" s="555"/>
      <c r="J96" s="559"/>
      <c r="K96" s="555"/>
    </row>
    <row r="97" spans="1:13" ht="15.6" x14ac:dyDescent="0.3">
      <c r="A97" s="520"/>
      <c r="B97" s="520"/>
      <c r="C97" s="58" t="s">
        <v>383</v>
      </c>
      <c r="D97" s="58"/>
      <c r="E97" s="162"/>
      <c r="F97" s="84" t="str">
        <f>IF(E97="","",ROUND(IF(E97&gt;=75,1,IF(E97&lt;=0,0,E97*'Reference Standards'!S$330)),2))</f>
        <v/>
      </c>
      <c r="G97" s="553"/>
      <c r="H97" s="567"/>
      <c r="I97" s="555"/>
      <c r="J97" s="559"/>
      <c r="K97" s="555"/>
    </row>
    <row r="98" spans="1:13" ht="15.6" x14ac:dyDescent="0.3">
      <c r="A98" s="520"/>
      <c r="B98" s="520"/>
      <c r="C98" s="58" t="s">
        <v>384</v>
      </c>
      <c r="D98" s="58"/>
      <c r="E98" s="162"/>
      <c r="F98" s="84" t="str">
        <f>IF(E98="","",ROUND(IF(E98&gt;=75,1,IF(E98&lt;=0,0,E98*'Reference Standards'!S$330)),2))</f>
        <v/>
      </c>
      <c r="G98" s="553"/>
      <c r="H98" s="567"/>
      <c r="I98" s="555"/>
      <c r="J98" s="559"/>
      <c r="K98" s="555"/>
    </row>
    <row r="99" spans="1:13" ht="15.6" x14ac:dyDescent="0.3">
      <c r="A99" s="520"/>
      <c r="B99" s="520"/>
      <c r="C99" s="58" t="s">
        <v>385</v>
      </c>
      <c r="D99" s="58"/>
      <c r="E99" s="162"/>
      <c r="F99" s="294" t="str">
        <f>IF(E99="","",ROUND(IF(AND(E99&gt;=36.3,E99&lt;=68),1,IF(E99&gt;100,0,IF(E99&lt;36.3,(('Reference Standards'!S$297*(E99^2))+('Reference Standards'!S$298*E99)+'Reference Standards'!S$299),IF(E99&gt;68,(('Reference Standards'!T$297*(E99^2))+('Reference Standards'!T$298*E99)+'Reference Standards'!T$299))))),2))</f>
        <v/>
      </c>
      <c r="G99" s="553"/>
      <c r="H99" s="567"/>
      <c r="I99" s="555"/>
      <c r="J99" s="559"/>
      <c r="K99" s="555"/>
      <c r="M99" s="21"/>
    </row>
    <row r="100" spans="1:13" ht="15.6" x14ac:dyDescent="0.3">
      <c r="A100" s="520"/>
      <c r="B100" s="521"/>
      <c r="C100" s="58" t="s">
        <v>386</v>
      </c>
      <c r="D100" s="65"/>
      <c r="E100" s="162"/>
      <c r="F100" s="294" t="str">
        <f>IF(E100="","",ROUND(IF(AND(E100&gt;=36.3,E100&lt;=68),1,IF(E100&gt;100,0,IF(E100&lt;36.3,(('Reference Standards'!S$297*(E100^2))+('Reference Standards'!S$298*E100)+'Reference Standards'!S$299),IF(E100&gt;68,(('Reference Standards'!T$297*(E100^2))+('Reference Standards'!T$298*E100)+'Reference Standards'!T$299))))),2))</f>
        <v/>
      </c>
      <c r="G100" s="554"/>
      <c r="H100" s="567"/>
      <c r="I100" s="555"/>
      <c r="J100" s="559"/>
      <c r="K100" s="555"/>
    </row>
    <row r="101" spans="1:13" ht="15.6" x14ac:dyDescent="0.3">
      <c r="A101" s="520"/>
      <c r="B101" s="56" t="s">
        <v>108</v>
      </c>
      <c r="C101" s="72" t="s">
        <v>130</v>
      </c>
      <c r="D101" s="58"/>
      <c r="E101" s="43"/>
      <c r="F101" s="82" t="str">
        <f>IF(E101="","",IF(OR('Quantification Tool R4'!B$14="Gravel",'Quantification Tool R4'!B$14="Cobble"),IF(E101&gt;0.1,1,IF(E101&lt;=0.01,0,ROUND(E101*'Reference Standards'!$S$362+'Reference Standards'!$S$363,2)))))</f>
        <v/>
      </c>
      <c r="G101" s="82" t="str">
        <f>IFERROR(AVERAGE(F101),"")</f>
        <v/>
      </c>
      <c r="H101" s="567"/>
      <c r="I101" s="555"/>
      <c r="J101" s="559"/>
      <c r="K101" s="555"/>
    </row>
    <row r="102" spans="1:13" ht="15.6" x14ac:dyDescent="0.3">
      <c r="A102" s="520"/>
      <c r="B102" s="526" t="s">
        <v>51</v>
      </c>
      <c r="C102" s="64" t="s">
        <v>52</v>
      </c>
      <c r="D102" s="64"/>
      <c r="E102" s="166"/>
      <c r="F102" s="337" t="str">
        <f>IF(E102="","",IF(ISNUMBER('Quantification Tool R4'!$B$17),IF('Quantification Tool R4'!$B$17&lt;=2,IF(AND(E102&gt;=3,E102&lt;=5),1,IF(OR(E102&lt;=1,E102&gt;=7),0,ROUND(IF(E102&lt;3,E102*'Reference Standards'!S$398+'Reference Standards'!S$399,E102*'Reference Standards'!T$398+'Reference Standards'!T$399),2))),IF(E102&lt;=2.5,1,IF(E102&gt;=5.8,0,ROUND(E102*'Reference Standards'!S$430+'Reference Standards'!S$431,2))))))</f>
        <v/>
      </c>
      <c r="G102" s="528" t="str">
        <f>IFERROR(AVERAGE(F102:F105),"")</f>
        <v/>
      </c>
      <c r="H102" s="567"/>
      <c r="I102" s="555"/>
      <c r="J102" s="559"/>
      <c r="K102" s="555"/>
    </row>
    <row r="103" spans="1:13" ht="15.6" x14ac:dyDescent="0.3">
      <c r="A103" s="520"/>
      <c r="B103" s="520"/>
      <c r="C103" s="58" t="s">
        <v>53</v>
      </c>
      <c r="D103" s="58"/>
      <c r="E103" s="165"/>
      <c r="F103" s="84" t="str">
        <f>IF(E103="","", IF( E103&gt;=2.4,1, IF(E103&lt;=1,0,  ROUND(IF(E103&lt;2.4, E103*'Reference Standards'!$S$464+'Reference Standards'!$S$465  ),2))))</f>
        <v/>
      </c>
      <c r="G103" s="529"/>
      <c r="H103" s="567"/>
      <c r="I103" s="555"/>
      <c r="J103" s="559"/>
      <c r="K103" s="555"/>
    </row>
    <row r="104" spans="1:13" ht="15.6" x14ac:dyDescent="0.3">
      <c r="A104" s="520"/>
      <c r="B104" s="520"/>
      <c r="C104" s="58" t="s">
        <v>334</v>
      </c>
      <c r="D104" s="58"/>
      <c r="E104" s="165"/>
      <c r="F104" s="390" t="str">
        <f>IF(E104="","", IF(LEFT('Quantification Tool R4'!$B$12,2)="67",  IF( AND(E104&gt;=45,E104&lt;=65),1, IF(OR(E104&lt;=20,E104&gt;=90),0, ROUND(  IF(E104&lt;45, E104*'Reference Standards'!$S$498+'Reference Standards'!$S$499,E104*'Reference Standards'!$T$498+'Reference Standards'!$T$499),2))), IF(OR(  LEFT('Quantification Tool R4'!$B$12,2)="68", LEFT('Quantification Tool R4'!$B$12,2)="69",LEFT('Quantification Tool R4'!$B$12,2)="71"),  IF( AND(E104&gt;=30,E104&lt;=50),1, IF(OR(E104&lt;=10,E104&gt;=70),0, ROUND(  IF(E104&lt;30, E104*'Reference Standards'!$S$533+'Reference Standards'!$S$534,E104*'Reference Standards'!$T$533+'Reference Standards'!$T$534),2))), IF(LEFT('Quantification Tool R4'!$B$12,2)="66",  IF( AND(E104&gt;=20,E104&lt;=45),1, IF(OR(E104&lt;=0,E104&gt;=90),0, ROUND(  IF(E104&lt;20, E104*'Reference Standards'!$S$567+'Reference Standards'!$S$568,E104*'Reference Standards'!$T$567+'Reference Standards'!$T$568),2))), IF(OR(  LEFT('Quantification Tool R4'!$B$12,2)="65", LEFT('Quantification Tool R4'!$B$12,2)="74", LEFT('Quantification Tool R4'!$B$12,2)="73"),  IF( AND(E104&gt;=20,E104&lt;=30),1, IF(OR(E104&lt;=0,E104&gt;=50),0, ROUND(  IF(E104&lt;20, E104*'Reference Standards'!$S$601+'Reference Standards'!$S$602,E104*'Reference Standards'!$T$601+'Reference Standards'!$T$602),2))))))))</f>
        <v/>
      </c>
      <c r="G104" s="529"/>
      <c r="H104" s="567"/>
      <c r="I104" s="555"/>
      <c r="J104" s="559"/>
      <c r="K104" s="555"/>
    </row>
    <row r="105" spans="1:13" ht="15.6" x14ac:dyDescent="0.3">
      <c r="A105" s="520"/>
      <c r="B105" s="521"/>
      <c r="C105" s="62" t="s">
        <v>210</v>
      </c>
      <c r="D105" s="58"/>
      <c r="E105" s="167"/>
      <c r="F105" s="391" t="str">
        <f>IF(E105="","",IF(E105&gt;=1.6,0,IF(E105&lt;=1,1,ROUND('Reference Standards'!$S$633*E105^3+'Reference Standards'!$S$634*E105^2+'Reference Standards'!$S$635*E105+'Reference Standards'!$S$636,2))))</f>
        <v/>
      </c>
      <c r="G105" s="530"/>
      <c r="H105" s="567"/>
      <c r="I105" s="555"/>
      <c r="J105" s="559"/>
      <c r="K105" s="555"/>
      <c r="L105" s="13"/>
    </row>
    <row r="106" spans="1:13" ht="15.6" x14ac:dyDescent="0.3">
      <c r="A106" s="521"/>
      <c r="B106" s="296" t="s">
        <v>55</v>
      </c>
      <c r="C106" s="242" t="s">
        <v>54</v>
      </c>
      <c r="D106" s="243"/>
      <c r="E106" s="163"/>
      <c r="F106" s="342" t="str">
        <f>IF(E106="","",IF(AND('Quantification Tool R4'!B$11="E",'Quantification Tool R4'!$B$14="Sand",'Quantification Tool R4'!$B$21="Unconfined Alluvial"),ROUND(IF(OR(E106&gt;1.8,E106&lt;1.3),0,IF(E106&lt;=1.6,1,E106*'Reference Standards'!S$667+'Reference Standards'!S$668)),2),    IF('Quantification Tool R4'!$B$21="Unconfined Alluvial",ROUND(IF(OR(E106&lt;1.2, E106&gt;1.5),0,IF(E106&lt;=1.4,1,E106*'Reference Standards'!$S$700+'Reference Standards'!$S$701)),2), IF('Quantification Tool R4'!$B$21="Confined Alluvial",ROUND(IF(E106&lt;1.15,0,IF(E106&lt;=1.4,E106*'Reference Standards'!$S$729+'Reference Standards'!$S$730,1)),2),  IF('Quantification Tool R4'!$B$21="Colluvial",ROUND(IF(E106&gt;1.3,0,IF(E106&gt;1.2,E106*'Reference Standards'!$S$760+'Reference Standards'!$S$761,1)),2) )))))</f>
        <v/>
      </c>
      <c r="G106" s="84" t="str">
        <f>IFERROR(AVERAGE(F106),"")</f>
        <v/>
      </c>
      <c r="H106" s="567"/>
      <c r="I106" s="555"/>
      <c r="J106" s="559"/>
      <c r="K106" s="555"/>
      <c r="L106" s="13"/>
    </row>
    <row r="107" spans="1:13" ht="15.6" x14ac:dyDescent="0.3">
      <c r="A107" s="537" t="s">
        <v>58</v>
      </c>
      <c r="B107" s="67" t="s">
        <v>88</v>
      </c>
      <c r="C107" s="70" t="s">
        <v>338</v>
      </c>
      <c r="D107" s="70"/>
      <c r="E107" s="43"/>
      <c r="F107" s="343" t="str">
        <f>IF(E107="","",ROUND(IF(E107&gt;=942,0,IF(E107&lt;=487,E107*'Reference Standards'!AB$15+'Reference Standards'!AB$16,E107*'Reference Standards'!$AC$15+'Reference Standards'!$AC$16)),2))</f>
        <v/>
      </c>
      <c r="G107" s="85" t="str">
        <f>IFERROR(AVERAGE(F107),"")</f>
        <v/>
      </c>
      <c r="H107" s="547" t="str">
        <f>IFERROR(ROUND(AVERAGE(G107:G110),2),"")</f>
        <v/>
      </c>
      <c r="I107" s="534" t="str">
        <f>IF(H107="","",IF(H107&gt;0.69,"Functioning",IF(H107&gt;0.29,"Functioning At Risk",IF(H107&gt;-1,"Not Functioning"))))</f>
        <v/>
      </c>
      <c r="J107" s="559"/>
      <c r="K107" s="555"/>
      <c r="L107" s="21"/>
    </row>
    <row r="108" spans="1:13" ht="15.6" x14ac:dyDescent="0.3">
      <c r="A108" s="538"/>
      <c r="B108" s="297" t="s">
        <v>362</v>
      </c>
      <c r="C108" s="66" t="s">
        <v>354</v>
      </c>
      <c r="D108" s="66"/>
      <c r="E108" s="163"/>
      <c r="F108" s="344" t="str">
        <f>IF(E108="","",IF(OR('Quantification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June")),IF(E108&gt;93,0,IF(E108&lt;13,1,ROUND('Reference Standards'!$AB$53*E108^2+'Reference Standards'!$AB$54*E108+'Reference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R4'!$B$12="73b"),IF(E108&gt;94,0,IF(E108&lt;17,1,ROUND('Reference Standards'!$AC$53*E108^2+'Reference Standards'!$AC$54*E108+'Reference Standards'!$AC$55,2))),    IF(OR(AND(OR('Quantification Tool R4'!$B$12="68b",'Quantification Tool R4'!$B$12="71i"),'Quantification Tool R4'!$B$13&gt;2), 'Quantification Tool R4'!$B$12="71e"),IF(E108&gt;91,0,IF(E108&lt;24,1,ROUND('Reference Standards'!$AD$53*E108^2+'Reference Standards'!$AD$54*E108+'Reference Standards'!$AD$55,2))),  IF(OR(AND(OR('Quantification Tool R4'!$B$12="71f",'Quantification Tool R4'!$B$12="71g",'Quantification Tool R4'!$B$12="71h",'Quantification Tool R4'!$B$12="71i"),'Quantification Tool R4'!$B$13&lt;=2), AND('Quantification Tool R4'!$B$12="74a",'Quantification Tool R4'!$B$13&gt;2)),IF(E108&gt;95,0,IF(E108&lt;=36,1,ROUND('Reference Standards'!$AE$53*E108^2+'Reference Standards'!$AE$54*E108+'Reference Standards'!$AE$55,2))))))))</f>
        <v/>
      </c>
      <c r="G108" s="236" t="str">
        <f>IFERROR(AVERAGE(F108:F108),"")</f>
        <v/>
      </c>
      <c r="H108" s="548"/>
      <c r="I108" s="535"/>
      <c r="J108" s="559"/>
      <c r="K108" s="555"/>
      <c r="L108" s="21"/>
    </row>
    <row r="109" spans="1:13" ht="15.6" x14ac:dyDescent="0.3">
      <c r="A109" s="538"/>
      <c r="B109" s="67" t="s">
        <v>81</v>
      </c>
      <c r="C109" s="68" t="s">
        <v>281</v>
      </c>
      <c r="D109" s="68"/>
      <c r="E109" s="162"/>
      <c r="F109" s="344" t="str">
        <f>IF(E109="","",IF(ISNUMBER('Quantification Tool R4'!$B$13),IF(OR('Quantification Tool R4'!$B$12="66e",'Quantification Tool R4'!$B$12="66f",'Quantification Tool R4'!$B$12="66g"),ROUND(IF(E109&gt;=0.61,0,IF(E109&lt;=0.01,1,IF(E109&lt;=0.06,E109*'Reference Standards'!$AD$197+'Reference Standards'!$AD$198,E109^2*'Reference Standards'!$AB$196+E109*'Reference Standards'!$AB$197+'Reference Standards'!$AB$198))),2),IF('Quantification Tool R4'!$B$12="68b",ROUND(IF(E109&gt;=1.1,0,IF(E109&lt;=0.17,1,IF(E109&lt;=0.22,E109*'Reference Standards'!$AE$197+'Reference Standards'!$AE$198,E109^2*'Reference Standards'!$AC$196+E109*'Reference Standards'!$AC$197+'Reference Standards'!$AC$198))),2),IF('Quantification Tool R4'!$B$13&lt;=2.5,IF('Quantification Tool R4'!$B$12="69de",ROUND(IF(E109&gt;=0.22,0,IF(E109&lt;=0.01,1,E109^2*'Reference Standards'!$AB$90+E109*'Reference Standards'!$AB$91+'Reference Standards'!$AB$92)),2),IF('Quantification Tool R4'!$B$12="68c",ROUND(IF(E109&gt;=0.87,0,IF(E109&lt;=0.01,1,E109^2*'Reference Standards'!$AC$90+E109*'Reference Standards'!$AC$91+'Reference Standards'!$AC$92)),2),IF('Quantification Tool R4'!$B$12="68a",ROUND(IF(E109&gt;=0.81,0,IF(E109&lt;=0.01,1,E109^2*'Reference Standards'!$AD$90+E109*'Reference Standards'!$AD$91+'Reference Standards'!$AD$92)),2),IF('Quantification Tool R4'!$B$12="65abei",ROUND(IF(E109&gt;=0.67,0,IF(E109&lt;=0.01,1,IF(E109&lt;=0.18,E109*'Reference Standards'!$AG$91+'Reference Standards'!$AG$92,E109*'Reference Standards'!$AE$91+'Reference Standards'!$AE$92))),2),IF('Quantification Tool R4'!$B$12="65j",ROUND(IF(E109&gt;=0.32,0,IF(E109&lt;=0.01,1,IF(E109&lt;=0.25,E109*'Reference Standards'!$AH$91+'Reference Standards'!$AH$92,E109*'Reference Standards'!$AF$91+'Reference Standards'!$AF$92))),2),IF('Quantification Tool R4'!$B$12="71f",ROUND(IF(E109&gt;=3,0,IF(E109&lt;=0,1,IF(E109&lt;=0.01,0.7,E109^2*'Reference Standards'!$AB$126+E109*'Reference Standards'!$AB$127+'Reference Standards'!$AB$128))),2),IF('Quantification Tool R4'!$B$12="74a",ROUND(IF(E109&gt;=0.14,0,IF(E109&lt;=0.01,1,IF(E109&lt;=0.02,0.7,E109^2*'Reference Standards'!$AC$126+E109*'Reference Standards'!$AC$127+'Reference Standards'!$AC$128))),2),IF(OR('Quantification Tool R4'!$B$12="67fhi",'Quantification Tool R4'!$B$12="67g"),ROUND(IF(E109&gt;=1.9,0,IF(E109&lt;=0.01,1,IF(E109&lt;=0.05,E109*'Reference Standards'!$AF$127+'Reference Standards'!$AF$128,E109^2*'Reference Standards'!$AD$126+E109*'Reference Standards'!$AD$127+'Reference Standards'!$AD$128))),2),IF('Quantification Tool R4'!$B$12="73a",ROUND(IF(E109&gt;=1.44,0,IF(E109&lt;=0.01,1,IF(E109&lt;=0.12,E109*'Reference Standards'!$AG$127+'Reference Standards'!$AG$128,E109^2*'Reference Standards'!$AE$126+E109*'Reference Standards'!$AE$127+'Reference Standards'!$AE$128))),2),IF('Quantification Tool R4'!$B$12="66d",ROUND(IF(E109&gt;=0.46,0,IF(E109&lt;=0.02,1,IF(E109&lt;=0.08,E109*'Reference Standards'!$AF$163+'Reference Standards'!$AF$164,E109^2*'Reference Standards'!$AB$162+E109*'Reference Standards'!$AB$163+'Reference Standards'!$AB$164))),2),IF(OR('Quantification Tool R4'!$B$12="71g",'Quantification Tool R4'!$B$12="71h",'Quantification Tool R4'!$B$12="71i"),ROUND(IF(E109&gt;=3,0,IF(E109&lt;=0.06,1,IF(E109&lt;=0.24,E109*'Reference Standards'!$AG$163+'Reference Standards'!$AG$164,E109^2*'Reference Standards'!$AC$162+E109*'Reference Standards'!$AC$163+'Reference Standards'!$AC$164))),2),IF('Quantification Tool R4'!$B$12="74b",ROUND(IF(E109&gt;=1.3,0,IF(E109&lt;=0.29,1,IF(E109&lt;=0.48,E109*'Reference Standards'!$AH$163+'Reference Standards'!$AH$164,E109^2*'Reference Standards'!$AD$162+E109*'Reference Standards'!$AD$163+'Reference Standards'!$AD$164))),2),IF('Quantification Tool R4'!$B$12="71e",ROUND(IF(E109&gt;=4.3,0,IF(E109&lt;=0.53,1,IF(E109&lt;=0.67,E109*'Reference Standards'!$AI$163+'Reference Standards'!$AI$164,E109^2*'Reference Standards'!$AE$162+E109*'Reference Standards'!$AE$163+'Reference Standards'!$AE$164))),2)))))))))))))),IF('Quantification Tool R4'!$B$13&gt;2.5,IF('Quantification Tool R4'!$B$12="73a",ROUND(IF(E109&gt;=0.55,0,IF(E109&lt;=0,1,E109^2*'Reference Standards'!$AB$232+E109*'Reference Standards'!$AB$233+'Reference Standards'!$AB$234)),2),IF('Quantification Tool R4'!$B$12="68a",ROUND(IF(E109&gt;=0.54,0,IF(E109&lt;=0,1,IF(E109&lt;=0.01,0.85,E109^2*'Reference Standards'!$AC$232+E109*'Reference Standards'!$AC$233+'Reference Standards'!$AC$234))),2),IF('Quantification Tool R4'!$B$12="74a",ROUND(IF(E109&gt;=0.47,0,IF(E109&lt;=0.01,1,IF(E109&lt;=0.02,0.7,E109^2*'Reference Standards'!$AD$232+E109*'Reference Standards'!$AD$233+'Reference Standards'!$AD$234))),2),IF('Quantification Tool R4'!$B$12="69de",ROUND(IF(E109&gt;=0.26,0,IF(E109&lt;=0.01,1,IF(E109&lt;=0.02,0.85,E109^2*'Reference Standards'!$AE$232+E109*'Reference Standards'!$AE$233+'Reference Standards'!$AE$234))),2),IF('Quantification Tool R4'!$B$12="71f",ROUND(IF(E109&gt;=0.87,0,IF(E109&lt;=0.01,1,IF(E109&lt;=0.04,E109*'Reference Standards'!$AF$269+'Reference Standards'!$AF$270,E109^2*'Reference Standards'!$AB$268+E109*'Reference Standards'!$AB$269+'Reference Standards'!$AB$270))),2),IF('Quantification Tool R4'!$B$12="65abei",ROUND(IF(E109&gt;=0.82,0,IF(E109&lt;=0.01,1,IF(E109&lt;=0.06,E109*'Reference Standards'!$AG$269+'Reference Standards'!$AG$270,E109^2*'Reference Standards'!$AC$268+E109*'Reference Standards'!$AC$269+'Reference Standards'!$AC$270))),2),IF('Quantification Tool R4'!$B$12="65j",ROUND(IF(E109&gt;=0.33,0,IF(E109&lt;=0.03,1,IF(E109&lt;=0.09,E109*'Reference Standards'!$AH$269+'Reference Standards'!$AH$270,E109^2*'Reference Standards'!$AD$268+E109*'Reference Standards'!$AD$269+'Reference Standards'!$AD$270))),2),IF('Quantification Tool R4'!$B$12="68c",ROUND(IF(E109&gt;=0.7,0,IF(E109&lt;=0.07,1,IF(E109&lt;=0.12,E109*'Reference Standards'!$AI$269+'Reference Standards'!$AI$270,E109^2*'Reference Standards'!$AE$268+E109*'Reference Standards'!$AE$269+'Reference Standards'!$AE$270))),2),IF(OR('Quantification Tool R4'!$B$12="67fhi",'Quantification Tool R4'!$B$12="67g"),ROUND(IF(E109&gt;=1.8,0,IF(E109&lt;=0.08,1,IF(E109&lt;=0.2,E109*'Reference Standards'!$AF$306+'Reference Standards'!$AF$307,E109^2*'Reference Standards'!$AB$305+E109*'Reference Standards'!$AB$306+'Reference Standards'!$AB$307))),2),IF('Quantification Tool R4'!$B$12="74b",ROUND(IF(E109&gt;=0.96,0,IF(E109&lt;=0.12,1,IF(E109&lt;=0.16,E109*'Reference Standards'!$AG$306+'Reference Standards'!$AG$307,E109^2*'Reference Standards'!$AC$305+E109*'Reference Standards'!$AC$306+'Reference Standards'!$AC$307))),2),IF('Quantification Tool R4'!$B$12="66d",ROUND(IF(E109&gt;=0.75,0,IF(E109&lt;=0.13,1,IF(E109&lt;=0.2,E109*'Reference Standards'!$AH$306+'Reference Standards'!$AH$307,E109^2*'Reference Standards'!$AD$305+E109*'Reference Standards'!$AD$306+'Reference Standards'!$AD$307))),2),IF(OR('Quantification Tool R4'!$B$12="71g",'Quantification Tool R4'!$B$12="71h",'Quantification Tool R4'!$B$12="71i"),ROUND(IF(E109&gt;=1.68,0,IF(E109&lt;=0.08,1,IF(E109&lt;=0.23,E109*'Reference Standards'!$AI$306+'Reference Standards'!$AI$307,E109^2*'Reference Standards'!$AE$305+E109*'Reference Standards'!$AE$306+'Reference Standards'!$AE$307))),2),IF('Quantification Tool R4'!$B$12="71e",ROUND(IF(E109&gt;=5.3,0,IF(E109&lt;=0.94,1,IF(E109&lt;=1.4,E109*'Reference Standards'!$AF$310+'Reference Standards'!$AF$311,E109^2*'Reference Standards'!$AB$309+E109*'Reference Standards'!$AB$310+'Reference Standards'!$AB$311))),2))))))))))))))))))))</f>
        <v/>
      </c>
      <c r="G109" s="86" t="str">
        <f>IFERROR(AVERAGE(F109),"")</f>
        <v/>
      </c>
      <c r="H109" s="548"/>
      <c r="I109" s="535"/>
      <c r="J109" s="559"/>
      <c r="K109" s="555"/>
      <c r="L109" s="21"/>
    </row>
    <row r="110" spans="1:13" ht="15.6" x14ac:dyDescent="0.3">
      <c r="A110" s="539"/>
      <c r="B110" s="298" t="s">
        <v>82</v>
      </c>
      <c r="C110" s="66" t="s">
        <v>280</v>
      </c>
      <c r="D110" s="66"/>
      <c r="E110" s="136"/>
      <c r="F110" s="343" t="str">
        <f>IF(E110="","",IF(ISNUMBER('Quantification Tool R4'!$B$13),IF('Quantification Tool R4'!$B$13&gt;2.5,IF(OR('Quantification Tool R4'!$B$12="71h",'Quantification Tool R4'!$B$12="71i",'Quantification Tool R4'!$B$12="73a",'Quantification Tool R4'!$B$12="74a"),IF(E110&lt;=0.01,1,IF(OR('Quantification Tool R4'!$B$12="71h",'Quantification Tool R4'!$B$12="71i"),IF(E110&gt;0.37,0,ROUND(IF(E110&gt;0.03,'Reference Standards'!$AB$425*E110^2+'Reference Standards'!$AB$426*E110+'Reference Standards'!$AB$427,'Reference Standards'!$AF$426*E110+'Reference Standards'!$AF$427),2)),IF('Quantification Tool R4'!$B$12="73a",IF(E110&gt;0.405,0,ROUND(IF(E110&gt;0.046,'Reference Standards'!$AC$425*E110^2+'Reference Standards'!$AC$426*E110+'Reference Standards'!$AC$427,'Reference Standards'!$AG$426*E110+'Reference Standards'!$AG$427),2)),IF('Quantification Tool R4'!$B$12="74a",IF(E110&gt;0.3,0,ROUND(IF(E110&gt;0.052,'Reference Standards'!$AD$425*E110^2+'Reference Standards'!$AD$426*E110+'Reference Standards'!$AD$427,'Reference Standards'!$AH$426*E110+'Reference Standards'!$AH$427),2)))))),IF(E110&lt;=0.002,1,IF(OR('Quantification Tool R4'!$B$12="66d",'Quantification Tool R4'!$B$12="66e",'Quantification Tool R4'!$B$12="66g"),IF(E110&gt;0.053,0,ROUND(E110^2*'Reference Standards'!$AB$347+E110*'Reference Standards'!$AB$348+'Reference Standards'!$AB$349,2)),IF('Quantification Tool R4'!$B$12="68b",IF(E110&gt;0.05,0,ROUND(E110^2*'Reference Standards'!$AC$347+E110*'Reference Standards'!$AC$348+'Reference Standards'!$AC$349,2)),IF(OR('Quantification Tool R4'!$B$12="68a",'Quantification Tool R4'!$B$12="68c"),IF(E110&gt;0.07,0,ROUND(E110^2*'Reference Standards'!$AD$347+E110*'Reference Standards'!$AD$348+'Reference Standards'!$AD$349,2)),IF(OR('Quantification Tool R4'!$B$12="71f",'Quantification Tool R4'!$B$12="71g"),IF(E110&gt;0.13,0,ROUND(IF(E110&gt;0.042,E110*'Reference Standards'!$AE$348+'Reference Standards'!$AE$349,E110*'Reference Standards'!$AF$348+'Reference Standards'!$AF$349),2)),IF('Quantification Tool R4'!$B$12="67fhi",IF(E110&gt;0.16,0,ROUND(E110^2*'Reference Standards'!$AG$347+E110*'Reference Standards'!$AG$348+'Reference Standards'!$AG$349,2)),IF('Quantification Tool R4'!$B$12="65j",IF(E110&gt;0.035,0,ROUND(IF(E110&lt;=0.003,0.7,E110^2*'Reference Standards'!$AB$387+E110*'Reference Standards'!$AB$388+'Reference Standards'!$AB$389),2)),IF('Quantification Tool R4'!$B$12="69de",IF(E110&gt;0.037,0,ROUND(IF(E110&lt;=0.003,0.7,E110^2*'Reference Standards'!$AC$387+E110*'Reference Standards'!$AC$388+'Reference Standards'!$AC$389),2)),IF('Quantification Tool R4'!$B$12="71e",IF(E110&gt;0.23,0,ROUND(IF(E110&lt;=0.003,0.7,E110^2*'Reference Standards'!$AD$387+E110*'Reference Standards'!$AD$388+'Reference Standards'!$AD$389),2)),IF('Quantification Tool R4'!$B$12="66f",IF(E110&gt;0.06,0,ROUND(IF(E110&lt;=0.003,0.85,IF(E110&lt;=0.004,0.7,E110^2*'Reference Standards'!$AE$387+E110*'Reference Standards'!$AE$388+'Reference Standards'!$AE$389)),2)),IF('Quantification Tool R4'!$B$12="67g",IF(E110&gt;0.11,0,ROUND(IF(E110&lt;=0.01,E110*'Reference Standards'!$AH$388+'Reference Standards'!$AH$389,E110^2*'Reference Standards'!$AF$387+E110*'Reference Standards'!$AF$388+'Reference Standards'!$AF$389),2)),IF('Quantification Tool R4'!$B$12="74b",IF(E110&gt;0.49,0,ROUND(IF(E110&lt;=0.01,E110*'Reference Standards'!$AH$388+'Reference Standards'!$AH$389,E110^2*'Reference Standards'!$AG$387+E110*'Reference Standards'!$AG$388+'Reference Standards'!$AG$389),2)),IF('Quantification Tool R4'!$B$12="65abei",IF(E110&gt;0.199,0,ROUND(IF(E110&lt;=0.01,E110*'Reference Standards'!$AI$426+'Reference Standards'!$AI$427,E110^2*'Reference Standards'!$AE$425+E110*'Reference Standards'!$AE$426+'Reference Standards'!$AE$427),2)))))))))))))))),IF('Quantification Tool R4'!$B$13&lt;=2.5,IF(OR('Quantification Tool R4'!$B$12="66d",'Quantification Tool R4'!$B$12="66e",'Quantification Tool R4'!$B$12="66g"),IF(E110&gt;0.05,0,ROUND(IF(E110&lt;=0.002,1,IF(E110&lt;=0.005,E110*'Reference Standards'!$AF$464+'Reference Standards'!$AF$465,E110^2*'Reference Standards'!$AB$463+E110*'Reference Standards'!$AB$464+'Reference Standards'!$AB$465)),2)),IF('Quantification Tool R4'!$B$12="67fhi",IF(E110&gt;0.1,0,ROUND(IF(E110&lt;=0.002,1,IF(E110&lt;=0.006,E110*'Reference Standards'!$AG$464+'Reference Standards'!$AG$465,E110^2*'Reference Standards'!$AC$463+E110*'Reference Standards'!$AC$464+'Reference Standards'!$AC$465)),2)),IF('Quantification Tool R4'!$B$12="65abei",IF(E110&gt;0.13,0,ROUND(IF(E110&lt;=0.003,1,IF(E110&lt;=0.008,E110*'Reference Standards'!$AH$464+'Reference Standards'!$AH$465,E110^2*'Reference Standards'!$AD$463+E110*'Reference Standards'!$AD$464+'Reference Standards'!$AD$465)),2)),IF('Quantification Tool R4'!$B$12="68b",IF(E110&gt;0.043,0,ROUND(IF(E110&lt;=0.004,1,IF(E110&lt;=0.005,0.7,E110^2*'Reference Standards'!$AE$463+E110*'Reference Standards'!$AE$464+'Reference Standards'!$AE$465)),2)),IF('Quantification Tool R4'!$B$12="69de",IF(E110&gt;=0.034,0,ROUND(IF(E110&lt;=0.003,1,IF(E110&lt;=0.006,E110*'Reference Standards'!$AG$500+'Reference Standards'!$AG$501,E110*'Reference Standards'!$AB$500+'Reference Standards'!$AB$501)),2)),IF(OR('Quantification Tool R4'!$B$12="68a",'Quantification Tool R4'!$B$12="68c"),IF(E110&gt;0.202,0,ROUND(IF(E110&lt;=0.003,1,IF(E110&lt;=0.006,E110*'Reference Standards'!$AG$500+'Reference Standards'!$AG$501,IF(E110&gt;=0.04,E110*'Reference Standards'!$AC$500+'Reference Standards'!$AC$501,E110*'Reference Standards'!$AE$500+'Reference Standards'!$AE$501))),2)),IF(OR('Quantification Tool R4'!$B$12="71f",'Quantification Tool R4'!$B$12="71g"),IF(E110&gt;0.631,0,ROUND(IF(E110&lt;=0.003,1,IF(E110&lt;=0.006,E110*'Reference Standards'!$AG$500+'Reference Standards'!$AG$501,IF(E110&gt;=0.17,E110*'Reference Standards'!$AD$500+'Reference Standards'!$AD$501,E110*'Reference Standards'!$AF$500+'Reference Standards'!$AF$501))),2)),IF('Quantification Tool R4'!$B$12="71e",IF(E110&gt;1.23,0,ROUND(IF(E110&lt;=0.004,1,IF(E110&lt;=0.006,E110*'Reference Standards'!$AF$538+'Reference Standards'!$AF$539,E110^2*'Reference Standards'!$AB$537+E110*'Reference Standards'!$AB$538+'Reference Standards'!$AB$539)),2)),IF('Quantification Tool R4'!$B$12="67g",IF(E110&gt;0.11,0,ROUND(IF(E110&lt;=0.006,1,IF(E110&lt;=0.011,E110*'Reference Standards'!$AG$538+'Reference Standards'!$AG$539,E110^2*'Reference Standards'!$AC$537+E110*'Reference Standards'!$AC$538+'Reference Standards'!$AC$539)),2)),IF('Quantification Tool R4'!$B$12="65j",IF(E110&gt;0.046,0,ROUND(IF(E110&lt;=0.007,1,IF(E110&lt;=0.012,E110*'Reference Standards'!$AH$538+'Reference Standards'!$AH$539,E110^2*'Reference Standards'!$AD$537+E110*'Reference Standards'!$AD$538+'Reference Standards'!$AD$539)),2)),IF('Quantification Tool R4'!$B$12="66f",IF(E110&gt;0.081,0,ROUND(IF(E110&lt;=0.008,1,IF(E110&lt;=0.011,E110*'Reference Standards'!$AI$538+'Reference Standards'!$AI$539,E110^2*'Reference Standards'!$AE$537+E110*'Reference Standards'!$AE$538+'Reference Standards'!$AE$539)),2)),IF(OR('Quantification Tool R4'!$B$12="71h",'Quantification Tool R4'!$B$12="71i"),IF(E110&gt;0.37,0,ROUND(IF(E110&lt;=0.013,1,IF(E110&lt;=0.032,E110*'Reference Standards'!$AH$576+'Reference Standards'!$AH$577,IF(E110&lt;=0.3,E110*'Reference Standards'!$AF$576+'Reference Standards'!$AF$577,E110*'Reference Standards'!$AB$576+'Reference Standards'!$AB$577))),2)),IF('Quantification Tool R4'!$B$12="73a",IF(E110&gt;0.448,0,ROUND(IF(E110&lt;=0.071,1,IF(E110&lt;=0.086,E110*'Reference Standards'!$AJ$576+'Reference Standards'!$AJ$577,IF(E110&lt;=0.165,E110*'Reference Standards'!$AG$576+'Reference Standards'!$AG$577,E110*'Reference Standards'!$AE$576+'Reference Standards'!$AE$577))),2)),IF('Quantification Tool R4'!$B$12="74b",IF(E110&gt;0.43,0,ROUND(IF(E110&lt;=0.018,1,IF(E110&lt;=0.019,0.85,IF(E110&lt;=0.02,0.7,E110^2*'Reference Standards'!$AC$575+E110*'Reference Standards'!$AC$576+'Reference Standards'!$AC$577))),2)),IF('Quantification Tool R4'!$B$12="74a",IF(E110&gt;0.217,0,ROUND(IF(E110&lt;=0.02,1,IF(E110&lt;=0.033,E110*'Reference Standards'!$AI$576+'Reference Standards'!$AI$577,E110^2*'Reference Standards'!$AD$575+E110*'Reference Standards'!$AD$576+'Reference Standards'!$AD$577)),2)))))))))))))))))))))</f>
        <v/>
      </c>
      <c r="G110" s="87" t="str">
        <f>IFERROR(AVERAGE(F110),"")</f>
        <v/>
      </c>
      <c r="H110" s="549"/>
      <c r="I110" s="536"/>
      <c r="J110" s="559"/>
      <c r="K110" s="555"/>
      <c r="L110" s="21"/>
    </row>
    <row r="111" spans="1:13" ht="15.6" x14ac:dyDescent="0.3">
      <c r="A111" s="550" t="s">
        <v>59</v>
      </c>
      <c r="B111" s="560" t="s">
        <v>340</v>
      </c>
      <c r="C111" s="125" t="s">
        <v>331</v>
      </c>
      <c r="D111" s="126"/>
      <c r="E111" s="166"/>
      <c r="F111" s="345" t="str">
        <f>IF(E111="","",IF(OR('Quantification Tool R4'!B$12="73a",'Quantification Tool R4'!B$12="73b"),IF(E111&lt;1,0,IF(E111&gt;=30,1,ROUND(IF(E111&lt;22,'Reference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531" t="str">
        <f>IFERROR(AVERAGE(F111:F114),"")</f>
        <v/>
      </c>
      <c r="H111" s="568" t="str">
        <f>IFERROR(ROUND(AVERAGE(G111:G116),2),"")</f>
        <v/>
      </c>
      <c r="I111" s="519" t="str">
        <f>IF(H111="","",IF(H111&gt;0.69,"Functioning",IF(H111&gt;0.29,"Functioning At Risk",IF(H111&gt;-1,"Not Functioning"))))</f>
        <v/>
      </c>
      <c r="J111" s="559"/>
      <c r="K111" s="555"/>
      <c r="L111" s="21"/>
    </row>
    <row r="112" spans="1:13" ht="15.6" x14ac:dyDescent="0.3">
      <c r="A112" s="556"/>
      <c r="B112" s="561"/>
      <c r="C112" s="174" t="s">
        <v>335</v>
      </c>
      <c r="D112" s="175"/>
      <c r="E112" s="165"/>
      <c r="F112" s="346" t="str">
        <f>IF(E112="","",IF(AND('Quantification Tool R4'!$B$12="74b",'Quantification Tool R4'!$B$13&lt;=2),IF(E112&lt;0,0,IF(E112&gt;15.6,0.69,ROUND('Reference Standards'!$AL$54*E112^2+'Reference Standards'!$AL$55*E112+'Reference Standards'!$AL$56,2))),IF(AND('Quantification Tool R4'!$B$12="65abei",'Quantification Tool R4'!$B$13&lt;=2),IF(E112&lt;0,0,IF(E112&gt;=20,0.69,ROUND('Reference Standards'!$AM$54*E112^2+'Reference Standards'!$AM$55*E112+'Reference Standards'!$AM$56,2))),IF(OR(AND('Quantification Tool R4'!$B$12="74a",'Quantification Tool R4'!$B$13&gt;2,'Quantification Tool R4'!$B$19="January - June"),AND('Quantification Tool R4'!$B$12="71i",'Quantification Tool R4'!$B$13&gt;2,'Quantification Tool R4'!$B$20="SQBANK")),IF(E112&lt;0,0,IF(E112&gt;24.7,0.69,ROUND('Reference Standards'!$AN$54*E112^2+'Reference Standards'!$AN$55*E112+'Reference Standards'!$AN$56,2))),IF(OR('Quantification Tool R4'!$B$12="74b",'Quantification Tool R4'!$B$12="65abei"),IF(E112&lt;0,0,IF(E112&gt;32.7,0.69,ROUND('Reference Standards'!$AO$54*E112^2+'Reference Standards'!$AO$55*E112+'Reference Standards'!$AO$56,2))),IF(AND('Quantification Tool R4'!$B$12="68b",'Quantification Tool R4'!$B$13&gt;2),IF(E112&lt;0,0,IF(E112&gt;41.2,0.69,ROUND('Reference Standards'!$AP$54*E112^2+'Reference Standards'!$AP$55*E112+'Reference Standards'!$AP$56,2))),IF(OR(AND('Quantification Tool R4'!$B$12="71i",'Quantification Tool R4'!$B$13&lt;=2),AND(OR('Quantification Tool R4'!$B$12="68c",'Quantification Tool R4'!$B$12="68d"),'Quantification Tool R4'!$B$19="January - June")),IF(E112&lt;0,0,IF(E112&gt;49.2,0.69,ROUND('Reference Standards'!$AL$94*E112^2+'Reference Standards'!$AL$95*E112+'Reference Standards'!$AL$96,2))),IF(OR(AND('Quantification Tool R4'!$B$12="68a",'Quantification Tool R4'!$B$19="January - June"),AND(OR('Quantification Tool R4'!$B$12="68c",'Quantification Tool R4'!$B$12="68d"),'Quantification Tool R4'!$B$19="July - December")),IF(E112&lt;0,0,IF(E112&gt;53.4,0.69,ROUND('Reference Standards'!$AM$94*E112^2+'Reference Standards'!$AM$95*E112+'Reference Standards'!$AM$96,2))),IF(OR(AND('Quantification Tool R4'!$B$12="71i",'Quantification Tool R4'!$B$13&gt;2,'Quantification Tool R4'!$B$20="SQKICK"),AND(OR('Quantification Tool R4'!$B$12="67fhi",'Quantification Tool R4'!$B$12="67g"),'Quantification Tool R4'!$B$13&lt;=2),'Quantification Tool R4'!$B$12="65j"),IF(E112&lt;0,0,IF(E112&gt;57.8,0.69,ROUND('Reference Standards'!$AN$94*E112^2+'Reference Standards'!$AN$95*E112+'Reference Standards'!$AN$96,2))),IF(OR(AND('Quantification Tool R4'!$B$12="74a",'Quantification Tool R4'!$B$13&gt;2,'Quantification Tool R4'!$B$19="July - December"),AND(OR('Quantification Tool R4'!$B$12="67fhi",'Quantification Tool R4'!$B$12="67g"),'Quantification Tool R4'!$B$13&gt;2),'Quantification Tool R4'!$B$12="69de"),IF(E112&lt;0,0,IF(E112&gt;62.5,0.69,ROUND('Reference Standards'!$AO$94*E112^2+'Reference Standards'!$AO$95*E112+'Reference Standards'!$AO$96,2))),  IF(OR('Quantification Tool R4'!$B$12="66d",'Quantification Tool R4'!$B$12="66e",'Quantification Tool R4'!$B$12="66ik",'Quantification Tool R4'!$B$12="71e",'Quantification Tool R4'!$B$12="71f",'Quantification Tool R4'!$B$12="71g",'Quantification Tool R4'!$B$12="71h"),IF(E112&lt;0,0,IF(E112&gt;66.5,0.69,ROUND('Reference Standards'!$AP$94*E112^2+'Reference Standards'!$AP$95*E112+'Reference Standards'!$AP$96,2))),IF(OR('Quantification Tool R4'!$B$12="66f",'Quantification Tool R4'!$B$12="66g",'Quantification Tool R4'!$B$12="66j",AND('Quantification Tool R4'!$B$12="68a",'Quantification Tool R4'!$B$19="July - December")), IF(E112&lt;0,0,IF(E112&gt;69,0.69,ROUND('Reference Standards'!$AQ$94*E112^2+'Reference Standards'!$AQ$95*E112+'Reference Standards'!$AQ$96,2))))   )))))))))))</f>
        <v/>
      </c>
      <c r="G112" s="531"/>
      <c r="H112" s="568"/>
      <c r="I112" s="519"/>
      <c r="J112" s="559"/>
      <c r="K112" s="555"/>
      <c r="L112" s="21"/>
    </row>
    <row r="113" spans="1:12" ht="15.6" x14ac:dyDescent="0.3">
      <c r="A113" s="556"/>
      <c r="B113" s="561"/>
      <c r="C113" s="174" t="s">
        <v>339</v>
      </c>
      <c r="D113" s="175"/>
      <c r="E113" s="165"/>
      <c r="F113" s="346" t="str">
        <f>IF(E113="","",IF(AND('Quantification Tool R4'!$B$12="74b",'Quantification Tool R4'!$B$13&lt;=2),IF(E113&lt;0,0,IF(E113&gt;8.1,0.69,ROUND('Reference Standards'!$AL$131*E113^2+'Reference Standards'!$AL$132*E113+'Reference Standards'!$AL$133,2))),IF(OR('Quantification Tool R4'!$B$12="73a",'Quantification Tool R4'!$B$12="73b"),IF(E113&lt;0,0,IF(E113&gt;=28,0.69,ROUND('Reference Standards'!$AM$131*E113^2+'Reference Standards'!$AM$132*E113+'Reference Standards'!$AM$133,2))),IF(AND('Quantification Tool R4'!$B$12="74a",'Quantification Tool R4'!$B$13&gt;2,'Quantification Tool R4'!$B$19="January - June"),IF(E113&lt;0,0,IF(E113&gt;=32.5,0.69,ROUND('Reference Standards'!$AN$131*E113^2+'Reference Standards'!$AN$132*E113+'Reference Standards'!$AN$133,2))),IF(AND('Quantification Tool R4'!$B$12="71i",'Quantification Tool R4'!$B$13&gt;2,'Quantification Tool R4'!$B$20="SQBANK"),IF(E113&lt;0,0,IF(E113&gt;=37,0.69,ROUND('Reference Standards'!$AO$131*E113^2+'Reference Standards'!$AO$132*E113+'Reference Standards'!$AO$133,2))),IF(OR(AND(OR('Quantification Tool R4'!$B$12="65abei",'Quantification Tool R4'!$B$12="74b"),'Quantification Tool R4'!$B$13&gt;2),AND('Quantification Tool R4'!$B$12="71i",'Quantification Tool R4'!$B$13&gt;2,'Quantification Tool R4'!$B$20="SQKICK")),IF(E113&lt;0,0,IF(E113&gt;42.6,0.69,ROUND('Reference Standards'!$AP$131*E113^2+'Reference Standards'!$AP$132*E113+'Reference Standards'!$AP$133,2))),     IF(OR(AND('Quantification Tool R4'!$B$12="65abei",'Quantification Tool R4'!$B$13&lt;=2),AND(OR('Quantification Tool R4'!$B$12="68c",'Quantification Tool R4'!$B$12="68d"),'Quantification Tool R4'!$B$19="July - December"),'Quantification Tool R4'!$B$12="71e"),IF(E113&lt;0,0,IF(E113&gt;=48,0.69,ROUND('Reference Standards'!$AL$171*E113^2+'Reference Standards'!$AL$172*E113+'Reference Standards'!$AL$173,2))),IF(OR('Quantification Tool R4'!$B$12="65j",'Quantification Tool R4'!$B$12="67fhi",'Quantification Tool R4'!$B$12="67g",AND('Quantification Tool R4'!$B$12="74a",'Quantification Tool R4'!$B$19="July - December",'Quantification Tool R4'!$B$13&gt;2),AND('Quantification Tool R4'!$B$12="71i",'Quantification Tool R4'!$B$13&lt;=2)),IF(E113&lt;0,0,IF(E113&gt;=53,0.69,ROUND('Reference Standards'!$AM$171*E113^2+'Reference Standards'!$AM$172*E113+'Reference Standards'!$AM$173,2))),IF(OR(AND(OR('Quantification Tool R4'!$B$12="68b",'Quantification Tool R4'!$B$12="71f",'Quantification Tool R4'!$B$12="71g",'Quantification Tool R4'!$B$12="71h"),'Quantification Tool R4'!$B$13&gt;2),'Quantification Tool R4'!$B$12="68a"),IF(E113&lt;0,0,IF(E113&gt;=57,0.69,ROUND('Reference Standards'!$AN$171*E113^2+'Reference Standards'!$AN$172*E113+'Reference Standards'!$AN$173,2))),IF(OR('Quantification Tool R4'!$B$12="66f",'Quantification Tool R4'!$B$12="66g",'Quantification Tool R4'!$B$12="66j",AND(OR('Quantification Tool R4'!$B$12="71f",'Quantification Tool R4'!$B$12="71g",'Quantification Tool R4'!$B$12="71h"),'Quantification Tool R4'!$B$13&lt;=2)),IF(E113&lt;0,0,IF(E113&gt;=60,0.69,ROUND('Reference Standards'!$AO$171*E113^2+'Reference Standards'!$AO$172*E113+'Reference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December")),IF(E113&lt;0,0,IF(E113&gt;=67.5,0.69,ROUND('Reference Standards'!$AP$171*E113^2+'Reference Standards'!$AP$172*E113+'Reference Standards'!$AP$173,2))),IF(AND('Quantification Tool R4'!$B$12="69de",'Quantification Tool R4'!$B$19="January - June"), IF(E113&lt;0,0,IF(E113&gt;=72,0.69,ROUND('Reference Standards'!$AQ$171*E113^2+'Reference Standards'!$AQ$172*E113+'Reference Standards'!$AQ$173,2))))   )))))))))))</f>
        <v/>
      </c>
      <c r="G113" s="531"/>
      <c r="H113" s="568"/>
      <c r="I113" s="519"/>
      <c r="J113" s="559"/>
      <c r="K113" s="555"/>
      <c r="L113" s="21"/>
    </row>
    <row r="114" spans="1:12" ht="15.6" x14ac:dyDescent="0.3">
      <c r="A114" s="556"/>
      <c r="B114" s="562"/>
      <c r="C114" s="127" t="s">
        <v>336</v>
      </c>
      <c r="D114" s="71"/>
      <c r="E114" s="167"/>
      <c r="F114" s="346" t="str">
        <f>IF(E114="","",IF(OR('Quantification Tool R4'!$B$12="67fhi",'Quantification Tool R4'!$B$12="67g",'Quantification Tool R4'!$B$12="71e",'Quantification Tool R4'!$B$12="73a",'Quantification Tool R4'!$B$12="73b",AND(OR('Quantification Tool R4'!$B$12="71f",'Quantification Tool R4'!$B$12="71g",'Quantification Tool R4'!$B$12="71h"),'Quantification Tool R4'!$B$13&gt;2)),IF(E114&gt;100,0,IF(E114&lt;15,0.69,ROUND('Reference Standards'!$AL$208*E114^2+'Reference Standards'!$AL$209*E114+'Reference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),IF(E114&gt;100,0,IF(E114&lt;19,0.69,ROUND('Reference Standards'!$AM$208*E114^2+'Reference Standards'!$AM$209*E114+'Reference Standards'!$AM$210,2))),    IF(OR(AND('Quantification Tool R4'!$B$12="69de",'Quantification Tool R4'!$B$19="January - June"),AND('Quantification Tool R4'!$B$12="71i",'Quantification Tool R4'!$B$13&gt;2,'Quantification Tool R4'!$B$20="SQKICK" )),IF(E114&gt;100,0,IF(E114&lt;22,0.69,ROUND('Reference Standards'!$AN$208*E114^2+'Reference Standards'!$AN$209*E114+'Reference Standards'!$AN$210,2))),    IF(OR('Quantification Tool R4'!$B$12="65j",AND('Quantification Tool R4'!$B$12="68b",'Quantification Tool R4'!$B$13&gt;2)),IF(E114&gt;100,0,IF(E114&lt;24,0.69,ROUND('Reference Standards'!$AO$208*E114^2+'Reference Standards'!$AO$209*E114+'Reference Standards'!$AO$210,2))),    IF(AND(OR('Quantification Tool R4'!$B$12="65abei",'Quantification Tool R4'!$B$12="71f",'Quantification Tool R4'!$B$12="71g",'Quantification Tool R4'!$B$12="71h"),'Quantification Tool R4'!$B$13&lt;=2),IF(E114&gt;95,0,IF(E114&lt;33,0.69,ROUND('Reference Standards'!$AL$246*E114^2+'Reference Standards'!$AL$247*E114+'Reference Standards'!$AL$248,2))),   IF(AND(OR('Quantification Tool R4'!$B$12="65abei",'Quantification Tool R4'!$B$12="74b"),'Quantification Tool R4'!$B$13&gt;2),IF(E114&gt;97,0,IF(E114&lt;36,0.69,ROUND('Reference Standards'!$AM$246*E114^2+'Reference Standards'!$AM$247*E114+'Reference Standards'!$AM$248,2))),  IF(AND('Quantification Tool R4'!$B$12="74a",'Quantification Tool R4'!$B$19="January - June",'Quantification Tool R4'!$B$13&gt;2),IF(E114&gt;93,0,IF(E114&lt;52,0.69,ROUND('Reference Standards'!$AN$246*E114^2+'Reference Standards'!$AN$247*E114+'Reference Standards'!$AN$248,2))),   IF(AND('Quantification Tool R4'!$B$12="74b",'Quantification Tool R4'!$B$13&lt;=2),IF(E114&gt;97,0,IF(E114&lt;62,0.69,ROUND('Reference Standards'!$AO$246*E114^2+'Reference Standards'!$AO$247*E114+'Reference Standards'!$AO$248,2)))  )))))))))</f>
        <v/>
      </c>
      <c r="G114" s="531"/>
      <c r="H114" s="568"/>
      <c r="I114" s="519"/>
      <c r="J114" s="559"/>
      <c r="K114" s="555"/>
      <c r="L114" s="21"/>
    </row>
    <row r="115" spans="1:12" ht="15.6" x14ac:dyDescent="0.3">
      <c r="A115" s="556"/>
      <c r="B115" s="563" t="s">
        <v>74</v>
      </c>
      <c r="C115" s="125" t="s">
        <v>211</v>
      </c>
      <c r="D115" s="126"/>
      <c r="E115" s="166"/>
      <c r="F115" s="345" t="str">
        <f>IF(E115="","",IF(E115=1,0.15,IF(E115=3,0.5,IF(E115=5,0.85,0))))</f>
        <v/>
      </c>
      <c r="G115" s="564" t="str">
        <f>IFERROR(AVERAGE(F115:F116),"")</f>
        <v/>
      </c>
      <c r="H115" s="568"/>
      <c r="I115" s="519"/>
      <c r="J115" s="559"/>
      <c r="K115" s="555"/>
      <c r="L115" s="21"/>
    </row>
    <row r="116" spans="1:12" ht="15.6" x14ac:dyDescent="0.3">
      <c r="A116" s="551"/>
      <c r="B116" s="563"/>
      <c r="C116" s="127" t="s">
        <v>332</v>
      </c>
      <c r="D116" s="71"/>
      <c r="E116" s="167"/>
      <c r="F116" s="347" t="str">
        <f>IF(E116="","",IF(E116=1,0.15,IF(E116=3,0.5,IF(E116=5,0.85,0))))</f>
        <v/>
      </c>
      <c r="G116" s="565"/>
      <c r="H116" s="568"/>
      <c r="I116" s="519"/>
      <c r="J116" s="559"/>
      <c r="K116" s="555"/>
      <c r="L116" s="21"/>
    </row>
    <row r="117" spans="1:12" x14ac:dyDescent="0.3">
      <c r="L117" s="21"/>
    </row>
    <row r="118" spans="1:12" ht="21" x14ac:dyDescent="0.4">
      <c r="A118" s="148" t="s">
        <v>135</v>
      </c>
      <c r="B118" s="246"/>
      <c r="C118" s="249" t="s">
        <v>324</v>
      </c>
      <c r="D118" s="246"/>
      <c r="E118" s="247"/>
      <c r="F118" s="248"/>
      <c r="G118" s="544" t="s">
        <v>18</v>
      </c>
      <c r="H118" s="545"/>
      <c r="I118" s="545"/>
      <c r="J118" s="545"/>
      <c r="K118" s="546"/>
      <c r="L118" s="21"/>
    </row>
    <row r="119" spans="1:12" ht="15.6" x14ac:dyDescent="0.3">
      <c r="A119" s="158" t="s">
        <v>1</v>
      </c>
      <c r="B119" s="158" t="s">
        <v>2</v>
      </c>
      <c r="C119" s="542" t="s">
        <v>3</v>
      </c>
      <c r="D119" s="644"/>
      <c r="E119" s="158" t="s">
        <v>15</v>
      </c>
      <c r="F119" s="158" t="s">
        <v>16</v>
      </c>
      <c r="G119" s="158" t="s">
        <v>19</v>
      </c>
      <c r="H119" s="158" t="s">
        <v>20</v>
      </c>
      <c r="I119" s="314" t="s">
        <v>20</v>
      </c>
      <c r="J119" s="158" t="s">
        <v>21</v>
      </c>
      <c r="K119" s="158" t="s">
        <v>21</v>
      </c>
    </row>
    <row r="120" spans="1:12" ht="15.6" x14ac:dyDescent="0.3">
      <c r="A120" s="540" t="s">
        <v>60</v>
      </c>
      <c r="B120" s="299" t="s">
        <v>86</v>
      </c>
      <c r="C120" s="52" t="s">
        <v>388</v>
      </c>
      <c r="D120" s="52"/>
      <c r="E120" s="162"/>
      <c r="F120" s="338" t="str">
        <f>IF(E120="","",IF(E120&lt;=0,0,IF(E120&gt;=0.95,1,ROUND('Reference Standards'!C$14*E120+'Reference Standards'!C$15,2))))</f>
        <v/>
      </c>
      <c r="G120" s="83" t="str">
        <f>IFERROR(AVERAGE(F120),"")</f>
        <v/>
      </c>
      <c r="H120" s="522" t="str">
        <f>IFERROR(ROUND(AVERAGE(G120:G121),2),"")</f>
        <v/>
      </c>
      <c r="I120" s="519" t="str">
        <f>IF(H120="","",IF(H120&gt;0.69,"Functioning",IF(H120&gt;0.29,"Functioning At Risk",IF(H120&gt;-1,"Not Functioning"))))</f>
        <v/>
      </c>
      <c r="J120" s="559" t="str">
        <f>IF(AND(H120="",H122="",H124="",H146="",H150=""),"",ROUND((IF(H120="",0,H120)*0.2)+(IF(H122="",0,H122)*0.2)+(IF(H124="",0,H124)*0.2)+(IF(H146="",0,H146)*0.2)+(IF(H150="",0,H150)*0.2),2))</f>
        <v/>
      </c>
      <c r="K120" s="555" t="str">
        <f>IF(J120="","",IF(J120&lt;0.3, "Not Functioning",IF(OR(H120&lt;0.7,H122&lt;0.7,H124&lt;0.7,H146&lt;0.7,H150&lt;0.7),"Functioning At Risk",IF(J120&lt;0.7,"Functioning At Risk","Functioning"))))</f>
        <v/>
      </c>
    </row>
    <row r="121" spans="1:12" ht="15.6" x14ac:dyDescent="0.3">
      <c r="A121" s="541"/>
      <c r="B121" s="371" t="s">
        <v>128</v>
      </c>
      <c r="C121" s="373" t="s">
        <v>161</v>
      </c>
      <c r="D121" s="374"/>
      <c r="E121" s="43"/>
      <c r="F121" s="372" t="str">
        <f>IF(E121="","",IF(E121&gt;=1,1,IF(E121&lt;=0,0,ROUND(E121,2))))</f>
        <v/>
      </c>
      <c r="G121" s="367" t="str">
        <f>IFERROR(AVERAGE(F121:F121),"")</f>
        <v/>
      </c>
      <c r="H121" s="523"/>
      <c r="I121" s="519"/>
      <c r="J121" s="559"/>
      <c r="K121" s="555"/>
    </row>
    <row r="122" spans="1:12" ht="15.6" x14ac:dyDescent="0.3">
      <c r="A122" s="524" t="s">
        <v>6</v>
      </c>
      <c r="B122" s="572" t="s">
        <v>7</v>
      </c>
      <c r="C122" s="54" t="s">
        <v>8</v>
      </c>
      <c r="D122" s="54"/>
      <c r="E122" s="162"/>
      <c r="F122" s="339" t="str">
        <f>IF(E122="","",ROUND(IF(E122&gt;1.6,0,IF(E122&lt;=1,1,E122^2*'Reference Standards'!K$14+E122*'Reference Standards'!K$15+'Reference Standards'!K$16)),2))</f>
        <v/>
      </c>
      <c r="G122" s="579" t="str">
        <f>IFERROR(AVERAGE(F122:F123),"")</f>
        <v/>
      </c>
      <c r="H122" s="579" t="str">
        <f>IFERROR(ROUND(AVERAGE(G122),2),"")</f>
        <v/>
      </c>
      <c r="I122" s="569" t="str">
        <f>IF(H122="","",IF(H122&gt;0.69,"Functioning",IF(H122&gt;0.29,"Functioning At Risk",IF(H122&gt;-1,"Not Functioning"))))</f>
        <v/>
      </c>
      <c r="J122" s="559"/>
      <c r="K122" s="555"/>
    </row>
    <row r="123" spans="1:12" ht="15.6" x14ac:dyDescent="0.3">
      <c r="A123" s="525"/>
      <c r="B123" s="572"/>
      <c r="C123" s="54" t="s">
        <v>9</v>
      </c>
      <c r="D123" s="54"/>
      <c r="E123" s="163"/>
      <c r="F123" s="339" t="str">
        <f>IF(E123="","",(IF(OR('Quantification Tool R4'!B$11="A",'Quantification Tool R4'!B$11="B",'Quantification Tool R4'!$B$11="Bc"),IF(E123&lt;1.2,0,IF(E123&gt;=2.2,1,ROUND(IF(E123&lt;1.4,E123*'Reference Standards'!$K$84+'Reference Standards'!$K$85,E123*'Reference Standards'!$L$84+'Reference Standards'!$L$85),2))),IF(OR('Quantification Tool R4'!B$11="C",'Quantification Tool R4'!B$11="E"),IF(E123&lt;2,0,IF(E123&gt;=5,1,ROUND(IF(E123&lt;2.4,E123*'Reference Standards'!$L$49+'Reference Standards'!$L$50,E123*'Reference Standards'!$K$49+'Reference Standards'!$K$50),2)))))))</f>
        <v/>
      </c>
      <c r="G123" s="581"/>
      <c r="H123" s="580"/>
      <c r="I123" s="570"/>
      <c r="J123" s="559"/>
      <c r="K123" s="555"/>
    </row>
    <row r="124" spans="1:12" ht="15.6" x14ac:dyDescent="0.3">
      <c r="A124" s="526" t="s">
        <v>26</v>
      </c>
      <c r="B124" s="557" t="s">
        <v>27</v>
      </c>
      <c r="C124" s="60" t="s">
        <v>333</v>
      </c>
      <c r="D124" s="244"/>
      <c r="E124" s="61"/>
      <c r="F124" s="340" t="str">
        <f>IF(E124="","",IF(OR(LEFT('Quantification Tool R4'!$B$12,2)="65",LEFT('Quantification Tool R4'!$B$12,2)="66",LEFT('Quantification Tool R4'!$B$12,2)="71"),IF(E124&gt;=850,1,IF(E124&lt;250,ROUND('Reference Standards'!$S$17*(E124)+'Reference Standards'!$S$18,2),ROUND('Reference Standards'!$T$17*E124+'Reference Standards'!$T$18,2))),  IF(E124&gt;=345,1,IF(E124&lt;=180,ROUND('Reference Standards'!$U$17*(E124)+'Reference Standards'!$U$18,2),ROUND('Reference Standards'!$V$17*E124+'Reference Standards'!$V$18,2))))    )</f>
        <v/>
      </c>
      <c r="G124" s="528" t="str">
        <f>IFERROR(AVERAGE(F124:F125),"")</f>
        <v/>
      </c>
      <c r="H124" s="566" t="str">
        <f>IFERROR(ROUND(AVERAGE(G124:G145),2),"")</f>
        <v/>
      </c>
      <c r="I124" s="555" t="str">
        <f>IF(H124="","",IF(H124&gt;0.69,"Functioning",IF(H124&gt;0.29,"Functioning At Risk",IF(H124&gt;-1,"Not Functioning"))))</f>
        <v/>
      </c>
      <c r="J124" s="559"/>
      <c r="K124" s="555"/>
    </row>
    <row r="125" spans="1:12" ht="15.6" x14ac:dyDescent="0.3">
      <c r="A125" s="520"/>
      <c r="B125" s="558"/>
      <c r="C125" s="63" t="s">
        <v>323</v>
      </c>
      <c r="D125" s="245"/>
      <c r="E125" s="53"/>
      <c r="F125" s="341" t="str">
        <f>IF(E125="","",IF(OR(LEFT('Quantification Tool R4'!$B$12,2)="65",LEFT('Quantification Tool R4'!$B$12,2)="66",LEFT('Quantification Tool R4'!$B$12,2)="71"),IF(E125&gt;=30,1,IF(E125&lt;13,ROUND('Reference Standards'!$S$53*(E125)+'Reference Standards'!$S$54,2),ROUND('Reference Standards'!$T$53*E125+'Reference Standards'!$T$54,2))),  IF(E125&gt;=16,1,IF(E125&lt;=9,ROUND('Reference Standards'!$U$53*(E125)+'Reference Standards'!$U$54,2),ROUND('Reference Standards'!$V$53*E125+'Reference Standards'!$V$54,2))))    )</f>
        <v/>
      </c>
      <c r="G125" s="530"/>
      <c r="H125" s="566"/>
      <c r="I125" s="555"/>
      <c r="J125" s="559"/>
      <c r="K125" s="555"/>
    </row>
    <row r="126" spans="1:12" ht="15.6" x14ac:dyDescent="0.3">
      <c r="A126" s="520"/>
      <c r="B126" s="520" t="s">
        <v>395</v>
      </c>
      <c r="C126" s="58" t="s">
        <v>80</v>
      </c>
      <c r="D126" s="58"/>
      <c r="E126" s="165"/>
      <c r="F126" s="340" t="str">
        <f>IF(E126="","",ROUND(IF(E126&gt;0.7,0,IF(E126&lt;=0.1,1,E126^3*'Reference Standards'!S$87+E126^2*'Reference Standards'!S$88+E126*'Reference Standards'!S$89+'Reference Standards'!S$90)),2))</f>
        <v/>
      </c>
      <c r="G126" s="528" t="str">
        <f>IFERROR(ROUND(AVERAGE(F126:F129),2),"")</f>
        <v/>
      </c>
      <c r="H126" s="567"/>
      <c r="I126" s="555"/>
      <c r="J126" s="559"/>
      <c r="K126" s="555"/>
    </row>
    <row r="127" spans="1:12" ht="15.6" x14ac:dyDescent="0.3">
      <c r="A127" s="520"/>
      <c r="B127" s="520"/>
      <c r="C127" s="58" t="s">
        <v>49</v>
      </c>
      <c r="D127" s="58"/>
      <c r="E127" s="165"/>
      <c r="F127" s="84"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529"/>
      <c r="H127" s="567"/>
      <c r="I127" s="555"/>
      <c r="J127" s="559"/>
      <c r="K127" s="555"/>
    </row>
    <row r="128" spans="1:12" ht="15.6" x14ac:dyDescent="0.3">
      <c r="A128" s="520"/>
      <c r="B128" s="520"/>
      <c r="C128" s="58" t="s">
        <v>87</v>
      </c>
      <c r="D128" s="58"/>
      <c r="E128" s="165"/>
      <c r="F128" s="84" t="str">
        <f>IF(E128="","",ROUND(IF(E128&gt;40,0,IF(E128&lt;5,1,E128^3*'Reference Standards'!S$122+E128^2*'Reference Standards'!S$123+E128*'Reference Standards'!S$124+'Reference Standards'!S$125)),2))</f>
        <v/>
      </c>
      <c r="G128" s="529"/>
      <c r="H128" s="567"/>
      <c r="I128" s="555"/>
      <c r="J128" s="559"/>
      <c r="K128" s="555"/>
    </row>
    <row r="129" spans="1:13" ht="15.6" x14ac:dyDescent="0.3">
      <c r="A129" s="520"/>
      <c r="B129" s="521"/>
      <c r="C129" s="59" t="s">
        <v>394</v>
      </c>
      <c r="D129" s="59"/>
      <c r="E129" s="167"/>
      <c r="F129" s="341" t="str">
        <f>IF(E129="","",ROUND(IF(E129&gt;=30,0,IF(E129&lt;=0,1,E129*'Reference Standards'!S$156+'Reference Standards'!S$157)),2))</f>
        <v/>
      </c>
      <c r="G129" s="530"/>
      <c r="H129" s="567"/>
      <c r="I129" s="555"/>
      <c r="J129" s="559"/>
      <c r="K129" s="555"/>
    </row>
    <row r="130" spans="1:13" ht="15.6" x14ac:dyDescent="0.3">
      <c r="A130" s="520"/>
      <c r="B130" s="520" t="s">
        <v>50</v>
      </c>
      <c r="C130" s="60" t="s">
        <v>377</v>
      </c>
      <c r="D130" s="64"/>
      <c r="E130" s="136"/>
      <c r="F130" s="294" t="str">
        <f>IF(E130="","",ROUND(IF(E130&gt;9.2,1,E130*'Reference Standards'!$S$189+'Reference Standards'!$S$190),2))</f>
        <v/>
      </c>
      <c r="G130" s="552" t="str">
        <f>IFERROR(ROUND(AVERAGE(F130:F139),2),"")</f>
        <v/>
      </c>
      <c r="H130" s="567"/>
      <c r="I130" s="555"/>
      <c r="J130" s="559"/>
      <c r="K130" s="555"/>
    </row>
    <row r="131" spans="1:13" ht="15.6" x14ac:dyDescent="0.3">
      <c r="A131" s="520"/>
      <c r="B131" s="520"/>
      <c r="C131" s="62" t="s">
        <v>378</v>
      </c>
      <c r="D131" s="58"/>
      <c r="E131" s="162"/>
      <c r="F131" s="294" t="str">
        <f>IF(E131="","",ROUND(IF(E131&gt;9.2,1,E131*'Reference Standards'!$S$189+'Reference Standards'!$S$190),2))</f>
        <v/>
      </c>
      <c r="G131" s="553"/>
      <c r="H131" s="567"/>
      <c r="I131" s="555"/>
      <c r="J131" s="559"/>
      <c r="K131" s="555"/>
    </row>
    <row r="132" spans="1:13" ht="15.6" x14ac:dyDescent="0.3">
      <c r="A132" s="520"/>
      <c r="B132" s="520"/>
      <c r="C132" s="62" t="s">
        <v>379</v>
      </c>
      <c r="D132" s="58"/>
      <c r="E132" s="162"/>
      <c r="F132" s="294" t="str">
        <f>IF(E132="","",ROUND( IF(E132&gt;=200,1,IF(E132&lt;50, E132^2*'Reference Standards'!S$224+E132*'Reference Standards'!S$225+'Reference Standards'!S$226, E132*'Reference Standards'!T$224+'Reference Standards'!T$225)),2))</f>
        <v/>
      </c>
      <c r="G132" s="553"/>
      <c r="H132" s="567"/>
      <c r="I132" s="555"/>
      <c r="J132" s="559"/>
      <c r="K132" s="555"/>
    </row>
    <row r="133" spans="1:13" ht="15.6" x14ac:dyDescent="0.3">
      <c r="A133" s="520"/>
      <c r="B133" s="520"/>
      <c r="C133" s="62" t="s">
        <v>380</v>
      </c>
      <c r="D133" s="58"/>
      <c r="E133" s="162"/>
      <c r="F133" s="294" t="str">
        <f>IF(E133="","",ROUND( IF(E133&gt;=200,1,IF(E133&lt;50, E133^2*'Reference Standards'!S$224+E133*'Reference Standards'!S$225+'Reference Standards'!S$226, E133*'Reference Standards'!T$224+'Reference Standards'!T$225)),2))</f>
        <v/>
      </c>
      <c r="G133" s="553"/>
      <c r="H133" s="567"/>
      <c r="I133" s="555"/>
      <c r="J133" s="559"/>
      <c r="K133" s="555"/>
    </row>
    <row r="134" spans="1:13" ht="15.6" x14ac:dyDescent="0.3">
      <c r="A134" s="520"/>
      <c r="B134" s="520"/>
      <c r="C134" s="58" t="s">
        <v>381</v>
      </c>
      <c r="D134" s="58"/>
      <c r="E134" s="162"/>
      <c r="F134" s="294" t="str">
        <f>IF(E134="","",ROUND(IF(AND(E134&gt;=135,E134&lt;=262),1,IF(  E134&gt;=366,0.5, IF(E134&lt;135,E134*'Reference Standards'!S$259+'Reference Standards'!S$260, E134*'Reference Standards'!T$259+'Reference Standards'!T$260))),2))</f>
        <v/>
      </c>
      <c r="G134" s="553"/>
      <c r="H134" s="567"/>
      <c r="I134" s="555"/>
      <c r="J134" s="559"/>
      <c r="K134" s="555"/>
    </row>
    <row r="135" spans="1:13" ht="15.6" x14ac:dyDescent="0.3">
      <c r="A135" s="520"/>
      <c r="B135" s="520"/>
      <c r="C135" s="58" t="s">
        <v>382</v>
      </c>
      <c r="D135" s="58"/>
      <c r="E135" s="162"/>
      <c r="F135" s="294" t="str">
        <f>IF(E135="","",ROUND(IF(AND(E135&gt;=135,E135&lt;=262),1,IF(  E135&gt;=366,0.5, IF(E135&lt;135,E135*'Reference Standards'!S$259+'Reference Standards'!S$260, E135*'Reference Standards'!T$259+'Reference Standards'!T$260))),2))</f>
        <v/>
      </c>
      <c r="G135" s="553"/>
      <c r="H135" s="567"/>
      <c r="I135" s="555"/>
      <c r="J135" s="559"/>
      <c r="K135" s="555"/>
    </row>
    <row r="136" spans="1:13" ht="15.6" x14ac:dyDescent="0.3">
      <c r="A136" s="520"/>
      <c r="B136" s="520"/>
      <c r="C136" s="58" t="s">
        <v>383</v>
      </c>
      <c r="D136" s="58"/>
      <c r="E136" s="162"/>
      <c r="F136" s="84" t="str">
        <f>IF(E136="","",ROUND(IF(E136&gt;=75,1,IF(E136&lt;=0,0,E136*'Reference Standards'!S$330)),2))</f>
        <v/>
      </c>
      <c r="G136" s="553"/>
      <c r="H136" s="567"/>
      <c r="I136" s="555"/>
      <c r="J136" s="559"/>
      <c r="K136" s="555"/>
    </row>
    <row r="137" spans="1:13" ht="15.6" x14ac:dyDescent="0.3">
      <c r="A137" s="520"/>
      <c r="B137" s="520"/>
      <c r="C137" s="58" t="s">
        <v>384</v>
      </c>
      <c r="D137" s="58"/>
      <c r="E137" s="162"/>
      <c r="F137" s="84" t="str">
        <f>IF(E137="","",ROUND(IF(E137&gt;=75,1,IF(E137&lt;=0,0,E137*'Reference Standards'!S$330)),2))</f>
        <v/>
      </c>
      <c r="G137" s="553"/>
      <c r="H137" s="567"/>
      <c r="I137" s="555"/>
      <c r="J137" s="559"/>
      <c r="K137" s="555"/>
    </row>
    <row r="138" spans="1:13" ht="15.6" x14ac:dyDescent="0.3">
      <c r="A138" s="520"/>
      <c r="B138" s="520"/>
      <c r="C138" s="58" t="s">
        <v>385</v>
      </c>
      <c r="D138" s="58"/>
      <c r="E138" s="162"/>
      <c r="F138" s="294" t="str">
        <f>IF(E138="","",ROUND(IF(AND(E138&gt;=36.3,E138&lt;=68),1,IF(E138&gt;100,0,IF(E138&lt;36.3,(('Reference Standards'!S$297*(E138^2))+('Reference Standards'!S$298*E138)+'Reference Standards'!S$299),IF(E138&gt;68,(('Reference Standards'!T$297*(E138^2))+('Reference Standards'!T$298*E138)+'Reference Standards'!T$299))))),2))</f>
        <v/>
      </c>
      <c r="G138" s="553"/>
      <c r="H138" s="567"/>
      <c r="I138" s="555"/>
      <c r="J138" s="559"/>
      <c r="K138" s="555"/>
      <c r="M138" s="21"/>
    </row>
    <row r="139" spans="1:13" ht="15.6" x14ac:dyDescent="0.3">
      <c r="A139" s="520"/>
      <c r="B139" s="521"/>
      <c r="C139" s="58" t="s">
        <v>386</v>
      </c>
      <c r="D139" s="65"/>
      <c r="E139" s="162"/>
      <c r="F139" s="294" t="str">
        <f>IF(E139="","",ROUND(IF(AND(E139&gt;=36.3,E139&lt;=68),1,IF(E139&gt;100,0,IF(E139&lt;36.3,(('Reference Standards'!S$297*(E139^2))+('Reference Standards'!S$298*E139)+'Reference Standards'!S$299),IF(E139&gt;68,(('Reference Standards'!T$297*(E139^2))+('Reference Standards'!T$298*E139)+'Reference Standards'!T$299))))),2))</f>
        <v/>
      </c>
      <c r="G139" s="554"/>
      <c r="H139" s="567"/>
      <c r="I139" s="555"/>
      <c r="J139" s="559"/>
      <c r="K139" s="555"/>
    </row>
    <row r="140" spans="1:13" ht="15.6" x14ac:dyDescent="0.3">
      <c r="A140" s="520"/>
      <c r="B140" s="56" t="s">
        <v>108</v>
      </c>
      <c r="C140" s="72" t="s">
        <v>130</v>
      </c>
      <c r="D140" s="58"/>
      <c r="E140" s="43"/>
      <c r="F140" s="82" t="str">
        <f>IF(E140="","",IF(OR('Quantification Tool R4'!B$14="Gravel",'Quantification Tool R4'!B$14="Cobble"),IF(E140&gt;0.1,1,IF(E140&lt;=0.01,0,ROUND(E140*'Reference Standards'!$S$362+'Reference Standards'!$S$363,2)))))</f>
        <v/>
      </c>
      <c r="G140" s="82" t="str">
        <f>IFERROR(AVERAGE(F140),"")</f>
        <v/>
      </c>
      <c r="H140" s="567"/>
      <c r="I140" s="555"/>
      <c r="J140" s="559"/>
      <c r="K140" s="555"/>
    </row>
    <row r="141" spans="1:13" ht="15.6" x14ac:dyDescent="0.3">
      <c r="A141" s="520"/>
      <c r="B141" s="526" t="s">
        <v>51</v>
      </c>
      <c r="C141" s="64" t="s">
        <v>52</v>
      </c>
      <c r="D141" s="64"/>
      <c r="E141" s="166"/>
      <c r="F141" s="337" t="str">
        <f>IF(E141="","",IF(ISNUMBER('Quantification Tool R4'!$B$17),IF('Quantification Tool R4'!$B$17&lt;=2,IF(AND(E141&gt;=3,E141&lt;=5),1,IF(OR(E141&lt;=1,E141&gt;=7),0,ROUND(IF(E141&lt;3,E141*'Reference Standards'!S$398+'Reference Standards'!S$399,E141*'Reference Standards'!T$398+'Reference Standards'!T$399),2))),IF(E141&lt;=2.5,1,IF(E141&gt;=5.8,0,ROUND(E141*'Reference Standards'!S$430+'Reference Standards'!S$431,2))))))</f>
        <v/>
      </c>
      <c r="G141" s="528" t="str">
        <f>IFERROR(AVERAGE(F141:F144),"")</f>
        <v/>
      </c>
      <c r="H141" s="567"/>
      <c r="I141" s="555"/>
      <c r="J141" s="559"/>
      <c r="K141" s="555"/>
    </row>
    <row r="142" spans="1:13" ht="15.6" x14ac:dyDescent="0.3">
      <c r="A142" s="520"/>
      <c r="B142" s="520"/>
      <c r="C142" s="58" t="s">
        <v>53</v>
      </c>
      <c r="D142" s="58"/>
      <c r="E142" s="165"/>
      <c r="F142" s="84" t="str">
        <f>IF(E142="","", IF( E142&gt;=2.4,1, IF(E142&lt;=1,0,  ROUND(IF(E142&lt;2.4, E142*'Reference Standards'!$S$464+'Reference Standards'!$S$465  ),2))))</f>
        <v/>
      </c>
      <c r="G142" s="529"/>
      <c r="H142" s="567"/>
      <c r="I142" s="555"/>
      <c r="J142" s="559"/>
      <c r="K142" s="555"/>
    </row>
    <row r="143" spans="1:13" ht="15.6" x14ac:dyDescent="0.3">
      <c r="A143" s="520"/>
      <c r="B143" s="520"/>
      <c r="C143" s="58" t="s">
        <v>334</v>
      </c>
      <c r="D143" s="58"/>
      <c r="E143" s="165"/>
      <c r="F143" s="390" t="str">
        <f>IF(E143="","", IF(LEFT('Quantification Tool R4'!$B$12,2)="67",  IF( AND(E143&gt;=45,E143&lt;=65),1, IF(OR(E143&lt;=20,E143&gt;=90),0, ROUND(  IF(E143&lt;45, E143*'Reference Standards'!$S$498+'Reference Standards'!$S$499,E143*'Reference Standards'!$T$498+'Reference Standards'!$T$499),2))), IF(OR(  LEFT('Quantification Tool R4'!$B$12,2)="68", LEFT('Quantification Tool R4'!$B$12,2)="69",LEFT('Quantification Tool R4'!$B$12,2)="71"),  IF( AND(E143&gt;=30,E143&lt;=50),1, IF(OR(E143&lt;=10,E143&gt;=70),0, ROUND(  IF(E143&lt;30, E143*'Reference Standards'!$S$533+'Reference Standards'!$S$534,E143*'Reference Standards'!$T$533+'Reference Standards'!$T$534),2))), IF(LEFT('Quantification Tool R4'!$B$12,2)="66",  IF( AND(E143&gt;=20,E143&lt;=45),1, IF(OR(E143&lt;=0,E143&gt;=90),0, ROUND(  IF(E143&lt;20, E143*'Reference Standards'!$S$567+'Reference Standards'!$S$568,E143*'Reference Standards'!$T$567+'Reference Standards'!$T$568),2))), IF(OR(  LEFT('Quantification Tool R4'!$B$12,2)="65", LEFT('Quantification Tool R4'!$B$12,2)="74", LEFT('Quantification Tool R4'!$B$12,2)="73"),  IF( AND(E143&gt;=20,E143&lt;=30),1, IF(OR(E143&lt;=0,E143&gt;=50),0, ROUND(  IF(E143&lt;20, E143*'Reference Standards'!$S$601+'Reference Standards'!$S$602,E143*'Reference Standards'!$T$601+'Reference Standards'!$T$602),2))))))))</f>
        <v/>
      </c>
      <c r="G143" s="529"/>
      <c r="H143" s="567"/>
      <c r="I143" s="555"/>
      <c r="J143" s="559"/>
      <c r="K143" s="555"/>
    </row>
    <row r="144" spans="1:13" ht="15.6" x14ac:dyDescent="0.3">
      <c r="A144" s="520"/>
      <c r="B144" s="521"/>
      <c r="C144" s="62" t="s">
        <v>210</v>
      </c>
      <c r="D144" s="58"/>
      <c r="E144" s="167"/>
      <c r="F144" s="391" t="str">
        <f>IF(E144="","",IF(E144&gt;=1.6,0,IF(E144&lt;=1,1,ROUND('Reference Standards'!$S$633*E144^3+'Reference Standards'!$S$634*E144^2+'Reference Standards'!$S$635*E144+'Reference Standards'!$S$636,2))))</f>
        <v/>
      </c>
      <c r="G144" s="530"/>
      <c r="H144" s="567"/>
      <c r="I144" s="555"/>
      <c r="J144" s="559"/>
      <c r="K144" s="555"/>
      <c r="L144" s="13"/>
    </row>
    <row r="145" spans="1:12" ht="15.6" x14ac:dyDescent="0.3">
      <c r="A145" s="521"/>
      <c r="B145" s="296" t="s">
        <v>55</v>
      </c>
      <c r="C145" s="242" t="s">
        <v>54</v>
      </c>
      <c r="D145" s="243"/>
      <c r="E145" s="163"/>
      <c r="F145" s="342" t="str">
        <f>IF(E145="","",IF(AND('Quantification Tool R4'!B$11="E",'Quantification Tool R4'!$B$14="Sand",'Quantification Tool R4'!$B$21="Unconfined Alluvial"),ROUND(IF(OR(E145&gt;1.8,E145&lt;1.3),0,IF(E145&lt;=1.6,1,E145*'Reference Standards'!S$667+'Reference Standards'!S$668)),2),    IF('Quantification Tool R4'!$B$21="Unconfined Alluvial",ROUND(IF(OR(E145&lt;1.2, E145&gt;1.5),0,IF(E145&lt;=1.4,1,E145*'Reference Standards'!$S$700+'Reference Standards'!$S$701)),2), IF('Quantification Tool R4'!$B$21="Confined Alluvial",ROUND(IF(E145&lt;1.15,0,IF(E145&lt;=1.4,E145*'Reference Standards'!$S$729+'Reference Standards'!$S$730,1)),2),  IF('Quantification Tool R4'!$B$21="Colluvial",ROUND(IF(E145&gt;1.3,0,IF(E145&gt;1.2,E145*'Reference Standards'!$S$760+'Reference Standards'!$S$761,1)),2) )))))</f>
        <v/>
      </c>
      <c r="G145" s="84" t="str">
        <f>IFERROR(AVERAGE(F145),"")</f>
        <v/>
      </c>
      <c r="H145" s="567"/>
      <c r="I145" s="555"/>
      <c r="J145" s="559"/>
      <c r="K145" s="555"/>
      <c r="L145" s="13"/>
    </row>
    <row r="146" spans="1:12" ht="15.6" x14ac:dyDescent="0.3">
      <c r="A146" s="537" t="s">
        <v>58</v>
      </c>
      <c r="B146" s="67" t="s">
        <v>88</v>
      </c>
      <c r="C146" s="70" t="s">
        <v>338</v>
      </c>
      <c r="D146" s="70"/>
      <c r="E146" s="43"/>
      <c r="F146" s="343" t="str">
        <f>IF(E146="","",ROUND(IF(E146&gt;=942,0,IF(E146&lt;=487,E146*'Reference Standards'!AB$15+'Reference Standards'!AB$16,E146*'Reference Standards'!$AC$15+'Reference Standards'!$AC$16)),2))</f>
        <v/>
      </c>
      <c r="G146" s="85" t="str">
        <f>IFERROR(AVERAGE(F146),"")</f>
        <v/>
      </c>
      <c r="H146" s="547" t="str">
        <f>IFERROR(ROUND(AVERAGE(G146:G149),2),"")</f>
        <v/>
      </c>
      <c r="I146" s="534" t="str">
        <f>IF(H146="","",IF(H146&gt;0.69,"Functioning",IF(H146&gt;0.29,"Functioning At Risk",IF(H146&gt;-1,"Not Functioning"))))</f>
        <v/>
      </c>
      <c r="J146" s="559"/>
      <c r="K146" s="555"/>
      <c r="L146" s="21"/>
    </row>
    <row r="147" spans="1:12" ht="15.6" x14ac:dyDescent="0.3">
      <c r="A147" s="538"/>
      <c r="B147" s="297" t="s">
        <v>362</v>
      </c>
      <c r="C147" s="66" t="s">
        <v>354</v>
      </c>
      <c r="D147" s="66"/>
      <c r="E147" s="163"/>
      <c r="F147" s="344" t="str">
        <f>IF(E147="","",IF(OR('Quantification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June")),IF(E147&gt;93,0,IF(E147&lt;13,1,ROUND('Reference Standards'!$AB$53*E147^2+'Reference Standards'!$AB$54*E147+'Reference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R4'!$B$12="73b"),IF(E147&gt;94,0,IF(E147&lt;17,1,ROUND('Reference Standards'!$AC$53*E147^2+'Reference Standards'!$AC$54*E147+'Reference Standards'!$AC$55,2))),    IF(OR(AND(OR('Quantification Tool R4'!$B$12="68b",'Quantification Tool R4'!$B$12="71i"),'Quantification Tool R4'!$B$13&gt;2), 'Quantification Tool R4'!$B$12="71e"),IF(E147&gt;91,0,IF(E147&lt;24,1,ROUND('Reference Standards'!$AD$53*E147^2+'Reference Standards'!$AD$54*E147+'Reference Standards'!$AD$55,2))),  IF(OR(AND(OR('Quantification Tool R4'!$B$12="71f",'Quantification Tool R4'!$B$12="71g",'Quantification Tool R4'!$B$12="71h",'Quantification Tool R4'!$B$12="71i"),'Quantification Tool R4'!$B$13&lt;=2), AND('Quantification Tool R4'!$B$12="74a",'Quantification Tool R4'!$B$13&gt;2)),IF(E147&gt;95,0,IF(E147&lt;=36,1,ROUND('Reference Standards'!$AE$53*E147^2+'Reference Standards'!$AE$54*E147+'Reference Standards'!$AE$55,2))))))))</f>
        <v/>
      </c>
      <c r="G147" s="236" t="str">
        <f>IFERROR(AVERAGE(F147:F147),"")</f>
        <v/>
      </c>
      <c r="H147" s="548"/>
      <c r="I147" s="535"/>
      <c r="J147" s="559"/>
      <c r="K147" s="555"/>
      <c r="L147" s="21"/>
    </row>
    <row r="148" spans="1:12" ht="15.6" x14ac:dyDescent="0.3">
      <c r="A148" s="538"/>
      <c r="B148" s="67" t="s">
        <v>81</v>
      </c>
      <c r="C148" s="68" t="s">
        <v>281</v>
      </c>
      <c r="D148" s="68"/>
      <c r="E148" s="162"/>
      <c r="F148" s="344" t="str">
        <f>IF(E148="","",IF(ISNUMBER('Quantification Tool R4'!$B$13),IF(OR('Quantification Tool R4'!$B$12="66e",'Quantification Tool R4'!$B$12="66f",'Quantification Tool R4'!$B$12="66g"),ROUND(IF(E148&gt;=0.61,0,IF(E148&lt;=0.01,1,IF(E148&lt;=0.06,E148*'Reference Standards'!$AD$197+'Reference Standards'!$AD$198,E148^2*'Reference Standards'!$AB$196+E148*'Reference Standards'!$AB$197+'Reference Standards'!$AB$198))),2),IF('Quantification Tool R4'!$B$12="68b",ROUND(IF(E148&gt;=1.1,0,IF(E148&lt;=0.17,1,IF(E148&lt;=0.22,E148*'Reference Standards'!$AE$197+'Reference Standards'!$AE$198,E148^2*'Reference Standards'!$AC$196+E148*'Reference Standards'!$AC$197+'Reference Standards'!$AC$198))),2),IF('Quantification Tool R4'!$B$13&lt;=2.5,IF('Quantification Tool R4'!$B$12="69de",ROUND(IF(E148&gt;=0.22,0,IF(E148&lt;=0.01,1,E148^2*'Reference Standards'!$AB$90+E148*'Reference Standards'!$AB$91+'Reference Standards'!$AB$92)),2),IF('Quantification Tool R4'!$B$12="68c",ROUND(IF(E148&gt;=0.87,0,IF(E148&lt;=0.01,1,E148^2*'Reference Standards'!$AC$90+E148*'Reference Standards'!$AC$91+'Reference Standards'!$AC$92)),2),IF('Quantification Tool R4'!$B$12="68a",ROUND(IF(E148&gt;=0.81,0,IF(E148&lt;=0.01,1,E148^2*'Reference Standards'!$AD$90+E148*'Reference Standards'!$AD$91+'Reference Standards'!$AD$92)),2),IF('Quantification Tool R4'!$B$12="65abei",ROUND(IF(E148&gt;=0.67,0,IF(E148&lt;=0.01,1,IF(E148&lt;=0.18,E148*'Reference Standards'!$AG$91+'Reference Standards'!$AG$92,E148*'Reference Standards'!$AE$91+'Reference Standards'!$AE$92))),2),IF('Quantification Tool R4'!$B$12="65j",ROUND(IF(E148&gt;=0.32,0,IF(E148&lt;=0.01,1,IF(E148&lt;=0.25,E148*'Reference Standards'!$AH$91+'Reference Standards'!$AH$92,E148*'Reference Standards'!$AF$91+'Reference Standards'!$AF$92))),2),IF('Quantification Tool R4'!$B$12="71f",ROUND(IF(E148&gt;=3,0,IF(E148&lt;=0,1,IF(E148&lt;=0.01,0.7,E148^2*'Reference Standards'!$AB$126+E148*'Reference Standards'!$AB$127+'Reference Standards'!$AB$128))),2),IF('Quantification Tool R4'!$B$12="74a",ROUND(IF(E148&gt;=0.14,0,IF(E148&lt;=0.01,1,IF(E148&lt;=0.02,0.7,E148^2*'Reference Standards'!$AC$126+E148*'Reference Standards'!$AC$127+'Reference Standards'!$AC$128))),2),IF(OR('Quantification Tool R4'!$B$12="67fhi",'Quantification Tool R4'!$B$12="67g"),ROUND(IF(E148&gt;=1.9,0,IF(E148&lt;=0.01,1,IF(E148&lt;=0.05,E148*'Reference Standards'!$AF$127+'Reference Standards'!$AF$128,E148^2*'Reference Standards'!$AD$126+E148*'Reference Standards'!$AD$127+'Reference Standards'!$AD$128))),2),IF('Quantification Tool R4'!$B$12="73a",ROUND(IF(E148&gt;=1.44,0,IF(E148&lt;=0.01,1,IF(E148&lt;=0.12,E148*'Reference Standards'!$AG$127+'Reference Standards'!$AG$128,E148^2*'Reference Standards'!$AE$126+E148*'Reference Standards'!$AE$127+'Reference Standards'!$AE$128))),2),IF('Quantification Tool R4'!$B$12="66d",ROUND(IF(E148&gt;=0.46,0,IF(E148&lt;=0.02,1,IF(E148&lt;=0.08,E148*'Reference Standards'!$AF$163+'Reference Standards'!$AF$164,E148^2*'Reference Standards'!$AB$162+E148*'Reference Standards'!$AB$163+'Reference Standards'!$AB$164))),2),IF(OR('Quantification Tool R4'!$B$12="71g",'Quantification Tool R4'!$B$12="71h",'Quantification Tool R4'!$B$12="71i"),ROUND(IF(E148&gt;=3,0,IF(E148&lt;=0.06,1,IF(E148&lt;=0.24,E148*'Reference Standards'!$AG$163+'Reference Standards'!$AG$164,E148^2*'Reference Standards'!$AC$162+E148*'Reference Standards'!$AC$163+'Reference Standards'!$AC$164))),2),IF('Quantification Tool R4'!$B$12="74b",ROUND(IF(E148&gt;=1.3,0,IF(E148&lt;=0.29,1,IF(E148&lt;=0.48,E148*'Reference Standards'!$AH$163+'Reference Standards'!$AH$164,E148^2*'Reference Standards'!$AD$162+E148*'Reference Standards'!$AD$163+'Reference Standards'!$AD$164))),2),IF('Quantification Tool R4'!$B$12="71e",ROUND(IF(E148&gt;=4.3,0,IF(E148&lt;=0.53,1,IF(E148&lt;=0.67,E148*'Reference Standards'!$AI$163+'Reference Standards'!$AI$164,E148^2*'Reference Standards'!$AE$162+E148*'Reference Standards'!$AE$163+'Reference Standards'!$AE$164))),2)))))))))))))),IF('Quantification Tool R4'!$B$13&gt;2.5,IF('Quantification Tool R4'!$B$12="73a",ROUND(IF(E148&gt;=0.55,0,IF(E148&lt;=0,1,E148^2*'Reference Standards'!$AB$232+E148*'Reference Standards'!$AB$233+'Reference Standards'!$AB$234)),2),IF('Quantification Tool R4'!$B$12="68a",ROUND(IF(E148&gt;=0.54,0,IF(E148&lt;=0,1,IF(E148&lt;=0.01,0.85,E148^2*'Reference Standards'!$AC$232+E148*'Reference Standards'!$AC$233+'Reference Standards'!$AC$234))),2),IF('Quantification Tool R4'!$B$12="74a",ROUND(IF(E148&gt;=0.47,0,IF(E148&lt;=0.01,1,IF(E148&lt;=0.02,0.7,E148^2*'Reference Standards'!$AD$232+E148*'Reference Standards'!$AD$233+'Reference Standards'!$AD$234))),2),IF('Quantification Tool R4'!$B$12="69de",ROUND(IF(E148&gt;=0.26,0,IF(E148&lt;=0.01,1,IF(E148&lt;=0.02,0.85,E148^2*'Reference Standards'!$AE$232+E148*'Reference Standards'!$AE$233+'Reference Standards'!$AE$234))),2),IF('Quantification Tool R4'!$B$12="71f",ROUND(IF(E148&gt;=0.87,0,IF(E148&lt;=0.01,1,IF(E148&lt;=0.04,E148*'Reference Standards'!$AF$269+'Reference Standards'!$AF$270,E148^2*'Reference Standards'!$AB$268+E148*'Reference Standards'!$AB$269+'Reference Standards'!$AB$270))),2),IF('Quantification Tool R4'!$B$12="65abei",ROUND(IF(E148&gt;=0.82,0,IF(E148&lt;=0.01,1,IF(E148&lt;=0.06,E148*'Reference Standards'!$AG$269+'Reference Standards'!$AG$270,E148^2*'Reference Standards'!$AC$268+E148*'Reference Standards'!$AC$269+'Reference Standards'!$AC$270))),2),IF('Quantification Tool R4'!$B$12="65j",ROUND(IF(E148&gt;=0.33,0,IF(E148&lt;=0.03,1,IF(E148&lt;=0.09,E148*'Reference Standards'!$AH$269+'Reference Standards'!$AH$270,E148^2*'Reference Standards'!$AD$268+E148*'Reference Standards'!$AD$269+'Reference Standards'!$AD$270))),2),IF('Quantification Tool R4'!$B$12="68c",ROUND(IF(E148&gt;=0.7,0,IF(E148&lt;=0.07,1,IF(E148&lt;=0.12,E148*'Reference Standards'!$AI$269+'Reference Standards'!$AI$270,E148^2*'Reference Standards'!$AE$268+E148*'Reference Standards'!$AE$269+'Reference Standards'!$AE$270))),2),IF(OR('Quantification Tool R4'!$B$12="67fhi",'Quantification Tool R4'!$B$12="67g"),ROUND(IF(E148&gt;=1.8,0,IF(E148&lt;=0.08,1,IF(E148&lt;=0.2,E148*'Reference Standards'!$AF$306+'Reference Standards'!$AF$307,E148^2*'Reference Standards'!$AB$305+E148*'Reference Standards'!$AB$306+'Reference Standards'!$AB$307))),2),IF('Quantification Tool R4'!$B$12="74b",ROUND(IF(E148&gt;=0.96,0,IF(E148&lt;=0.12,1,IF(E148&lt;=0.16,E148*'Reference Standards'!$AG$306+'Reference Standards'!$AG$307,E148^2*'Reference Standards'!$AC$305+E148*'Reference Standards'!$AC$306+'Reference Standards'!$AC$307))),2),IF('Quantification Tool R4'!$B$12="66d",ROUND(IF(E148&gt;=0.75,0,IF(E148&lt;=0.13,1,IF(E148&lt;=0.2,E148*'Reference Standards'!$AH$306+'Reference Standards'!$AH$307,E148^2*'Reference Standards'!$AD$305+E148*'Reference Standards'!$AD$306+'Reference Standards'!$AD$307))),2),IF(OR('Quantification Tool R4'!$B$12="71g",'Quantification Tool R4'!$B$12="71h",'Quantification Tool R4'!$B$12="71i"),ROUND(IF(E148&gt;=1.68,0,IF(E148&lt;=0.08,1,IF(E148&lt;=0.23,E148*'Reference Standards'!$AI$306+'Reference Standards'!$AI$307,E148^2*'Reference Standards'!$AE$305+E148*'Reference Standards'!$AE$306+'Reference Standards'!$AE$307))),2),IF('Quantification Tool R4'!$B$12="71e",ROUND(IF(E148&gt;=5.3,0,IF(E148&lt;=0.94,1,IF(E148&lt;=1.4,E148*'Reference Standards'!$AF$310+'Reference Standards'!$AF$311,E148^2*'Reference Standards'!$AB$309+E148*'Reference Standards'!$AB$310+'Reference Standards'!$AB$311))),2))))))))))))))))))))</f>
        <v/>
      </c>
      <c r="G148" s="86" t="str">
        <f>IFERROR(AVERAGE(F148),"")</f>
        <v/>
      </c>
      <c r="H148" s="548"/>
      <c r="I148" s="535"/>
      <c r="J148" s="559"/>
      <c r="K148" s="555"/>
      <c r="L148" s="21"/>
    </row>
    <row r="149" spans="1:12" ht="15.6" x14ac:dyDescent="0.3">
      <c r="A149" s="539"/>
      <c r="B149" s="298" t="s">
        <v>82</v>
      </c>
      <c r="C149" s="66" t="s">
        <v>280</v>
      </c>
      <c r="D149" s="66"/>
      <c r="E149" s="136"/>
      <c r="F149" s="343" t="str">
        <f>IF(E149="","",IF(ISNUMBER('Quantification Tool R4'!$B$13),IF('Quantification Tool R4'!$B$13&gt;2.5,IF(OR('Quantification Tool R4'!$B$12="71h",'Quantification Tool R4'!$B$12="71i",'Quantification Tool R4'!$B$12="73a",'Quantification Tool R4'!$B$12="74a"),IF(E149&lt;=0.01,1,IF(OR('Quantification Tool R4'!$B$12="71h",'Quantification Tool R4'!$B$12="71i"),IF(E149&gt;0.37,0,ROUND(IF(E149&gt;0.03,'Reference Standards'!$AB$425*E149^2+'Reference Standards'!$AB$426*E149+'Reference Standards'!$AB$427,'Reference Standards'!$AF$426*E149+'Reference Standards'!$AF$427),2)),IF('Quantification Tool R4'!$B$12="73a",IF(E149&gt;0.405,0,ROUND(IF(E149&gt;0.046,'Reference Standards'!$AC$425*E149^2+'Reference Standards'!$AC$426*E149+'Reference Standards'!$AC$427,'Reference Standards'!$AG$426*E149+'Reference Standards'!$AG$427),2)),IF('Quantification Tool R4'!$B$12="74a",IF(E149&gt;0.3,0,ROUND(IF(E149&gt;0.052,'Reference Standards'!$AD$425*E149^2+'Reference Standards'!$AD$426*E149+'Reference Standards'!$AD$427,'Reference Standards'!$AH$426*E149+'Reference Standards'!$AH$427),2)))))),IF(E149&lt;=0.002,1,IF(OR('Quantification Tool R4'!$B$12="66d",'Quantification Tool R4'!$B$12="66e",'Quantification Tool R4'!$B$12="66g"),IF(E149&gt;0.053,0,ROUND(E149^2*'Reference Standards'!$AB$347+E149*'Reference Standards'!$AB$348+'Reference Standards'!$AB$349,2)),IF('Quantification Tool R4'!$B$12="68b",IF(E149&gt;0.05,0,ROUND(E149^2*'Reference Standards'!$AC$347+E149*'Reference Standards'!$AC$348+'Reference Standards'!$AC$349,2)),IF(OR('Quantification Tool R4'!$B$12="68a",'Quantification Tool R4'!$B$12="68c"),IF(E149&gt;0.07,0,ROUND(E149^2*'Reference Standards'!$AD$347+E149*'Reference Standards'!$AD$348+'Reference Standards'!$AD$349,2)),IF(OR('Quantification Tool R4'!$B$12="71f",'Quantification Tool R4'!$B$12="71g"),IF(E149&gt;0.13,0,ROUND(IF(E149&gt;0.042,E149*'Reference Standards'!$AE$348+'Reference Standards'!$AE$349,E149*'Reference Standards'!$AF$348+'Reference Standards'!$AF$349),2)),IF('Quantification Tool R4'!$B$12="67fhi",IF(E149&gt;0.16,0,ROUND(E149^2*'Reference Standards'!$AG$347+E149*'Reference Standards'!$AG$348+'Reference Standards'!$AG$349,2)),IF('Quantification Tool R4'!$B$12="65j",IF(E149&gt;0.035,0,ROUND(IF(E149&lt;=0.003,0.7,E149^2*'Reference Standards'!$AB$387+E149*'Reference Standards'!$AB$388+'Reference Standards'!$AB$389),2)),IF('Quantification Tool R4'!$B$12="69de",IF(E149&gt;0.037,0,ROUND(IF(E149&lt;=0.003,0.7,E149^2*'Reference Standards'!$AC$387+E149*'Reference Standards'!$AC$388+'Reference Standards'!$AC$389),2)),IF('Quantification Tool R4'!$B$12="71e",IF(E149&gt;0.23,0,ROUND(IF(E149&lt;=0.003,0.7,E149^2*'Reference Standards'!$AD$387+E149*'Reference Standards'!$AD$388+'Reference Standards'!$AD$389),2)),IF('Quantification Tool R4'!$B$12="66f",IF(E149&gt;0.06,0,ROUND(IF(E149&lt;=0.003,0.85,IF(E149&lt;=0.004,0.7,E149^2*'Reference Standards'!$AE$387+E149*'Reference Standards'!$AE$388+'Reference Standards'!$AE$389)),2)),IF('Quantification Tool R4'!$B$12="67g",IF(E149&gt;0.11,0,ROUND(IF(E149&lt;=0.01,E149*'Reference Standards'!$AH$388+'Reference Standards'!$AH$389,E149^2*'Reference Standards'!$AF$387+E149*'Reference Standards'!$AF$388+'Reference Standards'!$AF$389),2)),IF('Quantification Tool R4'!$B$12="74b",IF(E149&gt;0.49,0,ROUND(IF(E149&lt;=0.01,E149*'Reference Standards'!$AH$388+'Reference Standards'!$AH$389,E149^2*'Reference Standards'!$AG$387+E149*'Reference Standards'!$AG$388+'Reference Standards'!$AG$389),2)),IF('Quantification Tool R4'!$B$12="65abei",IF(E149&gt;0.199,0,ROUND(IF(E149&lt;=0.01,E149*'Reference Standards'!$AI$426+'Reference Standards'!$AI$427,E149^2*'Reference Standards'!$AE$425+E149*'Reference Standards'!$AE$426+'Reference Standards'!$AE$427),2)))))))))))))))),IF('Quantification Tool R4'!$B$13&lt;=2.5,IF(OR('Quantification Tool R4'!$B$12="66d",'Quantification Tool R4'!$B$12="66e",'Quantification Tool R4'!$B$12="66g"),IF(E149&gt;0.05,0,ROUND(IF(E149&lt;=0.002,1,IF(E149&lt;=0.005,E149*'Reference Standards'!$AF$464+'Reference Standards'!$AF$465,E149^2*'Reference Standards'!$AB$463+E149*'Reference Standards'!$AB$464+'Reference Standards'!$AB$465)),2)),IF('Quantification Tool R4'!$B$12="67fhi",IF(E149&gt;0.1,0,ROUND(IF(E149&lt;=0.002,1,IF(E149&lt;=0.006,E149*'Reference Standards'!$AG$464+'Reference Standards'!$AG$465,E149^2*'Reference Standards'!$AC$463+E149*'Reference Standards'!$AC$464+'Reference Standards'!$AC$465)),2)),IF('Quantification Tool R4'!$B$12="65abei",IF(E149&gt;0.13,0,ROUND(IF(E149&lt;=0.003,1,IF(E149&lt;=0.008,E149*'Reference Standards'!$AH$464+'Reference Standards'!$AH$465,E149^2*'Reference Standards'!$AD$463+E149*'Reference Standards'!$AD$464+'Reference Standards'!$AD$465)),2)),IF('Quantification Tool R4'!$B$12="68b",IF(E149&gt;0.043,0,ROUND(IF(E149&lt;=0.004,1,IF(E149&lt;=0.005,0.7,E149^2*'Reference Standards'!$AE$463+E149*'Reference Standards'!$AE$464+'Reference Standards'!$AE$465)),2)),IF('Quantification Tool R4'!$B$12="69de",IF(E149&gt;=0.034,0,ROUND(IF(E149&lt;=0.003,1,IF(E149&lt;=0.006,E149*'Reference Standards'!$AG$500+'Reference Standards'!$AG$501,E149*'Reference Standards'!$AB$500+'Reference Standards'!$AB$501)),2)),IF(OR('Quantification Tool R4'!$B$12="68a",'Quantification Tool R4'!$B$12="68c"),IF(E149&gt;0.202,0,ROUND(IF(E149&lt;=0.003,1,IF(E149&lt;=0.006,E149*'Reference Standards'!$AG$500+'Reference Standards'!$AG$501,IF(E149&gt;=0.04,E149*'Reference Standards'!$AC$500+'Reference Standards'!$AC$501,E149*'Reference Standards'!$AE$500+'Reference Standards'!$AE$501))),2)),IF(OR('Quantification Tool R4'!$B$12="71f",'Quantification Tool R4'!$B$12="71g"),IF(E149&gt;0.631,0,ROUND(IF(E149&lt;=0.003,1,IF(E149&lt;=0.006,E149*'Reference Standards'!$AG$500+'Reference Standards'!$AG$501,IF(E149&gt;=0.17,E149*'Reference Standards'!$AD$500+'Reference Standards'!$AD$501,E149*'Reference Standards'!$AF$500+'Reference Standards'!$AF$501))),2)),IF('Quantification Tool R4'!$B$12="71e",IF(E149&gt;1.23,0,ROUND(IF(E149&lt;=0.004,1,IF(E149&lt;=0.006,E149*'Reference Standards'!$AF$538+'Reference Standards'!$AF$539,E149^2*'Reference Standards'!$AB$537+E149*'Reference Standards'!$AB$538+'Reference Standards'!$AB$539)),2)),IF('Quantification Tool R4'!$B$12="67g",IF(E149&gt;0.11,0,ROUND(IF(E149&lt;=0.006,1,IF(E149&lt;=0.011,E149*'Reference Standards'!$AG$538+'Reference Standards'!$AG$539,E149^2*'Reference Standards'!$AC$537+E149*'Reference Standards'!$AC$538+'Reference Standards'!$AC$539)),2)),IF('Quantification Tool R4'!$B$12="65j",IF(E149&gt;0.046,0,ROUND(IF(E149&lt;=0.007,1,IF(E149&lt;=0.012,E149*'Reference Standards'!$AH$538+'Reference Standards'!$AH$539,E149^2*'Reference Standards'!$AD$537+E149*'Reference Standards'!$AD$538+'Reference Standards'!$AD$539)),2)),IF('Quantification Tool R4'!$B$12="66f",IF(E149&gt;0.081,0,ROUND(IF(E149&lt;=0.008,1,IF(E149&lt;=0.011,E149*'Reference Standards'!$AI$538+'Reference Standards'!$AI$539,E149^2*'Reference Standards'!$AE$537+E149*'Reference Standards'!$AE$538+'Reference Standards'!$AE$539)),2)),IF(OR('Quantification Tool R4'!$B$12="71h",'Quantification Tool R4'!$B$12="71i"),IF(E149&gt;0.37,0,ROUND(IF(E149&lt;=0.013,1,IF(E149&lt;=0.032,E149*'Reference Standards'!$AH$576+'Reference Standards'!$AH$577,IF(E149&lt;=0.3,E149*'Reference Standards'!$AF$576+'Reference Standards'!$AF$577,E149*'Reference Standards'!$AB$576+'Reference Standards'!$AB$577))),2)),IF('Quantification Tool R4'!$B$12="73a",IF(E149&gt;0.448,0,ROUND(IF(E149&lt;=0.071,1,IF(E149&lt;=0.086,E149*'Reference Standards'!$AJ$576+'Reference Standards'!$AJ$577,IF(E149&lt;=0.165,E149*'Reference Standards'!$AG$576+'Reference Standards'!$AG$577,E149*'Reference Standards'!$AE$576+'Reference Standards'!$AE$577))),2)),IF('Quantification Tool R4'!$B$12="74b",IF(E149&gt;0.43,0,ROUND(IF(E149&lt;=0.018,1,IF(E149&lt;=0.019,0.85,IF(E149&lt;=0.02,0.7,E149^2*'Reference Standards'!$AC$575+E149*'Reference Standards'!$AC$576+'Reference Standards'!$AC$577))),2)),IF('Quantification Tool R4'!$B$12="74a",IF(E149&gt;0.217,0,ROUND(IF(E149&lt;=0.02,1,IF(E149&lt;=0.033,E149*'Reference Standards'!$AI$576+'Reference Standards'!$AI$577,E149^2*'Reference Standards'!$AD$575+E149*'Reference Standards'!$AD$576+'Reference Standards'!$AD$577)),2)))))))))))))))))))))</f>
        <v/>
      </c>
      <c r="G149" s="87" t="str">
        <f>IFERROR(AVERAGE(F149),"")</f>
        <v/>
      </c>
      <c r="H149" s="549"/>
      <c r="I149" s="536"/>
      <c r="J149" s="559"/>
      <c r="K149" s="555"/>
      <c r="L149" s="21"/>
    </row>
    <row r="150" spans="1:12" ht="15.6" x14ac:dyDescent="0.3">
      <c r="A150" s="550" t="s">
        <v>59</v>
      </c>
      <c r="B150" s="560" t="s">
        <v>340</v>
      </c>
      <c r="C150" s="125" t="s">
        <v>331</v>
      </c>
      <c r="D150" s="126"/>
      <c r="E150" s="166"/>
      <c r="F150" s="345" t="str">
        <f>IF(E150="","",IF(OR('Quantification Tool R4'!B$12="73a",'Quantification Tool R4'!B$12="73b"),IF(E150&lt;1,0,IF(E150&gt;=30,1,ROUND(IF(E150&lt;22,'Reference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531" t="str">
        <f>IFERROR(AVERAGE(F150:F153),"")</f>
        <v/>
      </c>
      <c r="H150" s="568" t="str">
        <f>IFERROR(ROUND(AVERAGE(G150:G155),2),"")</f>
        <v/>
      </c>
      <c r="I150" s="519" t="str">
        <f>IF(H150="","",IF(H150&gt;0.69,"Functioning",IF(H150&gt;0.29,"Functioning At Risk",IF(H150&gt;-1,"Not Functioning"))))</f>
        <v/>
      </c>
      <c r="J150" s="559"/>
      <c r="K150" s="555"/>
      <c r="L150" s="21"/>
    </row>
    <row r="151" spans="1:12" ht="15.6" x14ac:dyDescent="0.3">
      <c r="A151" s="556"/>
      <c r="B151" s="561"/>
      <c r="C151" s="174" t="s">
        <v>335</v>
      </c>
      <c r="D151" s="175"/>
      <c r="E151" s="165"/>
      <c r="F151" s="346" t="str">
        <f>IF(E151="","",IF(AND('Quantification Tool R4'!$B$12="74b",'Quantification Tool R4'!$B$13&lt;=2),IF(E151&lt;0,0,IF(E151&gt;15.6,0.69,ROUND('Reference Standards'!$AL$54*E151^2+'Reference Standards'!$AL$55*E151+'Reference Standards'!$AL$56,2))),IF(AND('Quantification Tool R4'!$B$12="65abei",'Quantification Tool R4'!$B$13&lt;=2),IF(E151&lt;0,0,IF(E151&gt;=20,0.69,ROUND('Reference Standards'!$AM$54*E151^2+'Reference Standards'!$AM$55*E151+'Reference Standards'!$AM$56,2))),IF(OR(AND('Quantification Tool R4'!$B$12="74a",'Quantification Tool R4'!$B$13&gt;2,'Quantification Tool R4'!$B$19="January - June"),AND('Quantification Tool R4'!$B$12="71i",'Quantification Tool R4'!$B$13&gt;2,'Quantification Tool R4'!$B$20="SQBANK")),IF(E151&lt;0,0,IF(E151&gt;24.7,0.69,ROUND('Reference Standards'!$AN$54*E151^2+'Reference Standards'!$AN$55*E151+'Reference Standards'!$AN$56,2))),IF(OR('Quantification Tool R4'!$B$12="74b",'Quantification Tool R4'!$B$12="65abei"),IF(E151&lt;0,0,IF(E151&gt;32.7,0.69,ROUND('Reference Standards'!$AO$54*E151^2+'Reference Standards'!$AO$55*E151+'Reference Standards'!$AO$56,2))),IF(AND('Quantification Tool R4'!$B$12="68b",'Quantification Tool R4'!$B$13&gt;2),IF(E151&lt;0,0,IF(E151&gt;41.2,0.69,ROUND('Reference Standards'!$AP$54*E151^2+'Reference Standards'!$AP$55*E151+'Reference Standards'!$AP$56,2))),IF(OR(AND('Quantification Tool R4'!$B$12="71i",'Quantification Tool R4'!$B$13&lt;=2),AND(OR('Quantification Tool R4'!$B$12="68c",'Quantification Tool R4'!$B$12="68d"),'Quantification Tool R4'!$B$19="January - June")),IF(E151&lt;0,0,IF(E151&gt;49.2,0.69,ROUND('Reference Standards'!$AL$94*E151^2+'Reference Standards'!$AL$95*E151+'Reference Standards'!$AL$96,2))),IF(OR(AND('Quantification Tool R4'!$B$12="68a",'Quantification Tool R4'!$B$19="January - June"),AND(OR('Quantification Tool R4'!$B$12="68c",'Quantification Tool R4'!$B$12="68d"),'Quantification Tool R4'!$B$19="July - December")),IF(E151&lt;0,0,IF(E151&gt;53.4,0.69,ROUND('Reference Standards'!$AM$94*E151^2+'Reference Standards'!$AM$95*E151+'Reference Standards'!$AM$96,2))),IF(OR(AND('Quantification Tool R4'!$B$12="71i",'Quantification Tool R4'!$B$13&gt;2,'Quantification Tool R4'!$B$20="SQKICK"),AND(OR('Quantification Tool R4'!$B$12="67fhi",'Quantification Tool R4'!$B$12="67g"),'Quantification Tool R4'!$B$13&lt;=2),'Quantification Tool R4'!$B$12="65j"),IF(E151&lt;0,0,IF(E151&gt;57.8,0.69,ROUND('Reference Standards'!$AN$94*E151^2+'Reference Standards'!$AN$95*E151+'Reference Standards'!$AN$96,2))),IF(OR(AND('Quantification Tool R4'!$B$12="74a",'Quantification Tool R4'!$B$13&gt;2,'Quantification Tool R4'!$B$19="July - December"),AND(OR('Quantification Tool R4'!$B$12="67fhi",'Quantification Tool R4'!$B$12="67g"),'Quantification Tool R4'!$B$13&gt;2),'Quantification Tool R4'!$B$12="69de"),IF(E151&lt;0,0,IF(E151&gt;62.5,0.69,ROUND('Reference Standards'!$AO$94*E151^2+'Reference Standards'!$AO$95*E151+'Reference Standards'!$AO$96,2))),  IF(OR('Quantification Tool R4'!$B$12="66d",'Quantification Tool R4'!$B$12="66e",'Quantification Tool R4'!$B$12="66ik",'Quantification Tool R4'!$B$12="71e",'Quantification Tool R4'!$B$12="71f",'Quantification Tool R4'!$B$12="71g",'Quantification Tool R4'!$B$12="71h"),IF(E151&lt;0,0,IF(E151&gt;66.5,0.69,ROUND('Reference Standards'!$AP$94*E151^2+'Reference Standards'!$AP$95*E151+'Reference Standards'!$AP$96,2))),IF(OR('Quantification Tool R4'!$B$12="66f",'Quantification Tool R4'!$B$12="66g",'Quantification Tool R4'!$B$12="66j",AND('Quantification Tool R4'!$B$12="68a",'Quantification Tool R4'!$B$19="July - December")), IF(E151&lt;0,0,IF(E151&gt;69,0.69,ROUND('Reference Standards'!$AQ$94*E151^2+'Reference Standards'!$AQ$95*E151+'Reference Standards'!$AQ$96,2))))   )))))))))))</f>
        <v/>
      </c>
      <c r="G151" s="531"/>
      <c r="H151" s="568"/>
      <c r="I151" s="519"/>
      <c r="J151" s="559"/>
      <c r="K151" s="555"/>
      <c r="L151" s="21"/>
    </row>
    <row r="152" spans="1:12" ht="15.6" x14ac:dyDescent="0.3">
      <c r="A152" s="556"/>
      <c r="B152" s="561"/>
      <c r="C152" s="174" t="s">
        <v>339</v>
      </c>
      <c r="D152" s="175"/>
      <c r="E152" s="165"/>
      <c r="F152" s="346" t="str">
        <f>IF(E152="","",IF(AND('Quantification Tool R4'!$B$12="74b",'Quantification Tool R4'!$B$13&lt;=2),IF(E152&lt;0,0,IF(E152&gt;8.1,0.69,ROUND('Reference Standards'!$AL$131*E152^2+'Reference Standards'!$AL$132*E152+'Reference Standards'!$AL$133,2))),IF(OR('Quantification Tool R4'!$B$12="73a",'Quantification Tool R4'!$B$12="73b"),IF(E152&lt;0,0,IF(E152&gt;=28,0.69,ROUND('Reference Standards'!$AM$131*E152^2+'Reference Standards'!$AM$132*E152+'Reference Standards'!$AM$133,2))),IF(AND('Quantification Tool R4'!$B$12="74a",'Quantification Tool R4'!$B$13&gt;2,'Quantification Tool R4'!$B$19="January - June"),IF(E152&lt;0,0,IF(E152&gt;=32.5,0.69,ROUND('Reference Standards'!$AN$131*E152^2+'Reference Standards'!$AN$132*E152+'Reference Standards'!$AN$133,2))),IF(AND('Quantification Tool R4'!$B$12="71i",'Quantification Tool R4'!$B$13&gt;2,'Quantification Tool R4'!$B$20="SQBANK"),IF(E152&lt;0,0,IF(E152&gt;=37,0.69,ROUND('Reference Standards'!$AO$131*E152^2+'Reference Standards'!$AO$132*E152+'Reference Standards'!$AO$133,2))),IF(OR(AND(OR('Quantification Tool R4'!$B$12="65abei",'Quantification Tool R4'!$B$12="74b"),'Quantification Tool R4'!$B$13&gt;2),AND('Quantification Tool R4'!$B$12="71i",'Quantification Tool R4'!$B$13&gt;2,'Quantification Tool R4'!$B$20="SQKICK")),IF(E152&lt;0,0,IF(E152&gt;42.6,0.69,ROUND('Reference Standards'!$AP$131*E152^2+'Reference Standards'!$AP$132*E152+'Reference Standards'!$AP$133,2))),     IF(OR(AND('Quantification Tool R4'!$B$12="65abei",'Quantification Tool R4'!$B$13&lt;=2),AND(OR('Quantification Tool R4'!$B$12="68c",'Quantification Tool R4'!$B$12="68d"),'Quantification Tool R4'!$B$19="July - December"),'Quantification Tool R4'!$B$12="71e"),IF(E152&lt;0,0,IF(E152&gt;=48,0.69,ROUND('Reference Standards'!$AL$171*E152^2+'Reference Standards'!$AL$172*E152+'Reference Standards'!$AL$173,2))),IF(OR('Quantification Tool R4'!$B$12="65j",'Quantification Tool R4'!$B$12="67fhi",'Quantification Tool R4'!$B$12="67g",AND('Quantification Tool R4'!$B$12="74a",'Quantification Tool R4'!$B$19="July - December",'Quantification Tool R4'!$B$13&gt;2),AND('Quantification Tool R4'!$B$12="71i",'Quantification Tool R4'!$B$13&lt;=2)),IF(E152&lt;0,0,IF(E152&gt;=53,0.69,ROUND('Reference Standards'!$AM$171*E152^2+'Reference Standards'!$AM$172*E152+'Reference Standards'!$AM$173,2))),IF(OR(AND(OR('Quantification Tool R4'!$B$12="68b",'Quantification Tool R4'!$B$12="71f",'Quantification Tool R4'!$B$12="71g",'Quantification Tool R4'!$B$12="71h"),'Quantification Tool R4'!$B$13&gt;2),'Quantification Tool R4'!$B$12="68a"),IF(E152&lt;0,0,IF(E152&gt;=57,0.69,ROUND('Reference Standards'!$AN$171*E152^2+'Reference Standards'!$AN$172*E152+'Reference Standards'!$AN$173,2))),IF(OR('Quantification Tool R4'!$B$12="66f",'Quantification Tool R4'!$B$12="66g",'Quantification Tool R4'!$B$12="66j",AND(OR('Quantification Tool R4'!$B$12="71f",'Quantification Tool R4'!$B$12="71g",'Quantification Tool R4'!$B$12="71h"),'Quantification Tool R4'!$B$13&lt;=2)),IF(E152&lt;0,0,IF(E152&gt;=60,0.69,ROUND('Reference Standards'!$AO$171*E152^2+'Reference Standards'!$AO$172*E152+'Reference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December")),IF(E152&lt;0,0,IF(E152&gt;=67.5,0.69,ROUND('Reference Standards'!$AP$171*E152^2+'Reference Standards'!$AP$172*E152+'Reference Standards'!$AP$173,2))),IF(AND('Quantification Tool R4'!$B$12="69de",'Quantification Tool R4'!$B$19="January - June"), IF(E152&lt;0,0,IF(E152&gt;=72,0.69,ROUND('Reference Standards'!$AQ$171*E152^2+'Reference Standards'!$AQ$172*E152+'Reference Standards'!$AQ$173,2))))   )))))))))))</f>
        <v/>
      </c>
      <c r="G152" s="531"/>
      <c r="H152" s="568"/>
      <c r="I152" s="519"/>
      <c r="J152" s="559"/>
      <c r="K152" s="555"/>
      <c r="L152" s="21"/>
    </row>
    <row r="153" spans="1:12" ht="15.6" x14ac:dyDescent="0.3">
      <c r="A153" s="556"/>
      <c r="B153" s="562"/>
      <c r="C153" s="127" t="s">
        <v>336</v>
      </c>
      <c r="D153" s="71"/>
      <c r="E153" s="167"/>
      <c r="F153" s="346" t="str">
        <f>IF(E153="","",IF(OR('Quantification Tool R4'!$B$12="67fhi",'Quantification Tool R4'!$B$12="67g",'Quantification Tool R4'!$B$12="71e",'Quantification Tool R4'!$B$12="73a",'Quantification Tool R4'!$B$12="73b",AND(OR('Quantification Tool R4'!$B$12="71f",'Quantification Tool R4'!$B$12="71g",'Quantification Tool R4'!$B$12="71h"),'Quantification Tool R4'!$B$13&gt;2)),IF(E153&gt;100,0,IF(E153&lt;15,0.69,ROUND('Reference Standards'!$AL$208*E153^2+'Reference Standards'!$AL$209*E153+'Reference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),IF(E153&gt;100,0,IF(E153&lt;19,0.69,ROUND('Reference Standards'!$AM$208*E153^2+'Reference Standards'!$AM$209*E153+'Reference Standards'!$AM$210,2))),    IF(OR(AND('Quantification Tool R4'!$B$12="69de",'Quantification Tool R4'!$B$19="January - June"),AND('Quantification Tool R4'!$B$12="71i",'Quantification Tool R4'!$B$13&gt;2,'Quantification Tool R4'!$B$20="SQKICK" )),IF(E153&gt;100,0,IF(E153&lt;22,0.69,ROUND('Reference Standards'!$AN$208*E153^2+'Reference Standards'!$AN$209*E153+'Reference Standards'!$AN$210,2))),    IF(OR('Quantification Tool R4'!$B$12="65j",AND('Quantification Tool R4'!$B$12="68b",'Quantification Tool R4'!$B$13&gt;2)),IF(E153&gt;100,0,IF(E153&lt;24,0.69,ROUND('Reference Standards'!$AO$208*E153^2+'Reference Standards'!$AO$209*E153+'Reference Standards'!$AO$210,2))),    IF(AND(OR('Quantification Tool R4'!$B$12="65abei",'Quantification Tool R4'!$B$12="71f",'Quantification Tool R4'!$B$12="71g",'Quantification Tool R4'!$B$12="71h"),'Quantification Tool R4'!$B$13&lt;=2),IF(E153&gt;95,0,IF(E153&lt;33,0.69,ROUND('Reference Standards'!$AL$246*E153^2+'Reference Standards'!$AL$247*E153+'Reference Standards'!$AL$248,2))),   IF(AND(OR('Quantification Tool R4'!$B$12="65abei",'Quantification Tool R4'!$B$12="74b"),'Quantification Tool R4'!$B$13&gt;2),IF(E153&gt;97,0,IF(E153&lt;36,0.69,ROUND('Reference Standards'!$AM$246*E153^2+'Reference Standards'!$AM$247*E153+'Reference Standards'!$AM$248,2))),  IF(AND('Quantification Tool R4'!$B$12="74a",'Quantification Tool R4'!$B$19="January - June",'Quantification Tool R4'!$B$13&gt;2),IF(E153&gt;93,0,IF(E153&lt;52,0.69,ROUND('Reference Standards'!$AN$246*E153^2+'Reference Standards'!$AN$247*E153+'Reference Standards'!$AN$248,2))),   IF(AND('Quantification Tool R4'!$B$12="74b",'Quantification Tool R4'!$B$13&lt;=2),IF(E153&gt;97,0,IF(E153&lt;62,0.69,ROUND('Reference Standards'!$AO$246*E153^2+'Reference Standards'!$AO$247*E153+'Reference Standards'!$AO$248,2)))  )))))))))</f>
        <v/>
      </c>
      <c r="G153" s="531"/>
      <c r="H153" s="568"/>
      <c r="I153" s="519"/>
      <c r="J153" s="559"/>
      <c r="K153" s="555"/>
      <c r="L153" s="21"/>
    </row>
    <row r="154" spans="1:12" ht="15.6" x14ac:dyDescent="0.3">
      <c r="A154" s="556"/>
      <c r="B154" s="563" t="s">
        <v>74</v>
      </c>
      <c r="C154" s="125" t="s">
        <v>211</v>
      </c>
      <c r="D154" s="126"/>
      <c r="E154" s="166"/>
      <c r="F154" s="345" t="str">
        <f>IF(E154="","",IF(E154=1,0.15,IF(E154=3,0.5,IF(E154=5,0.85,0))))</f>
        <v/>
      </c>
      <c r="G154" s="564" t="str">
        <f>IFERROR(AVERAGE(F154:F155),"")</f>
        <v/>
      </c>
      <c r="H154" s="568"/>
      <c r="I154" s="519"/>
      <c r="J154" s="559"/>
      <c r="K154" s="555"/>
      <c r="L154" s="21"/>
    </row>
    <row r="155" spans="1:12" ht="15.6" x14ac:dyDescent="0.3">
      <c r="A155" s="551"/>
      <c r="B155" s="563"/>
      <c r="C155" s="127" t="s">
        <v>332</v>
      </c>
      <c r="D155" s="71"/>
      <c r="E155" s="167"/>
      <c r="F155" s="347" t="str">
        <f>IF(E155="","",IF(E155=1,0.15,IF(E155=3,0.5,IF(E155=5,0.85,0))))</f>
        <v/>
      </c>
      <c r="G155" s="565"/>
      <c r="H155" s="568"/>
      <c r="I155" s="519"/>
      <c r="J155" s="559"/>
      <c r="K155" s="555"/>
      <c r="L155" s="21"/>
    </row>
    <row r="156" spans="1:12" x14ac:dyDescent="0.3">
      <c r="L156" s="21"/>
    </row>
    <row r="157" spans="1:12" ht="21" x14ac:dyDescent="0.4">
      <c r="A157" s="148" t="s">
        <v>135</v>
      </c>
      <c r="B157" s="246"/>
      <c r="C157" s="249" t="s">
        <v>324</v>
      </c>
      <c r="D157" s="246"/>
      <c r="E157" s="247"/>
      <c r="F157" s="248"/>
      <c r="G157" s="544" t="s">
        <v>18</v>
      </c>
      <c r="H157" s="545"/>
      <c r="I157" s="545"/>
      <c r="J157" s="545"/>
      <c r="K157" s="546"/>
      <c r="L157" s="21"/>
    </row>
    <row r="158" spans="1:12" ht="15.6" x14ac:dyDescent="0.3">
      <c r="A158" s="158" t="s">
        <v>1</v>
      </c>
      <c r="B158" s="158" t="s">
        <v>2</v>
      </c>
      <c r="C158" s="542" t="s">
        <v>3</v>
      </c>
      <c r="D158" s="644"/>
      <c r="E158" s="158" t="s">
        <v>15</v>
      </c>
      <c r="F158" s="158" t="s">
        <v>16</v>
      </c>
      <c r="G158" s="158" t="s">
        <v>19</v>
      </c>
      <c r="H158" s="158" t="s">
        <v>20</v>
      </c>
      <c r="I158" s="314" t="s">
        <v>20</v>
      </c>
      <c r="J158" s="158" t="s">
        <v>21</v>
      </c>
      <c r="K158" s="158" t="s">
        <v>21</v>
      </c>
    </row>
    <row r="159" spans="1:12" ht="15.6" x14ac:dyDescent="0.3">
      <c r="A159" s="540" t="s">
        <v>60</v>
      </c>
      <c r="B159" s="299" t="s">
        <v>86</v>
      </c>
      <c r="C159" s="52" t="s">
        <v>388</v>
      </c>
      <c r="D159" s="52"/>
      <c r="E159" s="162"/>
      <c r="F159" s="338" t="str">
        <f>IF(E159="","",IF(E159&lt;=0,0,IF(E159&gt;=0.95,1,ROUND('Reference Standards'!C$14*E159+'Reference Standards'!C$15,2))))</f>
        <v/>
      </c>
      <c r="G159" s="83" t="str">
        <f>IFERROR(AVERAGE(F159),"")</f>
        <v/>
      </c>
      <c r="H159" s="522" t="str">
        <f>IFERROR(ROUND(AVERAGE(G159:G160),2),"")</f>
        <v/>
      </c>
      <c r="I159" s="519" t="str">
        <f>IF(H159="","",IF(H159&gt;0.69,"Functioning",IF(H159&gt;0.29,"Functioning At Risk",IF(H159&gt;-1,"Not Functioning"))))</f>
        <v/>
      </c>
      <c r="J159" s="559" t="str">
        <f>IF(AND(H159="",H161="",H163="",H185="",H189=""),"",ROUND((IF(H159="",0,H159)*0.2)+(IF(H161="",0,H161)*0.2)+(IF(H163="",0,H163)*0.2)+(IF(H185="",0,H185)*0.2)+(IF(H189="",0,H189)*0.2),2))</f>
        <v/>
      </c>
      <c r="K159" s="555" t="str">
        <f>IF(J159="","",IF(J159&lt;0.3, "Not Functioning",IF(OR(H159&lt;0.7,H161&lt;0.7,H163&lt;0.7,H185&lt;0.7,H189&lt;0.7),"Functioning At Risk",IF(J159&lt;0.7,"Functioning At Risk","Functioning"))))</f>
        <v/>
      </c>
    </row>
    <row r="160" spans="1:12" ht="15.6" x14ac:dyDescent="0.3">
      <c r="A160" s="541"/>
      <c r="B160" s="371" t="s">
        <v>128</v>
      </c>
      <c r="C160" s="373" t="s">
        <v>161</v>
      </c>
      <c r="D160" s="374"/>
      <c r="E160" s="43"/>
      <c r="F160" s="372" t="str">
        <f>IF(E160="","",IF(E160&gt;=1,1,IF(E160&lt;=0,0,ROUND(E160,2))))</f>
        <v/>
      </c>
      <c r="G160" s="367" t="str">
        <f>IFERROR(AVERAGE(F160:F160),"")</f>
        <v/>
      </c>
      <c r="H160" s="523"/>
      <c r="I160" s="519"/>
      <c r="J160" s="559"/>
      <c r="K160" s="555"/>
    </row>
    <row r="161" spans="1:11" ht="15.6" x14ac:dyDescent="0.3">
      <c r="A161" s="524" t="s">
        <v>6</v>
      </c>
      <c r="B161" s="572" t="s">
        <v>7</v>
      </c>
      <c r="C161" s="54" t="s">
        <v>8</v>
      </c>
      <c r="D161" s="54"/>
      <c r="E161" s="162"/>
      <c r="F161" s="339" t="str">
        <f>IF(E161="","",ROUND(IF(E161&gt;1.6,0,IF(E161&lt;=1,1,E161^2*'Reference Standards'!K$14+E161*'Reference Standards'!K$15+'Reference Standards'!K$16)),2))</f>
        <v/>
      </c>
      <c r="G161" s="579" t="str">
        <f>IFERROR(AVERAGE(F161:F162),"")</f>
        <v/>
      </c>
      <c r="H161" s="579" t="str">
        <f>IFERROR(ROUND(AVERAGE(G161),2),"")</f>
        <v/>
      </c>
      <c r="I161" s="569" t="str">
        <f>IF(H161="","",IF(H161&gt;0.69,"Functioning",IF(H161&gt;0.29,"Functioning At Risk",IF(H161&gt;-1,"Not Functioning"))))</f>
        <v/>
      </c>
      <c r="J161" s="559"/>
      <c r="K161" s="555"/>
    </row>
    <row r="162" spans="1:11" ht="15.6" x14ac:dyDescent="0.3">
      <c r="A162" s="525"/>
      <c r="B162" s="572"/>
      <c r="C162" s="54" t="s">
        <v>9</v>
      </c>
      <c r="D162" s="54"/>
      <c r="E162" s="163"/>
      <c r="F162" s="339" t="str">
        <f>IF(E162="","",(IF(OR('Quantification Tool R4'!B$11="A",'Quantification Tool R4'!B$11="B",'Quantification Tool R4'!$B$11="Bc"),IF(E162&lt;1.2,0,IF(E162&gt;=2.2,1,ROUND(IF(E162&lt;1.4,E162*'Reference Standards'!$K$84+'Reference Standards'!$K$85,E162*'Reference Standards'!$L$84+'Reference Standards'!$L$85),2))),IF(OR('Quantification Tool R4'!B$11="C",'Quantification Tool R4'!B$11="E"),IF(E162&lt;2,0,IF(E162&gt;=5,1,ROUND(IF(E162&lt;2.4,E162*'Reference Standards'!$L$49+'Reference Standards'!$L$50,E162*'Reference Standards'!$K$49+'Reference Standards'!$K$50),2)))))))</f>
        <v/>
      </c>
      <c r="G162" s="581"/>
      <c r="H162" s="580"/>
      <c r="I162" s="570"/>
      <c r="J162" s="559"/>
      <c r="K162" s="555"/>
    </row>
    <row r="163" spans="1:11" ht="15.6" x14ac:dyDescent="0.3">
      <c r="A163" s="526" t="s">
        <v>26</v>
      </c>
      <c r="B163" s="557" t="s">
        <v>27</v>
      </c>
      <c r="C163" s="60" t="s">
        <v>333</v>
      </c>
      <c r="D163" s="244"/>
      <c r="E163" s="61"/>
      <c r="F163" s="340" t="str">
        <f>IF(E163="","",IF(OR(LEFT('Quantification Tool R4'!$B$12,2)="65",LEFT('Quantification Tool R4'!$B$12,2)="66",LEFT('Quantification Tool R4'!$B$12,2)="71"),IF(E163&gt;=850,1,IF(E163&lt;250,ROUND('Reference Standards'!$S$17*(E163)+'Reference Standards'!$S$18,2),ROUND('Reference Standards'!$T$17*E163+'Reference Standards'!$T$18,2))),  IF(E163&gt;=345,1,IF(E163&lt;=180,ROUND('Reference Standards'!$U$17*(E163)+'Reference Standards'!$U$18,2),ROUND('Reference Standards'!$V$17*E163+'Reference Standards'!$V$18,2))))    )</f>
        <v/>
      </c>
      <c r="G163" s="528" t="str">
        <f>IFERROR(AVERAGE(F163:F164),"")</f>
        <v/>
      </c>
      <c r="H163" s="566" t="str">
        <f>IFERROR(ROUND(AVERAGE(G163:G184),2),"")</f>
        <v/>
      </c>
      <c r="I163" s="555" t="str">
        <f>IF(H163="","",IF(H163&gt;0.69,"Functioning",IF(H163&gt;0.29,"Functioning At Risk",IF(H163&gt;-1,"Not Functioning"))))</f>
        <v/>
      </c>
      <c r="J163" s="559"/>
      <c r="K163" s="555"/>
    </row>
    <row r="164" spans="1:11" ht="15.6" x14ac:dyDescent="0.3">
      <c r="A164" s="520"/>
      <c r="B164" s="558"/>
      <c r="C164" s="63" t="s">
        <v>323</v>
      </c>
      <c r="D164" s="245"/>
      <c r="E164" s="53"/>
      <c r="F164" s="341" t="str">
        <f>IF(E164="","",IF(OR(LEFT('Quantification Tool R4'!$B$12,2)="65",LEFT('Quantification Tool R4'!$B$12,2)="66",LEFT('Quantification Tool R4'!$B$12,2)="71"),IF(E164&gt;=30,1,IF(E164&lt;13,ROUND('Reference Standards'!$S$53*(E164)+'Reference Standards'!$S$54,2),ROUND('Reference Standards'!$T$53*E164+'Reference Standards'!$T$54,2))),  IF(E164&gt;=16,1,IF(E164&lt;=9,ROUND('Reference Standards'!$U$53*(E164)+'Reference Standards'!$U$54,2),ROUND('Reference Standards'!$V$53*E164+'Reference Standards'!$V$54,2))))    )</f>
        <v/>
      </c>
      <c r="G164" s="530"/>
      <c r="H164" s="566"/>
      <c r="I164" s="555"/>
      <c r="J164" s="559"/>
      <c r="K164" s="555"/>
    </row>
    <row r="165" spans="1:11" ht="15.6" x14ac:dyDescent="0.3">
      <c r="A165" s="520"/>
      <c r="B165" s="520" t="s">
        <v>395</v>
      </c>
      <c r="C165" s="58" t="s">
        <v>80</v>
      </c>
      <c r="D165" s="58"/>
      <c r="E165" s="165"/>
      <c r="F165" s="340" t="str">
        <f>IF(E165="","",ROUND(IF(E165&gt;0.7,0,IF(E165&lt;=0.1,1,E165^3*'Reference Standards'!S$87+E165^2*'Reference Standards'!S$88+E165*'Reference Standards'!S$89+'Reference Standards'!S$90)),2))</f>
        <v/>
      </c>
      <c r="G165" s="528" t="str">
        <f>IFERROR(ROUND(AVERAGE(F165:F168),2),"")</f>
        <v/>
      </c>
      <c r="H165" s="567"/>
      <c r="I165" s="555"/>
      <c r="J165" s="559"/>
      <c r="K165" s="555"/>
    </row>
    <row r="166" spans="1:11" ht="15.6" x14ac:dyDescent="0.3">
      <c r="A166" s="520"/>
      <c r="B166" s="520"/>
      <c r="C166" s="58" t="s">
        <v>49</v>
      </c>
      <c r="D166" s="58"/>
      <c r="E166" s="165"/>
      <c r="F166" s="84"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529"/>
      <c r="H166" s="567"/>
      <c r="I166" s="555"/>
      <c r="J166" s="559"/>
      <c r="K166" s="555"/>
    </row>
    <row r="167" spans="1:11" ht="15.6" x14ac:dyDescent="0.3">
      <c r="A167" s="520"/>
      <c r="B167" s="520"/>
      <c r="C167" s="58" t="s">
        <v>87</v>
      </c>
      <c r="D167" s="58"/>
      <c r="E167" s="165"/>
      <c r="F167" s="84" t="str">
        <f>IF(E167="","",ROUND(IF(E167&gt;40,0,IF(E167&lt;5,1,E167^3*'Reference Standards'!S$122+E167^2*'Reference Standards'!S$123+E167*'Reference Standards'!S$124+'Reference Standards'!S$125)),2))</f>
        <v/>
      </c>
      <c r="G167" s="529"/>
      <c r="H167" s="567"/>
      <c r="I167" s="555"/>
      <c r="J167" s="559"/>
      <c r="K167" s="555"/>
    </row>
    <row r="168" spans="1:11" ht="15.6" x14ac:dyDescent="0.3">
      <c r="A168" s="520"/>
      <c r="B168" s="521"/>
      <c r="C168" s="59" t="s">
        <v>394</v>
      </c>
      <c r="D168" s="59"/>
      <c r="E168" s="167"/>
      <c r="F168" s="341" t="str">
        <f>IF(E168="","",ROUND(IF(E168&gt;=30,0,IF(E168&lt;=0,1,E168*'Reference Standards'!S$156+'Reference Standards'!S$157)),2))</f>
        <v/>
      </c>
      <c r="G168" s="530"/>
      <c r="H168" s="567"/>
      <c r="I168" s="555"/>
      <c r="J168" s="559"/>
      <c r="K168" s="555"/>
    </row>
    <row r="169" spans="1:11" ht="15.6" x14ac:dyDescent="0.3">
      <c r="A169" s="520"/>
      <c r="B169" s="520" t="s">
        <v>50</v>
      </c>
      <c r="C169" s="60" t="s">
        <v>377</v>
      </c>
      <c r="D169" s="64"/>
      <c r="E169" s="136"/>
      <c r="F169" s="294" t="str">
        <f>IF(E169="","",ROUND(IF(E169&gt;9.2,1,E169*'Reference Standards'!$S$189+'Reference Standards'!$S$190),2))</f>
        <v/>
      </c>
      <c r="G169" s="552" t="str">
        <f>IFERROR(ROUND(AVERAGE(F169:F178),2),"")</f>
        <v/>
      </c>
      <c r="H169" s="567"/>
      <c r="I169" s="555"/>
      <c r="J169" s="559"/>
      <c r="K169" s="555"/>
    </row>
    <row r="170" spans="1:11" ht="15.6" x14ac:dyDescent="0.3">
      <c r="A170" s="520"/>
      <c r="B170" s="520"/>
      <c r="C170" s="62" t="s">
        <v>378</v>
      </c>
      <c r="D170" s="58"/>
      <c r="E170" s="162"/>
      <c r="F170" s="294" t="str">
        <f>IF(E170="","",ROUND(IF(E170&gt;9.2,1,E170*'Reference Standards'!$S$189+'Reference Standards'!$S$190),2))</f>
        <v/>
      </c>
      <c r="G170" s="553"/>
      <c r="H170" s="567"/>
      <c r="I170" s="555"/>
      <c r="J170" s="559"/>
      <c r="K170" s="555"/>
    </row>
    <row r="171" spans="1:11" ht="15.6" x14ac:dyDescent="0.3">
      <c r="A171" s="520"/>
      <c r="B171" s="520"/>
      <c r="C171" s="62" t="s">
        <v>379</v>
      </c>
      <c r="D171" s="58"/>
      <c r="E171" s="162"/>
      <c r="F171" s="294" t="str">
        <f>IF(E171="","",ROUND( IF(E171&gt;=200,1,IF(E171&lt;50, E171^2*'Reference Standards'!S$224+E171*'Reference Standards'!S$225+'Reference Standards'!S$226, E171*'Reference Standards'!T$224+'Reference Standards'!T$225)),2))</f>
        <v/>
      </c>
      <c r="G171" s="553"/>
      <c r="H171" s="567"/>
      <c r="I171" s="555"/>
      <c r="J171" s="559"/>
      <c r="K171" s="555"/>
    </row>
    <row r="172" spans="1:11" ht="15.6" x14ac:dyDescent="0.3">
      <c r="A172" s="520"/>
      <c r="B172" s="520"/>
      <c r="C172" s="62" t="s">
        <v>380</v>
      </c>
      <c r="D172" s="58"/>
      <c r="E172" s="162"/>
      <c r="F172" s="294" t="str">
        <f>IF(E172="","",ROUND( IF(E172&gt;=200,1,IF(E172&lt;50, E172^2*'Reference Standards'!S$224+E172*'Reference Standards'!S$225+'Reference Standards'!S$226, E172*'Reference Standards'!T$224+'Reference Standards'!T$225)),2))</f>
        <v/>
      </c>
      <c r="G172" s="553"/>
      <c r="H172" s="567"/>
      <c r="I172" s="555"/>
      <c r="J172" s="559"/>
      <c r="K172" s="555"/>
    </row>
    <row r="173" spans="1:11" ht="15.6" x14ac:dyDescent="0.3">
      <c r="A173" s="520"/>
      <c r="B173" s="520"/>
      <c r="C173" s="58" t="s">
        <v>381</v>
      </c>
      <c r="D173" s="58"/>
      <c r="E173" s="162"/>
      <c r="F173" s="294" t="str">
        <f>IF(E173="","",ROUND(IF(AND(E173&gt;=135,E173&lt;=262),1,IF(  E173&gt;=366,0.5, IF(E173&lt;135,E173*'Reference Standards'!S$259+'Reference Standards'!S$260, E173*'Reference Standards'!T$259+'Reference Standards'!T$260))),2))</f>
        <v/>
      </c>
      <c r="G173" s="553"/>
      <c r="H173" s="567"/>
      <c r="I173" s="555"/>
      <c r="J173" s="559"/>
      <c r="K173" s="555"/>
    </row>
    <row r="174" spans="1:11" ht="15.6" x14ac:dyDescent="0.3">
      <c r="A174" s="520"/>
      <c r="B174" s="520"/>
      <c r="C174" s="58" t="s">
        <v>382</v>
      </c>
      <c r="D174" s="58"/>
      <c r="E174" s="162"/>
      <c r="F174" s="294" t="str">
        <f>IF(E174="","",ROUND(IF(AND(E174&gt;=135,E174&lt;=262),1,IF(  E174&gt;=366,0.5, IF(E174&lt;135,E174*'Reference Standards'!S$259+'Reference Standards'!S$260, E174*'Reference Standards'!T$259+'Reference Standards'!T$260))),2))</f>
        <v/>
      </c>
      <c r="G174" s="553"/>
      <c r="H174" s="567"/>
      <c r="I174" s="555"/>
      <c r="J174" s="559"/>
      <c r="K174" s="555"/>
    </row>
    <row r="175" spans="1:11" ht="15.6" x14ac:dyDescent="0.3">
      <c r="A175" s="520"/>
      <c r="B175" s="520"/>
      <c r="C175" s="58" t="s">
        <v>383</v>
      </c>
      <c r="D175" s="58"/>
      <c r="E175" s="162"/>
      <c r="F175" s="84" t="str">
        <f>IF(E175="","",ROUND(IF(E175&gt;=75,1,IF(E175&lt;=0,0,E175*'Reference Standards'!S$330)),2))</f>
        <v/>
      </c>
      <c r="G175" s="553"/>
      <c r="H175" s="567"/>
      <c r="I175" s="555"/>
      <c r="J175" s="559"/>
      <c r="K175" s="555"/>
    </row>
    <row r="176" spans="1:11" ht="15.6" x14ac:dyDescent="0.3">
      <c r="A176" s="520"/>
      <c r="B176" s="520"/>
      <c r="C176" s="58" t="s">
        <v>384</v>
      </c>
      <c r="D176" s="58"/>
      <c r="E176" s="162"/>
      <c r="F176" s="84" t="str">
        <f>IF(E176="","",ROUND(IF(E176&gt;=75,1,IF(E176&lt;=0,0,E176*'Reference Standards'!S$330)),2))</f>
        <v/>
      </c>
      <c r="G176" s="553"/>
      <c r="H176" s="567"/>
      <c r="I176" s="555"/>
      <c r="J176" s="559"/>
      <c r="K176" s="555"/>
    </row>
    <row r="177" spans="1:13" ht="15.6" x14ac:dyDescent="0.3">
      <c r="A177" s="520"/>
      <c r="B177" s="520"/>
      <c r="C177" s="58" t="s">
        <v>385</v>
      </c>
      <c r="D177" s="58"/>
      <c r="E177" s="162"/>
      <c r="F177" s="294" t="str">
        <f>IF(E177="","",ROUND(IF(AND(E177&gt;=36.3,E177&lt;=68),1,IF(E177&gt;100,0,IF(E177&lt;36.3,(('Reference Standards'!S$297*(E177^2))+('Reference Standards'!S$298*E177)+'Reference Standards'!S$299),IF(E177&gt;68,(('Reference Standards'!T$297*(E177^2))+('Reference Standards'!T$298*E177)+'Reference Standards'!T$299))))),2))</f>
        <v/>
      </c>
      <c r="G177" s="553"/>
      <c r="H177" s="567"/>
      <c r="I177" s="555"/>
      <c r="J177" s="559"/>
      <c r="K177" s="555"/>
      <c r="M177" s="21"/>
    </row>
    <row r="178" spans="1:13" ht="15.6" x14ac:dyDescent="0.3">
      <c r="A178" s="520"/>
      <c r="B178" s="521"/>
      <c r="C178" s="58" t="s">
        <v>386</v>
      </c>
      <c r="D178" s="65"/>
      <c r="E178" s="162"/>
      <c r="F178" s="294" t="str">
        <f>IF(E178="","",ROUND(IF(AND(E178&gt;=36.3,E178&lt;=68),1,IF(E178&gt;100,0,IF(E178&lt;36.3,(('Reference Standards'!S$297*(E178^2))+('Reference Standards'!S$298*E178)+'Reference Standards'!S$299),IF(E178&gt;68,(('Reference Standards'!T$297*(E178^2))+('Reference Standards'!T$298*E178)+'Reference Standards'!T$299))))),2))</f>
        <v/>
      </c>
      <c r="G178" s="554"/>
      <c r="H178" s="567"/>
      <c r="I178" s="555"/>
      <c r="J178" s="559"/>
      <c r="K178" s="555"/>
    </row>
    <row r="179" spans="1:13" ht="15.6" x14ac:dyDescent="0.3">
      <c r="A179" s="520"/>
      <c r="B179" s="56" t="s">
        <v>108</v>
      </c>
      <c r="C179" s="72" t="s">
        <v>130</v>
      </c>
      <c r="D179" s="58"/>
      <c r="E179" s="43"/>
      <c r="F179" s="82" t="str">
        <f>IF(E179="","",IF(OR('Quantification Tool R4'!B$14="Gravel",'Quantification Tool R4'!B$14="Cobble"),IF(E179&gt;0.1,1,IF(E179&lt;=0.01,0,ROUND(E179*'Reference Standards'!$S$362+'Reference Standards'!$S$363,2)))))</f>
        <v/>
      </c>
      <c r="G179" s="82" t="str">
        <f>IFERROR(AVERAGE(F179),"")</f>
        <v/>
      </c>
      <c r="H179" s="567"/>
      <c r="I179" s="555"/>
      <c r="J179" s="559"/>
      <c r="K179" s="555"/>
    </row>
    <row r="180" spans="1:13" ht="15.6" x14ac:dyDescent="0.3">
      <c r="A180" s="520"/>
      <c r="B180" s="526" t="s">
        <v>51</v>
      </c>
      <c r="C180" s="64" t="s">
        <v>52</v>
      </c>
      <c r="D180" s="64"/>
      <c r="E180" s="166"/>
      <c r="F180" s="337" t="str">
        <f>IF(E180="","",IF(ISNUMBER('Quantification Tool R4'!$B$17),IF('Quantification Tool R4'!$B$17&lt;=2,IF(AND(E180&gt;=3,E180&lt;=5),1,IF(OR(E180&lt;=1,E180&gt;=7),0,ROUND(IF(E180&lt;3,E180*'Reference Standards'!S$398+'Reference Standards'!S$399,E180*'Reference Standards'!T$398+'Reference Standards'!T$399),2))),IF(E180&lt;=2.5,1,IF(E180&gt;=5.8,0,ROUND(E180*'Reference Standards'!S$430+'Reference Standards'!S$431,2))))))</f>
        <v/>
      </c>
      <c r="G180" s="528" t="str">
        <f>IFERROR(AVERAGE(F180:F183),"")</f>
        <v/>
      </c>
      <c r="H180" s="567"/>
      <c r="I180" s="555"/>
      <c r="J180" s="559"/>
      <c r="K180" s="555"/>
    </row>
    <row r="181" spans="1:13" ht="15.6" x14ac:dyDescent="0.3">
      <c r="A181" s="520"/>
      <c r="B181" s="520"/>
      <c r="C181" s="58" t="s">
        <v>53</v>
      </c>
      <c r="D181" s="58"/>
      <c r="E181" s="165"/>
      <c r="F181" s="84" t="str">
        <f>IF(E181="","", IF( E181&gt;=2.4,1, IF(E181&lt;=1,0,  ROUND(IF(E181&lt;2.4, E181*'Reference Standards'!$S$464+'Reference Standards'!$S$465  ),2))))</f>
        <v/>
      </c>
      <c r="G181" s="529"/>
      <c r="H181" s="567"/>
      <c r="I181" s="555"/>
      <c r="J181" s="559"/>
      <c r="K181" s="555"/>
    </row>
    <row r="182" spans="1:13" ht="15.6" x14ac:dyDescent="0.3">
      <c r="A182" s="520"/>
      <c r="B182" s="520"/>
      <c r="C182" s="58" t="s">
        <v>334</v>
      </c>
      <c r="D182" s="58"/>
      <c r="E182" s="165"/>
      <c r="F182" s="390" t="str">
        <f>IF(E182="","", IF(LEFT('Quantification Tool R4'!$B$12,2)="67",  IF( AND(E182&gt;=45,E182&lt;=65),1, IF(OR(E182&lt;=20,E182&gt;=90),0, ROUND(  IF(E182&lt;45, E182*'Reference Standards'!$S$498+'Reference Standards'!$S$499,E182*'Reference Standards'!$T$498+'Reference Standards'!$T$499),2))), IF(OR(  LEFT('Quantification Tool R4'!$B$12,2)="68", LEFT('Quantification Tool R4'!$B$12,2)="69",LEFT('Quantification Tool R4'!$B$12,2)="71"),  IF( AND(E182&gt;=30,E182&lt;=50),1, IF(OR(E182&lt;=10,E182&gt;=70),0, ROUND(  IF(E182&lt;30, E182*'Reference Standards'!$S$533+'Reference Standards'!$S$534,E182*'Reference Standards'!$T$533+'Reference Standards'!$T$534),2))), IF(LEFT('Quantification Tool R4'!$B$12,2)="66",  IF( AND(E182&gt;=20,E182&lt;=45),1, IF(OR(E182&lt;=0,E182&gt;=90),0, ROUND(  IF(E182&lt;20, E182*'Reference Standards'!$S$567+'Reference Standards'!$S$568,E182*'Reference Standards'!$T$567+'Reference Standards'!$T$568),2))), IF(OR(  LEFT('Quantification Tool R4'!$B$12,2)="65", LEFT('Quantification Tool R4'!$B$12,2)="74", LEFT('Quantification Tool R4'!$B$12,2)="73"),  IF( AND(E182&gt;=20,E182&lt;=30),1, IF(OR(E182&lt;=0,E182&gt;=50),0, ROUND(  IF(E182&lt;20, E182*'Reference Standards'!$S$601+'Reference Standards'!$S$602,E182*'Reference Standards'!$T$601+'Reference Standards'!$T$602),2))))))))</f>
        <v/>
      </c>
      <c r="G182" s="529"/>
      <c r="H182" s="567"/>
      <c r="I182" s="555"/>
      <c r="J182" s="559"/>
      <c r="K182" s="555"/>
    </row>
    <row r="183" spans="1:13" ht="15.6" x14ac:dyDescent="0.3">
      <c r="A183" s="520"/>
      <c r="B183" s="521"/>
      <c r="C183" s="62" t="s">
        <v>210</v>
      </c>
      <c r="D183" s="58"/>
      <c r="E183" s="167"/>
      <c r="F183" s="391" t="str">
        <f>IF(E183="","",IF(E183&gt;=1.6,0,IF(E183&lt;=1,1,ROUND('Reference Standards'!$S$633*E183^3+'Reference Standards'!$S$634*E183^2+'Reference Standards'!$S$635*E183+'Reference Standards'!$S$636,2))))</f>
        <v/>
      </c>
      <c r="G183" s="530"/>
      <c r="H183" s="567"/>
      <c r="I183" s="555"/>
      <c r="J183" s="559"/>
      <c r="K183" s="555"/>
      <c r="L183" s="13"/>
    </row>
    <row r="184" spans="1:13" ht="15.6" x14ac:dyDescent="0.3">
      <c r="A184" s="521"/>
      <c r="B184" s="296" t="s">
        <v>55</v>
      </c>
      <c r="C184" s="242" t="s">
        <v>54</v>
      </c>
      <c r="D184" s="243"/>
      <c r="E184" s="163"/>
      <c r="F184" s="342" t="str">
        <f>IF(E184="","",IF(AND('Quantification Tool R4'!B$11="E",'Quantification Tool R4'!$B$14="Sand",'Quantification Tool R4'!$B$21="Unconfined Alluvial"),ROUND(IF(OR(E184&gt;1.8,E184&lt;1.3),0,IF(E184&lt;=1.6,1,E184*'Reference Standards'!S$667+'Reference Standards'!S$668)),2),    IF('Quantification Tool R4'!$B$21="Unconfined Alluvial",ROUND(IF(OR(E184&lt;1.2, E184&gt;1.5),0,IF(E184&lt;=1.4,1,E184*'Reference Standards'!$S$700+'Reference Standards'!$S$701)),2), IF('Quantification Tool R4'!$B$21="Confined Alluvial",ROUND(IF(E184&lt;1.15,0,IF(E184&lt;=1.4,E184*'Reference Standards'!$S$729+'Reference Standards'!$S$730,1)),2),  IF('Quantification Tool R4'!$B$21="Colluvial",ROUND(IF(E184&gt;1.3,0,IF(E184&gt;1.2,E184*'Reference Standards'!$S$760+'Reference Standards'!$S$761,1)),2) )))))</f>
        <v/>
      </c>
      <c r="G184" s="84" t="str">
        <f>IFERROR(AVERAGE(F184),"")</f>
        <v/>
      </c>
      <c r="H184" s="567"/>
      <c r="I184" s="555"/>
      <c r="J184" s="559"/>
      <c r="K184" s="555"/>
      <c r="L184" s="13"/>
    </row>
    <row r="185" spans="1:13" ht="15.6" x14ac:dyDescent="0.3">
      <c r="A185" s="537" t="s">
        <v>58</v>
      </c>
      <c r="B185" s="67" t="s">
        <v>88</v>
      </c>
      <c r="C185" s="70" t="s">
        <v>338</v>
      </c>
      <c r="D185" s="70"/>
      <c r="E185" s="43"/>
      <c r="F185" s="343" t="str">
        <f>IF(E185="","",ROUND(IF(E185&gt;=942,0,IF(E185&lt;=487,E185*'Reference Standards'!AB$15+'Reference Standards'!AB$16,E185*'Reference Standards'!$AC$15+'Reference Standards'!$AC$16)),2))</f>
        <v/>
      </c>
      <c r="G185" s="85" t="str">
        <f>IFERROR(AVERAGE(F185),"")</f>
        <v/>
      </c>
      <c r="H185" s="547" t="str">
        <f>IFERROR(ROUND(AVERAGE(G185:G188),2),"")</f>
        <v/>
      </c>
      <c r="I185" s="534" t="str">
        <f>IF(H185="","",IF(H185&gt;0.69,"Functioning",IF(H185&gt;0.29,"Functioning At Risk",IF(H185&gt;-1,"Not Functioning"))))</f>
        <v/>
      </c>
      <c r="J185" s="559"/>
      <c r="K185" s="555"/>
      <c r="L185" s="21"/>
    </row>
    <row r="186" spans="1:13" ht="15.6" x14ac:dyDescent="0.3">
      <c r="A186" s="538"/>
      <c r="B186" s="297" t="s">
        <v>362</v>
      </c>
      <c r="C186" s="66" t="s">
        <v>354</v>
      </c>
      <c r="D186" s="66"/>
      <c r="E186" s="163"/>
      <c r="F186" s="344" t="str">
        <f>IF(E186="","",IF(OR('Quantification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June")),IF(E186&gt;93,0,IF(E186&lt;13,1,ROUND('Reference Standards'!$AB$53*E186^2+'Reference Standards'!$AB$54*E186+'Reference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R4'!$B$12="73b"),IF(E186&gt;94,0,IF(E186&lt;17,1,ROUND('Reference Standards'!$AC$53*E186^2+'Reference Standards'!$AC$54*E186+'Reference Standards'!$AC$55,2))),    IF(OR(AND(OR('Quantification Tool R4'!$B$12="68b",'Quantification Tool R4'!$B$12="71i"),'Quantification Tool R4'!$B$13&gt;2), 'Quantification Tool R4'!$B$12="71e"),IF(E186&gt;91,0,IF(E186&lt;24,1,ROUND('Reference Standards'!$AD$53*E186^2+'Reference Standards'!$AD$54*E186+'Reference Standards'!$AD$55,2))),  IF(OR(AND(OR('Quantification Tool R4'!$B$12="71f",'Quantification Tool R4'!$B$12="71g",'Quantification Tool R4'!$B$12="71h",'Quantification Tool R4'!$B$12="71i"),'Quantification Tool R4'!$B$13&lt;=2), AND('Quantification Tool R4'!$B$12="74a",'Quantification Tool R4'!$B$13&gt;2)),IF(E186&gt;95,0,IF(E186&lt;=36,1,ROUND('Reference Standards'!$AE$53*E186^2+'Reference Standards'!$AE$54*E186+'Reference Standards'!$AE$55,2))))))))</f>
        <v/>
      </c>
      <c r="G186" s="236" t="str">
        <f>IFERROR(AVERAGE(F186:F186),"")</f>
        <v/>
      </c>
      <c r="H186" s="548"/>
      <c r="I186" s="535"/>
      <c r="J186" s="559"/>
      <c r="K186" s="555"/>
      <c r="L186" s="21"/>
    </row>
    <row r="187" spans="1:13" ht="15.6" x14ac:dyDescent="0.3">
      <c r="A187" s="538"/>
      <c r="B187" s="67" t="s">
        <v>81</v>
      </c>
      <c r="C187" s="68" t="s">
        <v>281</v>
      </c>
      <c r="D187" s="68"/>
      <c r="E187" s="162"/>
      <c r="F187" s="344" t="str">
        <f>IF(E187="","",IF(ISNUMBER('Quantification Tool R4'!$B$13),IF(OR('Quantification Tool R4'!$B$12="66e",'Quantification Tool R4'!$B$12="66f",'Quantification Tool R4'!$B$12="66g"),ROUND(IF(E187&gt;=0.61,0,IF(E187&lt;=0.01,1,IF(E187&lt;=0.06,E187*'Reference Standards'!$AD$197+'Reference Standards'!$AD$198,E187^2*'Reference Standards'!$AB$196+E187*'Reference Standards'!$AB$197+'Reference Standards'!$AB$198))),2),IF('Quantification Tool R4'!$B$12="68b",ROUND(IF(E187&gt;=1.1,0,IF(E187&lt;=0.17,1,IF(E187&lt;=0.22,E187*'Reference Standards'!$AE$197+'Reference Standards'!$AE$198,E187^2*'Reference Standards'!$AC$196+E187*'Reference Standards'!$AC$197+'Reference Standards'!$AC$198))),2),IF('Quantification Tool R4'!$B$13&lt;=2.5,IF('Quantification Tool R4'!$B$12="69de",ROUND(IF(E187&gt;=0.22,0,IF(E187&lt;=0.01,1,E187^2*'Reference Standards'!$AB$90+E187*'Reference Standards'!$AB$91+'Reference Standards'!$AB$92)),2),IF('Quantification Tool R4'!$B$12="68c",ROUND(IF(E187&gt;=0.87,0,IF(E187&lt;=0.01,1,E187^2*'Reference Standards'!$AC$90+E187*'Reference Standards'!$AC$91+'Reference Standards'!$AC$92)),2),IF('Quantification Tool R4'!$B$12="68a",ROUND(IF(E187&gt;=0.81,0,IF(E187&lt;=0.01,1,E187^2*'Reference Standards'!$AD$90+E187*'Reference Standards'!$AD$91+'Reference Standards'!$AD$92)),2),IF('Quantification Tool R4'!$B$12="65abei",ROUND(IF(E187&gt;=0.67,0,IF(E187&lt;=0.01,1,IF(E187&lt;=0.18,E187*'Reference Standards'!$AG$91+'Reference Standards'!$AG$92,E187*'Reference Standards'!$AE$91+'Reference Standards'!$AE$92))),2),IF('Quantification Tool R4'!$B$12="65j",ROUND(IF(E187&gt;=0.32,0,IF(E187&lt;=0.01,1,IF(E187&lt;=0.25,E187*'Reference Standards'!$AH$91+'Reference Standards'!$AH$92,E187*'Reference Standards'!$AF$91+'Reference Standards'!$AF$92))),2),IF('Quantification Tool R4'!$B$12="71f",ROUND(IF(E187&gt;=3,0,IF(E187&lt;=0,1,IF(E187&lt;=0.01,0.7,E187^2*'Reference Standards'!$AB$126+E187*'Reference Standards'!$AB$127+'Reference Standards'!$AB$128))),2),IF('Quantification Tool R4'!$B$12="74a",ROUND(IF(E187&gt;=0.14,0,IF(E187&lt;=0.01,1,IF(E187&lt;=0.02,0.7,E187^2*'Reference Standards'!$AC$126+E187*'Reference Standards'!$AC$127+'Reference Standards'!$AC$128))),2),IF(OR('Quantification Tool R4'!$B$12="67fhi",'Quantification Tool R4'!$B$12="67g"),ROUND(IF(E187&gt;=1.9,0,IF(E187&lt;=0.01,1,IF(E187&lt;=0.05,E187*'Reference Standards'!$AF$127+'Reference Standards'!$AF$128,E187^2*'Reference Standards'!$AD$126+E187*'Reference Standards'!$AD$127+'Reference Standards'!$AD$128))),2),IF('Quantification Tool R4'!$B$12="73a",ROUND(IF(E187&gt;=1.44,0,IF(E187&lt;=0.01,1,IF(E187&lt;=0.12,E187*'Reference Standards'!$AG$127+'Reference Standards'!$AG$128,E187^2*'Reference Standards'!$AE$126+E187*'Reference Standards'!$AE$127+'Reference Standards'!$AE$128))),2),IF('Quantification Tool R4'!$B$12="66d",ROUND(IF(E187&gt;=0.46,0,IF(E187&lt;=0.02,1,IF(E187&lt;=0.08,E187*'Reference Standards'!$AF$163+'Reference Standards'!$AF$164,E187^2*'Reference Standards'!$AB$162+E187*'Reference Standards'!$AB$163+'Reference Standards'!$AB$164))),2),IF(OR('Quantification Tool R4'!$B$12="71g",'Quantification Tool R4'!$B$12="71h",'Quantification Tool R4'!$B$12="71i"),ROUND(IF(E187&gt;=3,0,IF(E187&lt;=0.06,1,IF(E187&lt;=0.24,E187*'Reference Standards'!$AG$163+'Reference Standards'!$AG$164,E187^2*'Reference Standards'!$AC$162+E187*'Reference Standards'!$AC$163+'Reference Standards'!$AC$164))),2),IF('Quantification Tool R4'!$B$12="74b",ROUND(IF(E187&gt;=1.3,0,IF(E187&lt;=0.29,1,IF(E187&lt;=0.48,E187*'Reference Standards'!$AH$163+'Reference Standards'!$AH$164,E187^2*'Reference Standards'!$AD$162+E187*'Reference Standards'!$AD$163+'Reference Standards'!$AD$164))),2),IF('Quantification Tool R4'!$B$12="71e",ROUND(IF(E187&gt;=4.3,0,IF(E187&lt;=0.53,1,IF(E187&lt;=0.67,E187*'Reference Standards'!$AI$163+'Reference Standards'!$AI$164,E187^2*'Reference Standards'!$AE$162+E187*'Reference Standards'!$AE$163+'Reference Standards'!$AE$164))),2)))))))))))))),IF('Quantification Tool R4'!$B$13&gt;2.5,IF('Quantification Tool R4'!$B$12="73a",ROUND(IF(E187&gt;=0.55,0,IF(E187&lt;=0,1,E187^2*'Reference Standards'!$AB$232+E187*'Reference Standards'!$AB$233+'Reference Standards'!$AB$234)),2),IF('Quantification Tool R4'!$B$12="68a",ROUND(IF(E187&gt;=0.54,0,IF(E187&lt;=0,1,IF(E187&lt;=0.01,0.85,E187^2*'Reference Standards'!$AC$232+E187*'Reference Standards'!$AC$233+'Reference Standards'!$AC$234))),2),IF('Quantification Tool R4'!$B$12="74a",ROUND(IF(E187&gt;=0.47,0,IF(E187&lt;=0.01,1,IF(E187&lt;=0.02,0.7,E187^2*'Reference Standards'!$AD$232+E187*'Reference Standards'!$AD$233+'Reference Standards'!$AD$234))),2),IF('Quantification Tool R4'!$B$12="69de",ROUND(IF(E187&gt;=0.26,0,IF(E187&lt;=0.01,1,IF(E187&lt;=0.02,0.85,E187^2*'Reference Standards'!$AE$232+E187*'Reference Standards'!$AE$233+'Reference Standards'!$AE$234))),2),IF('Quantification Tool R4'!$B$12="71f",ROUND(IF(E187&gt;=0.87,0,IF(E187&lt;=0.01,1,IF(E187&lt;=0.04,E187*'Reference Standards'!$AF$269+'Reference Standards'!$AF$270,E187^2*'Reference Standards'!$AB$268+E187*'Reference Standards'!$AB$269+'Reference Standards'!$AB$270))),2),IF('Quantification Tool R4'!$B$12="65abei",ROUND(IF(E187&gt;=0.82,0,IF(E187&lt;=0.01,1,IF(E187&lt;=0.06,E187*'Reference Standards'!$AG$269+'Reference Standards'!$AG$270,E187^2*'Reference Standards'!$AC$268+E187*'Reference Standards'!$AC$269+'Reference Standards'!$AC$270))),2),IF('Quantification Tool R4'!$B$12="65j",ROUND(IF(E187&gt;=0.33,0,IF(E187&lt;=0.03,1,IF(E187&lt;=0.09,E187*'Reference Standards'!$AH$269+'Reference Standards'!$AH$270,E187^2*'Reference Standards'!$AD$268+E187*'Reference Standards'!$AD$269+'Reference Standards'!$AD$270))),2),IF('Quantification Tool R4'!$B$12="68c",ROUND(IF(E187&gt;=0.7,0,IF(E187&lt;=0.07,1,IF(E187&lt;=0.12,E187*'Reference Standards'!$AI$269+'Reference Standards'!$AI$270,E187^2*'Reference Standards'!$AE$268+E187*'Reference Standards'!$AE$269+'Reference Standards'!$AE$270))),2),IF(OR('Quantification Tool R4'!$B$12="67fhi",'Quantification Tool R4'!$B$12="67g"),ROUND(IF(E187&gt;=1.8,0,IF(E187&lt;=0.08,1,IF(E187&lt;=0.2,E187*'Reference Standards'!$AF$306+'Reference Standards'!$AF$307,E187^2*'Reference Standards'!$AB$305+E187*'Reference Standards'!$AB$306+'Reference Standards'!$AB$307))),2),IF('Quantification Tool R4'!$B$12="74b",ROUND(IF(E187&gt;=0.96,0,IF(E187&lt;=0.12,1,IF(E187&lt;=0.16,E187*'Reference Standards'!$AG$306+'Reference Standards'!$AG$307,E187^2*'Reference Standards'!$AC$305+E187*'Reference Standards'!$AC$306+'Reference Standards'!$AC$307))),2),IF('Quantification Tool R4'!$B$12="66d",ROUND(IF(E187&gt;=0.75,0,IF(E187&lt;=0.13,1,IF(E187&lt;=0.2,E187*'Reference Standards'!$AH$306+'Reference Standards'!$AH$307,E187^2*'Reference Standards'!$AD$305+E187*'Reference Standards'!$AD$306+'Reference Standards'!$AD$307))),2),IF(OR('Quantification Tool R4'!$B$12="71g",'Quantification Tool R4'!$B$12="71h",'Quantification Tool R4'!$B$12="71i"),ROUND(IF(E187&gt;=1.68,0,IF(E187&lt;=0.08,1,IF(E187&lt;=0.23,E187*'Reference Standards'!$AI$306+'Reference Standards'!$AI$307,E187^2*'Reference Standards'!$AE$305+E187*'Reference Standards'!$AE$306+'Reference Standards'!$AE$307))),2),IF('Quantification Tool R4'!$B$12="71e",ROUND(IF(E187&gt;=5.3,0,IF(E187&lt;=0.94,1,IF(E187&lt;=1.4,E187*'Reference Standards'!$AF$310+'Reference Standards'!$AF$311,E187^2*'Reference Standards'!$AB$309+E187*'Reference Standards'!$AB$310+'Reference Standards'!$AB$311))),2))))))))))))))))))))</f>
        <v/>
      </c>
      <c r="G187" s="86" t="str">
        <f>IFERROR(AVERAGE(F187),"")</f>
        <v/>
      </c>
      <c r="H187" s="548"/>
      <c r="I187" s="535"/>
      <c r="J187" s="559"/>
      <c r="K187" s="555"/>
      <c r="L187" s="21"/>
    </row>
    <row r="188" spans="1:13" ht="15.6" x14ac:dyDescent="0.3">
      <c r="A188" s="539"/>
      <c r="B188" s="298" t="s">
        <v>82</v>
      </c>
      <c r="C188" s="66" t="s">
        <v>280</v>
      </c>
      <c r="D188" s="66"/>
      <c r="E188" s="136"/>
      <c r="F188" s="343" t="str">
        <f>IF(E188="","",IF(ISNUMBER('Quantification Tool R4'!$B$13),IF('Quantification Tool R4'!$B$13&gt;2.5,IF(OR('Quantification Tool R4'!$B$12="71h",'Quantification Tool R4'!$B$12="71i",'Quantification Tool R4'!$B$12="73a",'Quantification Tool R4'!$B$12="74a"),IF(E188&lt;=0.01,1,IF(OR('Quantification Tool R4'!$B$12="71h",'Quantification Tool R4'!$B$12="71i"),IF(E188&gt;0.37,0,ROUND(IF(E188&gt;0.03,'Reference Standards'!$AB$425*E188^2+'Reference Standards'!$AB$426*E188+'Reference Standards'!$AB$427,'Reference Standards'!$AF$426*E188+'Reference Standards'!$AF$427),2)),IF('Quantification Tool R4'!$B$12="73a",IF(E188&gt;0.405,0,ROUND(IF(E188&gt;0.046,'Reference Standards'!$AC$425*E188^2+'Reference Standards'!$AC$426*E188+'Reference Standards'!$AC$427,'Reference Standards'!$AG$426*E188+'Reference Standards'!$AG$427),2)),IF('Quantification Tool R4'!$B$12="74a",IF(E188&gt;0.3,0,ROUND(IF(E188&gt;0.052,'Reference Standards'!$AD$425*E188^2+'Reference Standards'!$AD$426*E188+'Reference Standards'!$AD$427,'Reference Standards'!$AH$426*E188+'Reference Standards'!$AH$427),2)))))),IF(E188&lt;=0.002,1,IF(OR('Quantification Tool R4'!$B$12="66d",'Quantification Tool R4'!$B$12="66e",'Quantification Tool R4'!$B$12="66g"),IF(E188&gt;0.053,0,ROUND(E188^2*'Reference Standards'!$AB$347+E188*'Reference Standards'!$AB$348+'Reference Standards'!$AB$349,2)),IF('Quantification Tool R4'!$B$12="68b",IF(E188&gt;0.05,0,ROUND(E188^2*'Reference Standards'!$AC$347+E188*'Reference Standards'!$AC$348+'Reference Standards'!$AC$349,2)),IF(OR('Quantification Tool R4'!$B$12="68a",'Quantification Tool R4'!$B$12="68c"),IF(E188&gt;0.07,0,ROUND(E188^2*'Reference Standards'!$AD$347+E188*'Reference Standards'!$AD$348+'Reference Standards'!$AD$349,2)),IF(OR('Quantification Tool R4'!$B$12="71f",'Quantification Tool R4'!$B$12="71g"),IF(E188&gt;0.13,0,ROUND(IF(E188&gt;0.042,E188*'Reference Standards'!$AE$348+'Reference Standards'!$AE$349,E188*'Reference Standards'!$AF$348+'Reference Standards'!$AF$349),2)),IF('Quantification Tool R4'!$B$12="67fhi",IF(E188&gt;0.16,0,ROUND(E188^2*'Reference Standards'!$AG$347+E188*'Reference Standards'!$AG$348+'Reference Standards'!$AG$349,2)),IF('Quantification Tool R4'!$B$12="65j",IF(E188&gt;0.035,0,ROUND(IF(E188&lt;=0.003,0.7,E188^2*'Reference Standards'!$AB$387+E188*'Reference Standards'!$AB$388+'Reference Standards'!$AB$389),2)),IF('Quantification Tool R4'!$B$12="69de",IF(E188&gt;0.037,0,ROUND(IF(E188&lt;=0.003,0.7,E188^2*'Reference Standards'!$AC$387+E188*'Reference Standards'!$AC$388+'Reference Standards'!$AC$389),2)),IF('Quantification Tool R4'!$B$12="71e",IF(E188&gt;0.23,0,ROUND(IF(E188&lt;=0.003,0.7,E188^2*'Reference Standards'!$AD$387+E188*'Reference Standards'!$AD$388+'Reference Standards'!$AD$389),2)),IF('Quantification Tool R4'!$B$12="66f",IF(E188&gt;0.06,0,ROUND(IF(E188&lt;=0.003,0.85,IF(E188&lt;=0.004,0.7,E188^2*'Reference Standards'!$AE$387+E188*'Reference Standards'!$AE$388+'Reference Standards'!$AE$389)),2)),IF('Quantification Tool R4'!$B$12="67g",IF(E188&gt;0.11,0,ROUND(IF(E188&lt;=0.01,E188*'Reference Standards'!$AH$388+'Reference Standards'!$AH$389,E188^2*'Reference Standards'!$AF$387+E188*'Reference Standards'!$AF$388+'Reference Standards'!$AF$389),2)),IF('Quantification Tool R4'!$B$12="74b",IF(E188&gt;0.49,0,ROUND(IF(E188&lt;=0.01,E188*'Reference Standards'!$AH$388+'Reference Standards'!$AH$389,E188^2*'Reference Standards'!$AG$387+E188*'Reference Standards'!$AG$388+'Reference Standards'!$AG$389),2)),IF('Quantification Tool R4'!$B$12="65abei",IF(E188&gt;0.199,0,ROUND(IF(E188&lt;=0.01,E188*'Reference Standards'!$AI$426+'Reference Standards'!$AI$427,E188^2*'Reference Standards'!$AE$425+E188*'Reference Standards'!$AE$426+'Reference Standards'!$AE$427),2)))))))))))))))),IF('Quantification Tool R4'!$B$13&lt;=2.5,IF(OR('Quantification Tool R4'!$B$12="66d",'Quantification Tool R4'!$B$12="66e",'Quantification Tool R4'!$B$12="66g"),IF(E188&gt;0.05,0,ROUND(IF(E188&lt;=0.002,1,IF(E188&lt;=0.005,E188*'Reference Standards'!$AF$464+'Reference Standards'!$AF$465,E188^2*'Reference Standards'!$AB$463+E188*'Reference Standards'!$AB$464+'Reference Standards'!$AB$465)),2)),IF('Quantification Tool R4'!$B$12="67fhi",IF(E188&gt;0.1,0,ROUND(IF(E188&lt;=0.002,1,IF(E188&lt;=0.006,E188*'Reference Standards'!$AG$464+'Reference Standards'!$AG$465,E188^2*'Reference Standards'!$AC$463+E188*'Reference Standards'!$AC$464+'Reference Standards'!$AC$465)),2)),IF('Quantification Tool R4'!$B$12="65abei",IF(E188&gt;0.13,0,ROUND(IF(E188&lt;=0.003,1,IF(E188&lt;=0.008,E188*'Reference Standards'!$AH$464+'Reference Standards'!$AH$465,E188^2*'Reference Standards'!$AD$463+E188*'Reference Standards'!$AD$464+'Reference Standards'!$AD$465)),2)),IF('Quantification Tool R4'!$B$12="68b",IF(E188&gt;0.043,0,ROUND(IF(E188&lt;=0.004,1,IF(E188&lt;=0.005,0.7,E188^2*'Reference Standards'!$AE$463+E188*'Reference Standards'!$AE$464+'Reference Standards'!$AE$465)),2)),IF('Quantification Tool R4'!$B$12="69de",IF(E188&gt;=0.034,0,ROUND(IF(E188&lt;=0.003,1,IF(E188&lt;=0.006,E188*'Reference Standards'!$AG$500+'Reference Standards'!$AG$501,E188*'Reference Standards'!$AB$500+'Reference Standards'!$AB$501)),2)),IF(OR('Quantification Tool R4'!$B$12="68a",'Quantification Tool R4'!$B$12="68c"),IF(E188&gt;0.202,0,ROUND(IF(E188&lt;=0.003,1,IF(E188&lt;=0.006,E188*'Reference Standards'!$AG$500+'Reference Standards'!$AG$501,IF(E188&gt;=0.04,E188*'Reference Standards'!$AC$500+'Reference Standards'!$AC$501,E188*'Reference Standards'!$AE$500+'Reference Standards'!$AE$501))),2)),IF(OR('Quantification Tool R4'!$B$12="71f",'Quantification Tool R4'!$B$12="71g"),IF(E188&gt;0.631,0,ROUND(IF(E188&lt;=0.003,1,IF(E188&lt;=0.006,E188*'Reference Standards'!$AG$500+'Reference Standards'!$AG$501,IF(E188&gt;=0.17,E188*'Reference Standards'!$AD$500+'Reference Standards'!$AD$501,E188*'Reference Standards'!$AF$500+'Reference Standards'!$AF$501))),2)),IF('Quantification Tool R4'!$B$12="71e",IF(E188&gt;1.23,0,ROUND(IF(E188&lt;=0.004,1,IF(E188&lt;=0.006,E188*'Reference Standards'!$AF$538+'Reference Standards'!$AF$539,E188^2*'Reference Standards'!$AB$537+E188*'Reference Standards'!$AB$538+'Reference Standards'!$AB$539)),2)),IF('Quantification Tool R4'!$B$12="67g",IF(E188&gt;0.11,0,ROUND(IF(E188&lt;=0.006,1,IF(E188&lt;=0.011,E188*'Reference Standards'!$AG$538+'Reference Standards'!$AG$539,E188^2*'Reference Standards'!$AC$537+E188*'Reference Standards'!$AC$538+'Reference Standards'!$AC$539)),2)),IF('Quantification Tool R4'!$B$12="65j",IF(E188&gt;0.046,0,ROUND(IF(E188&lt;=0.007,1,IF(E188&lt;=0.012,E188*'Reference Standards'!$AH$538+'Reference Standards'!$AH$539,E188^2*'Reference Standards'!$AD$537+E188*'Reference Standards'!$AD$538+'Reference Standards'!$AD$539)),2)),IF('Quantification Tool R4'!$B$12="66f",IF(E188&gt;0.081,0,ROUND(IF(E188&lt;=0.008,1,IF(E188&lt;=0.011,E188*'Reference Standards'!$AI$538+'Reference Standards'!$AI$539,E188^2*'Reference Standards'!$AE$537+E188*'Reference Standards'!$AE$538+'Reference Standards'!$AE$539)),2)),IF(OR('Quantification Tool R4'!$B$12="71h",'Quantification Tool R4'!$B$12="71i"),IF(E188&gt;0.37,0,ROUND(IF(E188&lt;=0.013,1,IF(E188&lt;=0.032,E188*'Reference Standards'!$AH$576+'Reference Standards'!$AH$577,IF(E188&lt;=0.3,E188*'Reference Standards'!$AF$576+'Reference Standards'!$AF$577,E188*'Reference Standards'!$AB$576+'Reference Standards'!$AB$577))),2)),IF('Quantification Tool R4'!$B$12="73a",IF(E188&gt;0.448,0,ROUND(IF(E188&lt;=0.071,1,IF(E188&lt;=0.086,E188*'Reference Standards'!$AJ$576+'Reference Standards'!$AJ$577,IF(E188&lt;=0.165,E188*'Reference Standards'!$AG$576+'Reference Standards'!$AG$577,E188*'Reference Standards'!$AE$576+'Reference Standards'!$AE$577))),2)),IF('Quantification Tool R4'!$B$12="74b",IF(E188&gt;0.43,0,ROUND(IF(E188&lt;=0.018,1,IF(E188&lt;=0.019,0.85,IF(E188&lt;=0.02,0.7,E188^2*'Reference Standards'!$AC$575+E188*'Reference Standards'!$AC$576+'Reference Standards'!$AC$577))),2)),IF('Quantification Tool R4'!$B$12="74a",IF(E188&gt;0.217,0,ROUND(IF(E188&lt;=0.02,1,IF(E188&lt;=0.033,E188*'Reference Standards'!$AI$576+'Reference Standards'!$AI$577,E188^2*'Reference Standards'!$AD$575+E188*'Reference Standards'!$AD$576+'Reference Standards'!$AD$577)),2)))))))))))))))))))))</f>
        <v/>
      </c>
      <c r="G188" s="87" t="str">
        <f>IFERROR(AVERAGE(F188),"")</f>
        <v/>
      </c>
      <c r="H188" s="549"/>
      <c r="I188" s="536"/>
      <c r="J188" s="559"/>
      <c r="K188" s="555"/>
      <c r="L188" s="21"/>
    </row>
    <row r="189" spans="1:13" ht="15.6" x14ac:dyDescent="0.3">
      <c r="A189" s="550" t="s">
        <v>59</v>
      </c>
      <c r="B189" s="560" t="s">
        <v>340</v>
      </c>
      <c r="C189" s="125" t="s">
        <v>331</v>
      </c>
      <c r="D189" s="126"/>
      <c r="E189" s="166"/>
      <c r="F189" s="345" t="str">
        <f>IF(E189="","",IF(OR('Quantification Tool R4'!B$12="73a",'Quantification Tool R4'!B$12="73b"),IF(E189&lt;1,0,IF(E189&gt;=30,1,ROUND(IF(E189&lt;22,'Reference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531" t="str">
        <f>IFERROR(AVERAGE(F189:F192),"")</f>
        <v/>
      </c>
      <c r="H189" s="568" t="str">
        <f>IFERROR(ROUND(AVERAGE(G189:G194),2),"")</f>
        <v/>
      </c>
      <c r="I189" s="519" t="str">
        <f>IF(H189="","",IF(H189&gt;0.69,"Functioning",IF(H189&gt;0.29,"Functioning At Risk",IF(H189&gt;-1,"Not Functioning"))))</f>
        <v/>
      </c>
      <c r="J189" s="559"/>
      <c r="K189" s="555"/>
      <c r="L189" s="21"/>
    </row>
    <row r="190" spans="1:13" ht="15.6" x14ac:dyDescent="0.3">
      <c r="A190" s="556"/>
      <c r="B190" s="561"/>
      <c r="C190" s="174" t="s">
        <v>335</v>
      </c>
      <c r="D190" s="175"/>
      <c r="E190" s="165"/>
      <c r="F190" s="346" t="str">
        <f>IF(E190="","",IF(AND('Quantification Tool R4'!$B$12="74b",'Quantification Tool R4'!$B$13&lt;=2),IF(E190&lt;0,0,IF(E190&gt;15.6,0.69,ROUND('Reference Standards'!$AL$54*E190^2+'Reference Standards'!$AL$55*E190+'Reference Standards'!$AL$56,2))),IF(AND('Quantification Tool R4'!$B$12="65abei",'Quantification Tool R4'!$B$13&lt;=2),IF(E190&lt;0,0,IF(E190&gt;=20,0.69,ROUND('Reference Standards'!$AM$54*E190^2+'Reference Standards'!$AM$55*E190+'Reference Standards'!$AM$56,2))),IF(OR(AND('Quantification Tool R4'!$B$12="74a",'Quantification Tool R4'!$B$13&gt;2,'Quantification Tool R4'!$B$19="January - June"),AND('Quantification Tool R4'!$B$12="71i",'Quantification Tool R4'!$B$13&gt;2,'Quantification Tool R4'!$B$20="SQBANK")),IF(E190&lt;0,0,IF(E190&gt;24.7,0.69,ROUND('Reference Standards'!$AN$54*E190^2+'Reference Standards'!$AN$55*E190+'Reference Standards'!$AN$56,2))),IF(OR('Quantification Tool R4'!$B$12="74b",'Quantification Tool R4'!$B$12="65abei"),IF(E190&lt;0,0,IF(E190&gt;32.7,0.69,ROUND('Reference Standards'!$AO$54*E190^2+'Reference Standards'!$AO$55*E190+'Reference Standards'!$AO$56,2))),IF(AND('Quantification Tool R4'!$B$12="68b",'Quantification Tool R4'!$B$13&gt;2),IF(E190&lt;0,0,IF(E190&gt;41.2,0.69,ROUND('Reference Standards'!$AP$54*E190^2+'Reference Standards'!$AP$55*E190+'Reference Standards'!$AP$56,2))),IF(OR(AND('Quantification Tool R4'!$B$12="71i",'Quantification Tool R4'!$B$13&lt;=2),AND(OR('Quantification Tool R4'!$B$12="68c",'Quantification Tool R4'!$B$12="68d"),'Quantification Tool R4'!$B$19="January - June")),IF(E190&lt;0,0,IF(E190&gt;49.2,0.69,ROUND('Reference Standards'!$AL$94*E190^2+'Reference Standards'!$AL$95*E190+'Reference Standards'!$AL$96,2))),IF(OR(AND('Quantification Tool R4'!$B$12="68a",'Quantification Tool R4'!$B$19="January - June"),AND(OR('Quantification Tool R4'!$B$12="68c",'Quantification Tool R4'!$B$12="68d"),'Quantification Tool R4'!$B$19="July - December")),IF(E190&lt;0,0,IF(E190&gt;53.4,0.69,ROUND('Reference Standards'!$AM$94*E190^2+'Reference Standards'!$AM$95*E190+'Reference Standards'!$AM$96,2))),IF(OR(AND('Quantification Tool R4'!$B$12="71i",'Quantification Tool R4'!$B$13&gt;2,'Quantification Tool R4'!$B$20="SQKICK"),AND(OR('Quantification Tool R4'!$B$12="67fhi",'Quantification Tool R4'!$B$12="67g"),'Quantification Tool R4'!$B$13&lt;=2),'Quantification Tool R4'!$B$12="65j"),IF(E190&lt;0,0,IF(E190&gt;57.8,0.69,ROUND('Reference Standards'!$AN$94*E190^2+'Reference Standards'!$AN$95*E190+'Reference Standards'!$AN$96,2))),IF(OR(AND('Quantification Tool R4'!$B$12="74a",'Quantification Tool R4'!$B$13&gt;2,'Quantification Tool R4'!$B$19="July - December"),AND(OR('Quantification Tool R4'!$B$12="67fhi",'Quantification Tool R4'!$B$12="67g"),'Quantification Tool R4'!$B$13&gt;2),'Quantification Tool R4'!$B$12="69de"),IF(E190&lt;0,0,IF(E190&gt;62.5,0.69,ROUND('Reference Standards'!$AO$94*E190^2+'Reference Standards'!$AO$95*E190+'Reference Standards'!$AO$96,2))),  IF(OR('Quantification Tool R4'!$B$12="66d",'Quantification Tool R4'!$B$12="66e",'Quantification Tool R4'!$B$12="66ik",'Quantification Tool R4'!$B$12="71e",'Quantification Tool R4'!$B$12="71f",'Quantification Tool R4'!$B$12="71g",'Quantification Tool R4'!$B$12="71h"),IF(E190&lt;0,0,IF(E190&gt;66.5,0.69,ROUND('Reference Standards'!$AP$94*E190^2+'Reference Standards'!$AP$95*E190+'Reference Standards'!$AP$96,2))),IF(OR('Quantification Tool R4'!$B$12="66f",'Quantification Tool R4'!$B$12="66g",'Quantification Tool R4'!$B$12="66j",AND('Quantification Tool R4'!$B$12="68a",'Quantification Tool R4'!$B$19="July - December")), IF(E190&lt;0,0,IF(E190&gt;69,0.69,ROUND('Reference Standards'!$AQ$94*E190^2+'Reference Standards'!$AQ$95*E190+'Reference Standards'!$AQ$96,2))))   )))))))))))</f>
        <v/>
      </c>
      <c r="G190" s="531"/>
      <c r="H190" s="568"/>
      <c r="I190" s="519"/>
      <c r="J190" s="559"/>
      <c r="K190" s="555"/>
      <c r="L190" s="21"/>
    </row>
    <row r="191" spans="1:13" ht="15.6" x14ac:dyDescent="0.3">
      <c r="A191" s="556"/>
      <c r="B191" s="561"/>
      <c r="C191" s="174" t="s">
        <v>339</v>
      </c>
      <c r="D191" s="175"/>
      <c r="E191" s="165"/>
      <c r="F191" s="346" t="str">
        <f>IF(E191="","",IF(AND('Quantification Tool R4'!$B$12="74b",'Quantification Tool R4'!$B$13&lt;=2),IF(E191&lt;0,0,IF(E191&gt;8.1,0.69,ROUND('Reference Standards'!$AL$131*E191^2+'Reference Standards'!$AL$132*E191+'Reference Standards'!$AL$133,2))),IF(OR('Quantification Tool R4'!$B$12="73a",'Quantification Tool R4'!$B$12="73b"),IF(E191&lt;0,0,IF(E191&gt;=28,0.69,ROUND('Reference Standards'!$AM$131*E191^2+'Reference Standards'!$AM$132*E191+'Reference Standards'!$AM$133,2))),IF(AND('Quantification Tool R4'!$B$12="74a",'Quantification Tool R4'!$B$13&gt;2,'Quantification Tool R4'!$B$19="January - June"),IF(E191&lt;0,0,IF(E191&gt;=32.5,0.69,ROUND('Reference Standards'!$AN$131*E191^2+'Reference Standards'!$AN$132*E191+'Reference Standards'!$AN$133,2))),IF(AND('Quantification Tool R4'!$B$12="71i",'Quantification Tool R4'!$B$13&gt;2,'Quantification Tool R4'!$B$20="SQBANK"),IF(E191&lt;0,0,IF(E191&gt;=37,0.69,ROUND('Reference Standards'!$AO$131*E191^2+'Reference Standards'!$AO$132*E191+'Reference Standards'!$AO$133,2))),IF(OR(AND(OR('Quantification Tool R4'!$B$12="65abei",'Quantification Tool R4'!$B$12="74b"),'Quantification Tool R4'!$B$13&gt;2),AND('Quantification Tool R4'!$B$12="71i",'Quantification Tool R4'!$B$13&gt;2,'Quantification Tool R4'!$B$20="SQKICK")),IF(E191&lt;0,0,IF(E191&gt;42.6,0.69,ROUND('Reference Standards'!$AP$131*E191^2+'Reference Standards'!$AP$132*E191+'Reference Standards'!$AP$133,2))),     IF(OR(AND('Quantification Tool R4'!$B$12="65abei",'Quantification Tool R4'!$B$13&lt;=2),AND(OR('Quantification Tool R4'!$B$12="68c",'Quantification Tool R4'!$B$12="68d"),'Quantification Tool R4'!$B$19="July - December"),'Quantification Tool R4'!$B$12="71e"),IF(E191&lt;0,0,IF(E191&gt;=48,0.69,ROUND('Reference Standards'!$AL$171*E191^2+'Reference Standards'!$AL$172*E191+'Reference Standards'!$AL$173,2))),IF(OR('Quantification Tool R4'!$B$12="65j",'Quantification Tool R4'!$B$12="67fhi",'Quantification Tool R4'!$B$12="67g",AND('Quantification Tool R4'!$B$12="74a",'Quantification Tool R4'!$B$19="July - December",'Quantification Tool R4'!$B$13&gt;2),AND('Quantification Tool R4'!$B$12="71i",'Quantification Tool R4'!$B$13&lt;=2)),IF(E191&lt;0,0,IF(E191&gt;=53,0.69,ROUND('Reference Standards'!$AM$171*E191^2+'Reference Standards'!$AM$172*E191+'Reference Standards'!$AM$173,2))),IF(OR(AND(OR('Quantification Tool R4'!$B$12="68b",'Quantification Tool R4'!$B$12="71f",'Quantification Tool R4'!$B$12="71g",'Quantification Tool R4'!$B$12="71h"),'Quantification Tool R4'!$B$13&gt;2),'Quantification Tool R4'!$B$12="68a"),IF(E191&lt;0,0,IF(E191&gt;=57,0.69,ROUND('Reference Standards'!$AN$171*E191^2+'Reference Standards'!$AN$172*E191+'Reference Standards'!$AN$173,2))),IF(OR('Quantification Tool R4'!$B$12="66f",'Quantification Tool R4'!$B$12="66g",'Quantification Tool R4'!$B$12="66j",AND(OR('Quantification Tool R4'!$B$12="71f",'Quantification Tool R4'!$B$12="71g",'Quantification Tool R4'!$B$12="71h"),'Quantification Tool R4'!$B$13&lt;=2)),IF(E191&lt;0,0,IF(E191&gt;=60,0.69,ROUND('Reference Standards'!$AO$171*E191^2+'Reference Standards'!$AO$172*E191+'Reference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December")),IF(E191&lt;0,0,IF(E191&gt;=67.5,0.69,ROUND('Reference Standards'!$AP$171*E191^2+'Reference Standards'!$AP$172*E191+'Reference Standards'!$AP$173,2))),IF(AND('Quantification Tool R4'!$B$12="69de",'Quantification Tool R4'!$B$19="January - June"), IF(E191&lt;0,0,IF(E191&gt;=72,0.69,ROUND('Reference Standards'!$AQ$171*E191^2+'Reference Standards'!$AQ$172*E191+'Reference Standards'!$AQ$173,2))))   )))))))))))</f>
        <v/>
      </c>
      <c r="G191" s="531"/>
      <c r="H191" s="568"/>
      <c r="I191" s="519"/>
      <c r="J191" s="559"/>
      <c r="K191" s="555"/>
      <c r="L191" s="21"/>
    </row>
    <row r="192" spans="1:13" ht="15.6" x14ac:dyDescent="0.3">
      <c r="A192" s="556"/>
      <c r="B192" s="562"/>
      <c r="C192" s="127" t="s">
        <v>336</v>
      </c>
      <c r="D192" s="71"/>
      <c r="E192" s="167"/>
      <c r="F192" s="346" t="str">
        <f>IF(E192="","",IF(OR('Quantification Tool R4'!$B$12="67fhi",'Quantification Tool R4'!$B$12="67g",'Quantification Tool R4'!$B$12="71e",'Quantification Tool R4'!$B$12="73a",'Quantification Tool R4'!$B$12="73b",AND(OR('Quantification Tool R4'!$B$12="71f",'Quantification Tool R4'!$B$12="71g",'Quantification Tool R4'!$B$12="71h"),'Quantification Tool R4'!$B$13&gt;2)),IF(E192&gt;100,0,IF(E192&lt;15,0.69,ROUND('Reference Standards'!$AL$208*E192^2+'Reference Standards'!$AL$209*E192+'Reference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),IF(E192&gt;100,0,IF(E192&lt;19,0.69,ROUND('Reference Standards'!$AM$208*E192^2+'Reference Standards'!$AM$209*E192+'Reference Standards'!$AM$210,2))),    IF(OR(AND('Quantification Tool R4'!$B$12="69de",'Quantification Tool R4'!$B$19="January - June"),AND('Quantification Tool R4'!$B$12="71i",'Quantification Tool R4'!$B$13&gt;2,'Quantification Tool R4'!$B$20="SQKICK" )),IF(E192&gt;100,0,IF(E192&lt;22,0.69,ROUND('Reference Standards'!$AN$208*E192^2+'Reference Standards'!$AN$209*E192+'Reference Standards'!$AN$210,2))),    IF(OR('Quantification Tool R4'!$B$12="65j",AND('Quantification Tool R4'!$B$12="68b",'Quantification Tool R4'!$B$13&gt;2)),IF(E192&gt;100,0,IF(E192&lt;24,0.69,ROUND('Reference Standards'!$AO$208*E192^2+'Reference Standards'!$AO$209*E192+'Reference Standards'!$AO$210,2))),    IF(AND(OR('Quantification Tool R4'!$B$12="65abei",'Quantification Tool R4'!$B$12="71f",'Quantification Tool R4'!$B$12="71g",'Quantification Tool R4'!$B$12="71h"),'Quantification Tool R4'!$B$13&lt;=2),IF(E192&gt;95,0,IF(E192&lt;33,0.69,ROUND('Reference Standards'!$AL$246*E192^2+'Reference Standards'!$AL$247*E192+'Reference Standards'!$AL$248,2))),   IF(AND(OR('Quantification Tool R4'!$B$12="65abei",'Quantification Tool R4'!$B$12="74b"),'Quantification Tool R4'!$B$13&gt;2),IF(E192&gt;97,0,IF(E192&lt;36,0.69,ROUND('Reference Standards'!$AM$246*E192^2+'Reference Standards'!$AM$247*E192+'Reference Standards'!$AM$248,2))),  IF(AND('Quantification Tool R4'!$B$12="74a",'Quantification Tool R4'!$B$19="January - June",'Quantification Tool R4'!$B$13&gt;2),IF(E192&gt;93,0,IF(E192&lt;52,0.69,ROUND('Reference Standards'!$AN$246*E192^2+'Reference Standards'!$AN$247*E192+'Reference Standards'!$AN$248,2))),   IF(AND('Quantification Tool R4'!$B$12="74b",'Quantification Tool R4'!$B$13&lt;=2),IF(E192&gt;97,0,IF(E192&lt;62,0.69,ROUND('Reference Standards'!$AO$246*E192^2+'Reference Standards'!$AO$247*E192+'Reference Standards'!$AO$248,2)))  )))))))))</f>
        <v/>
      </c>
      <c r="G192" s="531"/>
      <c r="H192" s="568"/>
      <c r="I192" s="519"/>
      <c r="J192" s="559"/>
      <c r="K192" s="555"/>
      <c r="L192" s="21"/>
    </row>
    <row r="193" spans="1:12" ht="15.6" x14ac:dyDescent="0.3">
      <c r="A193" s="556"/>
      <c r="B193" s="563" t="s">
        <v>74</v>
      </c>
      <c r="C193" s="125" t="s">
        <v>211</v>
      </c>
      <c r="D193" s="126"/>
      <c r="E193" s="166"/>
      <c r="F193" s="345" t="str">
        <f>IF(E193="","",IF(E193=1,0.15,IF(E193=3,0.5,IF(E193=5,0.85,0))))</f>
        <v/>
      </c>
      <c r="G193" s="564" t="str">
        <f>IFERROR(AVERAGE(F193:F194),"")</f>
        <v/>
      </c>
      <c r="H193" s="568"/>
      <c r="I193" s="519"/>
      <c r="J193" s="559"/>
      <c r="K193" s="555"/>
      <c r="L193" s="21"/>
    </row>
    <row r="194" spans="1:12" ht="15.6" x14ac:dyDescent="0.3">
      <c r="A194" s="551"/>
      <c r="B194" s="563"/>
      <c r="C194" s="127" t="s">
        <v>332</v>
      </c>
      <c r="D194" s="71"/>
      <c r="E194" s="167"/>
      <c r="F194" s="347" t="str">
        <f>IF(E194="","",IF(E194=1,0.15,IF(E194=3,0.5,IF(E194=5,0.85,0))))</f>
        <v/>
      </c>
      <c r="G194" s="565"/>
      <c r="H194" s="568"/>
      <c r="I194" s="519"/>
      <c r="J194" s="559"/>
      <c r="K194" s="555"/>
      <c r="L194" s="21"/>
    </row>
    <row r="195" spans="1:12" ht="13.95" customHeight="1" x14ac:dyDescent="0.3">
      <c r="L195" s="21"/>
    </row>
    <row r="196" spans="1:12" ht="21" x14ac:dyDescent="0.4">
      <c r="A196" s="148" t="s">
        <v>135</v>
      </c>
      <c r="B196" s="246"/>
      <c r="C196" s="249" t="s">
        <v>324</v>
      </c>
      <c r="D196" s="246"/>
      <c r="E196" s="247"/>
      <c r="F196" s="248"/>
      <c r="G196" s="544" t="s">
        <v>18</v>
      </c>
      <c r="H196" s="545"/>
      <c r="I196" s="545"/>
      <c r="J196" s="545"/>
      <c r="K196" s="546"/>
      <c r="L196" s="21"/>
    </row>
    <row r="197" spans="1:12" ht="15.6" x14ac:dyDescent="0.3">
      <c r="A197" s="158" t="s">
        <v>1</v>
      </c>
      <c r="B197" s="158" t="s">
        <v>2</v>
      </c>
      <c r="C197" s="542" t="s">
        <v>3</v>
      </c>
      <c r="D197" s="644"/>
      <c r="E197" s="158" t="s">
        <v>15</v>
      </c>
      <c r="F197" s="158" t="s">
        <v>16</v>
      </c>
      <c r="G197" s="158" t="s">
        <v>19</v>
      </c>
      <c r="H197" s="158" t="s">
        <v>20</v>
      </c>
      <c r="I197" s="314" t="s">
        <v>20</v>
      </c>
      <c r="J197" s="158" t="s">
        <v>21</v>
      </c>
      <c r="K197" s="158" t="s">
        <v>21</v>
      </c>
    </row>
    <row r="198" spans="1:12" ht="15.6" x14ac:dyDescent="0.3">
      <c r="A198" s="540" t="s">
        <v>60</v>
      </c>
      <c r="B198" s="299" t="s">
        <v>86</v>
      </c>
      <c r="C198" s="52" t="s">
        <v>388</v>
      </c>
      <c r="D198" s="52"/>
      <c r="E198" s="162"/>
      <c r="F198" s="338" t="str">
        <f>IF(E198="","",IF(E198&lt;=0,0,IF(E198&gt;=0.95,1,ROUND('Reference Standards'!C$14*E198+'Reference Standards'!C$15,2))))</f>
        <v/>
      </c>
      <c r="G198" s="83" t="str">
        <f>IFERROR(AVERAGE(F198),"")</f>
        <v/>
      </c>
      <c r="H198" s="522" t="str">
        <f>IFERROR(ROUND(AVERAGE(G198:G199),2),"")</f>
        <v/>
      </c>
      <c r="I198" s="519" t="str">
        <f>IF(H198="","",IF(H198&gt;0.69,"Functioning",IF(H198&gt;0.29,"Functioning At Risk",IF(H198&gt;-1,"Not Functioning"))))</f>
        <v/>
      </c>
      <c r="J198" s="559" t="str">
        <f>IF(AND(H198="",H200="",H202="",H224="",H228=""),"",ROUND((IF(H198="",0,H198)*0.2)+(IF(H200="",0,H200)*0.2)+(IF(H202="",0,H202)*0.2)+(IF(H224="",0,H224)*0.2)+(IF(H228="",0,H228)*0.2),2))</f>
        <v/>
      </c>
      <c r="K198" s="555" t="str">
        <f>IF(J198="","",IF(J198&lt;0.3, "Not Functioning",IF(OR(H198&lt;0.7,H200&lt;0.7,H202&lt;0.7,H224&lt;0.7,H228&lt;0.7),"Functioning At Risk",IF(J198&lt;0.7,"Functioning At Risk","Functioning"))))</f>
        <v/>
      </c>
    </row>
    <row r="199" spans="1:12" ht="15.6" x14ac:dyDescent="0.3">
      <c r="A199" s="541"/>
      <c r="B199" s="371" t="s">
        <v>128</v>
      </c>
      <c r="C199" s="373" t="s">
        <v>161</v>
      </c>
      <c r="D199" s="374"/>
      <c r="E199" s="43"/>
      <c r="F199" s="372" t="str">
        <f>IF(E199="","",IF(E199&gt;=1,1,IF(E199&lt;=0,0,ROUND(E199,2))))</f>
        <v/>
      </c>
      <c r="G199" s="367" t="str">
        <f>IFERROR(AVERAGE(F199:F199),"")</f>
        <v/>
      </c>
      <c r="H199" s="523"/>
      <c r="I199" s="519"/>
      <c r="J199" s="559"/>
      <c r="K199" s="555"/>
    </row>
    <row r="200" spans="1:12" ht="15.6" x14ac:dyDescent="0.3">
      <c r="A200" s="524" t="s">
        <v>6</v>
      </c>
      <c r="B200" s="572" t="s">
        <v>7</v>
      </c>
      <c r="C200" s="54" t="s">
        <v>8</v>
      </c>
      <c r="D200" s="54"/>
      <c r="E200" s="162"/>
      <c r="F200" s="339" t="str">
        <f>IF(E200="","",ROUND(IF(E200&gt;1.6,0,IF(E200&lt;=1,1,E200^2*'Reference Standards'!K$14+E200*'Reference Standards'!K$15+'Reference Standards'!K$16)),2))</f>
        <v/>
      </c>
      <c r="G200" s="579" t="str">
        <f>IFERROR(AVERAGE(F200:F201),"")</f>
        <v/>
      </c>
      <c r="H200" s="579" t="str">
        <f>IFERROR(ROUND(AVERAGE(G200),2),"")</f>
        <v/>
      </c>
      <c r="I200" s="569" t="str">
        <f>IF(H200="","",IF(H200&gt;0.69,"Functioning",IF(H200&gt;0.29,"Functioning At Risk",IF(H200&gt;-1,"Not Functioning"))))</f>
        <v/>
      </c>
      <c r="J200" s="559"/>
      <c r="K200" s="555"/>
    </row>
    <row r="201" spans="1:12" ht="15.6" x14ac:dyDescent="0.3">
      <c r="A201" s="525"/>
      <c r="B201" s="572"/>
      <c r="C201" s="54" t="s">
        <v>9</v>
      </c>
      <c r="D201" s="54"/>
      <c r="E201" s="163"/>
      <c r="F201" s="339" t="str">
        <f>IF(E201="","",(IF(OR('Quantification Tool R4'!B$11="A",'Quantification Tool R4'!B$11="B",'Quantification Tool R4'!$B$11="Bc"),IF(E201&lt;1.2,0,IF(E201&gt;=2.2,1,ROUND(IF(E201&lt;1.4,E201*'Reference Standards'!$K$84+'Reference Standards'!$K$85,E201*'Reference Standards'!$L$84+'Reference Standards'!$L$85),2))),IF(OR('Quantification Tool R4'!B$11="C",'Quantification Tool R4'!B$11="E"),IF(E201&lt;2,0,IF(E201&gt;=5,1,ROUND(IF(E201&lt;2.4,E201*'Reference Standards'!$L$49+'Reference Standards'!$L$50,E201*'Reference Standards'!$K$49+'Reference Standards'!$K$50),2)))))))</f>
        <v/>
      </c>
      <c r="G201" s="581"/>
      <c r="H201" s="580"/>
      <c r="I201" s="570"/>
      <c r="J201" s="559"/>
      <c r="K201" s="555"/>
    </row>
    <row r="202" spans="1:12" ht="15.6" x14ac:dyDescent="0.3">
      <c r="A202" s="526" t="s">
        <v>26</v>
      </c>
      <c r="B202" s="557" t="s">
        <v>27</v>
      </c>
      <c r="C202" s="60" t="s">
        <v>333</v>
      </c>
      <c r="D202" s="244"/>
      <c r="E202" s="61"/>
      <c r="F202" s="340" t="str">
        <f>IF(E202="","",IF(OR(LEFT('Quantification Tool R4'!$B$12,2)="65",LEFT('Quantification Tool R4'!$B$12,2)="66",LEFT('Quantification Tool R4'!$B$12,2)="71"),IF(E202&gt;=850,1,IF(E202&lt;250,ROUND('Reference Standards'!$S$17*(E202)+'Reference Standards'!$S$18,2),ROUND('Reference Standards'!$T$17*E202+'Reference Standards'!$T$18,2))),  IF(E202&gt;=345,1,IF(E202&lt;=180,ROUND('Reference Standards'!$U$17*(E202)+'Reference Standards'!$U$18,2),ROUND('Reference Standards'!$V$17*E202+'Reference Standards'!$V$18,2))))    )</f>
        <v/>
      </c>
      <c r="G202" s="528" t="str">
        <f>IFERROR(AVERAGE(F202:F203),"")</f>
        <v/>
      </c>
      <c r="H202" s="566" t="str">
        <f>IFERROR(ROUND(AVERAGE(G202:G223),2),"")</f>
        <v/>
      </c>
      <c r="I202" s="555" t="str">
        <f>IF(H202="","",IF(H202&gt;0.69,"Functioning",IF(H202&gt;0.29,"Functioning At Risk",IF(H202&gt;-1,"Not Functioning"))))</f>
        <v/>
      </c>
      <c r="J202" s="559"/>
      <c r="K202" s="555"/>
    </row>
    <row r="203" spans="1:12" ht="15.6" x14ac:dyDescent="0.3">
      <c r="A203" s="520"/>
      <c r="B203" s="558"/>
      <c r="C203" s="63" t="s">
        <v>323</v>
      </c>
      <c r="D203" s="245"/>
      <c r="E203" s="53"/>
      <c r="F203" s="341" t="str">
        <f>IF(E203="","",IF(OR(LEFT('Quantification Tool R4'!$B$12,2)="65",LEFT('Quantification Tool R4'!$B$12,2)="66",LEFT('Quantification Tool R4'!$B$12,2)="71"),IF(E203&gt;=30,1,IF(E203&lt;13,ROUND('Reference Standards'!$S$53*(E203)+'Reference Standards'!$S$54,2),ROUND('Reference Standards'!$T$53*E203+'Reference Standards'!$T$54,2))),  IF(E203&gt;=16,1,IF(E203&lt;=9,ROUND('Reference Standards'!$U$53*(E203)+'Reference Standards'!$U$54,2),ROUND('Reference Standards'!$V$53*E203+'Reference Standards'!$V$54,2))))    )</f>
        <v/>
      </c>
      <c r="G203" s="530"/>
      <c r="H203" s="566"/>
      <c r="I203" s="555"/>
      <c r="J203" s="559"/>
      <c r="K203" s="555"/>
    </row>
    <row r="204" spans="1:12" ht="15.6" x14ac:dyDescent="0.3">
      <c r="A204" s="520"/>
      <c r="B204" s="520" t="s">
        <v>395</v>
      </c>
      <c r="C204" s="58" t="s">
        <v>80</v>
      </c>
      <c r="D204" s="58"/>
      <c r="E204" s="165"/>
      <c r="F204" s="340" t="str">
        <f>IF(E204="","",ROUND(IF(E204&gt;0.7,0,IF(E204&lt;=0.1,1,E204^3*'Reference Standards'!S$87+E204^2*'Reference Standards'!S$88+E204*'Reference Standards'!S$89+'Reference Standards'!S$90)),2))</f>
        <v/>
      </c>
      <c r="G204" s="528" t="str">
        <f>IFERROR(ROUND(AVERAGE(F204:F207),2),"")</f>
        <v/>
      </c>
      <c r="H204" s="567"/>
      <c r="I204" s="555"/>
      <c r="J204" s="559"/>
      <c r="K204" s="555"/>
    </row>
    <row r="205" spans="1:12" ht="15.6" x14ac:dyDescent="0.3">
      <c r="A205" s="520"/>
      <c r="B205" s="520"/>
      <c r="C205" s="58" t="s">
        <v>49</v>
      </c>
      <c r="D205" s="58"/>
      <c r="E205" s="165"/>
      <c r="F205" s="84"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529"/>
      <c r="H205" s="567"/>
      <c r="I205" s="555"/>
      <c r="J205" s="559"/>
      <c r="K205" s="555"/>
    </row>
    <row r="206" spans="1:12" ht="15.6" x14ac:dyDescent="0.3">
      <c r="A206" s="520"/>
      <c r="B206" s="520"/>
      <c r="C206" s="58" t="s">
        <v>87</v>
      </c>
      <c r="D206" s="58"/>
      <c r="E206" s="165"/>
      <c r="F206" s="84" t="str">
        <f>IF(E206="","",ROUND(IF(E206&gt;40,0,IF(E206&lt;5,1,E206^3*'Reference Standards'!S$122+E206^2*'Reference Standards'!S$123+E206*'Reference Standards'!S$124+'Reference Standards'!S$125)),2))</f>
        <v/>
      </c>
      <c r="G206" s="529"/>
      <c r="H206" s="567"/>
      <c r="I206" s="555"/>
      <c r="J206" s="559"/>
      <c r="K206" s="555"/>
    </row>
    <row r="207" spans="1:12" ht="15.6" x14ac:dyDescent="0.3">
      <c r="A207" s="520"/>
      <c r="B207" s="521"/>
      <c r="C207" s="59" t="s">
        <v>394</v>
      </c>
      <c r="D207" s="59"/>
      <c r="E207" s="167"/>
      <c r="F207" s="341" t="str">
        <f>IF(E207="","",ROUND(IF(E207&gt;=30,0,IF(E207&lt;=0,1,E207*'Reference Standards'!S$156+'Reference Standards'!S$157)),2))</f>
        <v/>
      </c>
      <c r="G207" s="530"/>
      <c r="H207" s="567"/>
      <c r="I207" s="555"/>
      <c r="J207" s="559"/>
      <c r="K207" s="555"/>
    </row>
    <row r="208" spans="1:12" ht="15.6" x14ac:dyDescent="0.3">
      <c r="A208" s="520"/>
      <c r="B208" s="520" t="s">
        <v>50</v>
      </c>
      <c r="C208" s="60" t="s">
        <v>377</v>
      </c>
      <c r="D208" s="64"/>
      <c r="E208" s="136"/>
      <c r="F208" s="294" t="str">
        <f>IF(E208="","",ROUND(IF(E208&gt;9.2,1,E208*'Reference Standards'!$S$189+'Reference Standards'!$S$190),2))</f>
        <v/>
      </c>
      <c r="G208" s="552" t="str">
        <f>IFERROR(ROUND(AVERAGE(F208:F217),2),"")</f>
        <v/>
      </c>
      <c r="H208" s="567"/>
      <c r="I208" s="555"/>
      <c r="J208" s="559"/>
      <c r="K208" s="555"/>
    </row>
    <row r="209" spans="1:13" ht="15.6" x14ac:dyDescent="0.3">
      <c r="A209" s="520"/>
      <c r="B209" s="520"/>
      <c r="C209" s="62" t="s">
        <v>378</v>
      </c>
      <c r="D209" s="58"/>
      <c r="E209" s="162"/>
      <c r="F209" s="294" t="str">
        <f>IF(E209="","",ROUND(IF(E209&gt;9.2,1,E209*'Reference Standards'!$S$189+'Reference Standards'!$S$190),2))</f>
        <v/>
      </c>
      <c r="G209" s="553"/>
      <c r="H209" s="567"/>
      <c r="I209" s="555"/>
      <c r="J209" s="559"/>
      <c r="K209" s="555"/>
    </row>
    <row r="210" spans="1:13" ht="15.6" x14ac:dyDescent="0.3">
      <c r="A210" s="520"/>
      <c r="B210" s="520"/>
      <c r="C210" s="62" t="s">
        <v>379</v>
      </c>
      <c r="D210" s="58"/>
      <c r="E210" s="162"/>
      <c r="F210" s="294" t="str">
        <f>IF(E210="","",ROUND( IF(E210&gt;=200,1,IF(E210&lt;50, E210^2*'Reference Standards'!S$224+E210*'Reference Standards'!S$225+'Reference Standards'!S$226, E210*'Reference Standards'!T$224+'Reference Standards'!T$225)),2))</f>
        <v/>
      </c>
      <c r="G210" s="553"/>
      <c r="H210" s="567"/>
      <c r="I210" s="555"/>
      <c r="J210" s="559"/>
      <c r="K210" s="555"/>
    </row>
    <row r="211" spans="1:13" ht="15.6" x14ac:dyDescent="0.3">
      <c r="A211" s="520"/>
      <c r="B211" s="520"/>
      <c r="C211" s="62" t="s">
        <v>380</v>
      </c>
      <c r="D211" s="58"/>
      <c r="E211" s="162"/>
      <c r="F211" s="294" t="str">
        <f>IF(E211="","",ROUND( IF(E211&gt;=200,1,IF(E211&lt;50, E211^2*'Reference Standards'!S$224+E211*'Reference Standards'!S$225+'Reference Standards'!S$226, E211*'Reference Standards'!T$224+'Reference Standards'!T$225)),2))</f>
        <v/>
      </c>
      <c r="G211" s="553"/>
      <c r="H211" s="567"/>
      <c r="I211" s="555"/>
      <c r="J211" s="559"/>
      <c r="K211" s="555"/>
    </row>
    <row r="212" spans="1:13" ht="15.6" x14ac:dyDescent="0.3">
      <c r="A212" s="520"/>
      <c r="B212" s="520"/>
      <c r="C212" s="58" t="s">
        <v>381</v>
      </c>
      <c r="D212" s="58"/>
      <c r="E212" s="162"/>
      <c r="F212" s="294" t="str">
        <f>IF(E212="","",ROUND(IF(AND(E212&gt;=135,E212&lt;=262),1,IF(  E212&gt;=366,0.5, IF(E212&lt;135,E212*'Reference Standards'!S$259+'Reference Standards'!S$260, E212*'Reference Standards'!T$259+'Reference Standards'!T$260))),2))</f>
        <v/>
      </c>
      <c r="G212" s="553"/>
      <c r="H212" s="567"/>
      <c r="I212" s="555"/>
      <c r="J212" s="559"/>
      <c r="K212" s="555"/>
    </row>
    <row r="213" spans="1:13" ht="15.6" x14ac:dyDescent="0.3">
      <c r="A213" s="520"/>
      <c r="B213" s="520"/>
      <c r="C213" s="58" t="s">
        <v>382</v>
      </c>
      <c r="D213" s="58"/>
      <c r="E213" s="162"/>
      <c r="F213" s="294" t="str">
        <f>IF(E213="","",ROUND(IF(AND(E213&gt;=135,E213&lt;=262),1,IF(  E213&gt;=366,0.5, IF(E213&lt;135,E213*'Reference Standards'!S$259+'Reference Standards'!S$260, E213*'Reference Standards'!T$259+'Reference Standards'!T$260))),2))</f>
        <v/>
      </c>
      <c r="G213" s="553"/>
      <c r="H213" s="567"/>
      <c r="I213" s="555"/>
      <c r="J213" s="559"/>
      <c r="K213" s="555"/>
    </row>
    <row r="214" spans="1:13" ht="15.6" x14ac:dyDescent="0.3">
      <c r="A214" s="520"/>
      <c r="B214" s="520"/>
      <c r="C214" s="58" t="s">
        <v>383</v>
      </c>
      <c r="D214" s="58"/>
      <c r="E214" s="162"/>
      <c r="F214" s="84" t="str">
        <f>IF(E214="","",ROUND(IF(E214&gt;=75,1,IF(E214&lt;=0,0,E214*'Reference Standards'!S$330)),2))</f>
        <v/>
      </c>
      <c r="G214" s="553"/>
      <c r="H214" s="567"/>
      <c r="I214" s="555"/>
      <c r="J214" s="559"/>
      <c r="K214" s="555"/>
    </row>
    <row r="215" spans="1:13" ht="15.6" x14ac:dyDescent="0.3">
      <c r="A215" s="520"/>
      <c r="B215" s="520"/>
      <c r="C215" s="58" t="s">
        <v>384</v>
      </c>
      <c r="D215" s="58"/>
      <c r="E215" s="162"/>
      <c r="F215" s="84" t="str">
        <f>IF(E215="","",ROUND(IF(E215&gt;=75,1,IF(E215&lt;=0,0,E215*'Reference Standards'!S$330)),2))</f>
        <v/>
      </c>
      <c r="G215" s="553"/>
      <c r="H215" s="567"/>
      <c r="I215" s="555"/>
      <c r="J215" s="559"/>
      <c r="K215" s="555"/>
    </row>
    <row r="216" spans="1:13" ht="15.6" x14ac:dyDescent="0.3">
      <c r="A216" s="520"/>
      <c r="B216" s="520"/>
      <c r="C216" s="58" t="s">
        <v>385</v>
      </c>
      <c r="D216" s="58"/>
      <c r="E216" s="162"/>
      <c r="F216" s="294" t="str">
        <f>IF(E216="","",ROUND(IF(AND(E216&gt;=36.3,E216&lt;=68),1,IF(E216&gt;100,0,IF(E216&lt;36.3,(('Reference Standards'!S$297*(E216^2))+('Reference Standards'!S$298*E216)+'Reference Standards'!S$299),IF(E216&gt;68,(('Reference Standards'!T$297*(E216^2))+('Reference Standards'!T$298*E216)+'Reference Standards'!T$299))))),2))</f>
        <v/>
      </c>
      <c r="G216" s="553"/>
      <c r="H216" s="567"/>
      <c r="I216" s="555"/>
      <c r="J216" s="559"/>
      <c r="K216" s="555"/>
      <c r="M216" s="21"/>
    </row>
    <row r="217" spans="1:13" ht="15.6" x14ac:dyDescent="0.3">
      <c r="A217" s="520"/>
      <c r="B217" s="521"/>
      <c r="C217" s="58" t="s">
        <v>386</v>
      </c>
      <c r="D217" s="65"/>
      <c r="E217" s="162"/>
      <c r="F217" s="294" t="str">
        <f>IF(E217="","",ROUND(IF(AND(E217&gt;=36.3,E217&lt;=68),1,IF(E217&gt;100,0,IF(E217&lt;36.3,(('Reference Standards'!S$297*(E217^2))+('Reference Standards'!S$298*E217)+'Reference Standards'!S$299),IF(E217&gt;68,(('Reference Standards'!T$297*(E217^2))+('Reference Standards'!T$298*E217)+'Reference Standards'!T$299))))),2))</f>
        <v/>
      </c>
      <c r="G217" s="554"/>
      <c r="H217" s="567"/>
      <c r="I217" s="555"/>
      <c r="J217" s="559"/>
      <c r="K217" s="555"/>
    </row>
    <row r="218" spans="1:13" ht="15.6" x14ac:dyDescent="0.3">
      <c r="A218" s="520"/>
      <c r="B218" s="56" t="s">
        <v>108</v>
      </c>
      <c r="C218" s="72" t="s">
        <v>130</v>
      </c>
      <c r="D218" s="58"/>
      <c r="E218" s="43"/>
      <c r="F218" s="82" t="str">
        <f>IF(E218="","",IF(OR('Quantification Tool R4'!B$14="Gravel",'Quantification Tool R4'!B$14="Cobble"),IF(E218&gt;0.1,1,IF(E218&lt;=0.01,0,ROUND(E218*'Reference Standards'!$S$362+'Reference Standards'!$S$363,2)))))</f>
        <v/>
      </c>
      <c r="G218" s="82" t="str">
        <f>IFERROR(AVERAGE(F218),"")</f>
        <v/>
      </c>
      <c r="H218" s="567"/>
      <c r="I218" s="555"/>
      <c r="J218" s="559"/>
      <c r="K218" s="555"/>
    </row>
    <row r="219" spans="1:13" ht="15.6" x14ac:dyDescent="0.3">
      <c r="A219" s="520"/>
      <c r="B219" s="526" t="s">
        <v>51</v>
      </c>
      <c r="C219" s="64" t="s">
        <v>52</v>
      </c>
      <c r="D219" s="64"/>
      <c r="E219" s="166"/>
      <c r="F219" s="337" t="str">
        <f>IF(E219="","",IF(ISNUMBER('Quantification Tool R4'!$B$17),IF('Quantification Tool R4'!$B$17&lt;=2,IF(AND(E219&gt;=3,E219&lt;=5),1,IF(OR(E219&lt;=1,E219&gt;=7),0,ROUND(IF(E219&lt;3,E219*'Reference Standards'!S$398+'Reference Standards'!S$399,E219*'Reference Standards'!T$398+'Reference Standards'!T$399),2))),IF(E219&lt;=2.5,1,IF(E219&gt;=5.8,0,ROUND(E219*'Reference Standards'!S$430+'Reference Standards'!S$431,2))))))</f>
        <v/>
      </c>
      <c r="G219" s="528" t="str">
        <f>IFERROR(AVERAGE(F219:F222),"")</f>
        <v/>
      </c>
      <c r="H219" s="567"/>
      <c r="I219" s="555"/>
      <c r="J219" s="559"/>
      <c r="K219" s="555"/>
    </row>
    <row r="220" spans="1:13" ht="15.6" x14ac:dyDescent="0.3">
      <c r="A220" s="520"/>
      <c r="B220" s="520"/>
      <c r="C220" s="58" t="s">
        <v>53</v>
      </c>
      <c r="D220" s="58"/>
      <c r="E220" s="165"/>
      <c r="F220" s="84" t="str">
        <f>IF(E220="","", IF( E220&gt;=2.4,1, IF(E220&lt;=1,0,  ROUND(IF(E220&lt;2.4, E220*'Reference Standards'!$S$464+'Reference Standards'!$S$465  ),2))))</f>
        <v/>
      </c>
      <c r="G220" s="529"/>
      <c r="H220" s="567"/>
      <c r="I220" s="555"/>
      <c r="J220" s="559"/>
      <c r="K220" s="555"/>
    </row>
    <row r="221" spans="1:13" ht="15.6" x14ac:dyDescent="0.3">
      <c r="A221" s="520"/>
      <c r="B221" s="520"/>
      <c r="C221" s="58" t="s">
        <v>334</v>
      </c>
      <c r="D221" s="58"/>
      <c r="E221" s="165"/>
      <c r="F221" s="390" t="str">
        <f>IF(E221="","", IF(LEFT('Quantification Tool R4'!$B$12,2)="67",  IF( AND(E221&gt;=45,E221&lt;=65),1, IF(OR(E221&lt;=20,E221&gt;=90),0, ROUND(  IF(E221&lt;45, E221*'Reference Standards'!$S$498+'Reference Standards'!$S$499,E221*'Reference Standards'!$T$498+'Reference Standards'!$T$499),2))), IF(OR(  LEFT('Quantification Tool R4'!$B$12,2)="68", LEFT('Quantification Tool R4'!$B$12,2)="69",LEFT('Quantification Tool R4'!$B$12,2)="71"),  IF( AND(E221&gt;=30,E221&lt;=50),1, IF(OR(E221&lt;=10,E221&gt;=70),0, ROUND(  IF(E221&lt;30, E221*'Reference Standards'!$S$533+'Reference Standards'!$S$534,E221*'Reference Standards'!$T$533+'Reference Standards'!$T$534),2))), IF(LEFT('Quantification Tool R4'!$B$12,2)="66",  IF( AND(E221&gt;=20,E221&lt;=45),1, IF(OR(E221&lt;=0,E221&gt;=90),0, ROUND(  IF(E221&lt;20, E221*'Reference Standards'!$S$567+'Reference Standards'!$S$568,E221*'Reference Standards'!$T$567+'Reference Standards'!$T$568),2))), IF(OR(  LEFT('Quantification Tool R4'!$B$12,2)="65", LEFT('Quantification Tool R4'!$B$12,2)="74", LEFT('Quantification Tool R4'!$B$12,2)="73"),  IF( AND(E221&gt;=20,E221&lt;=30),1, IF(OR(E221&lt;=0,E221&gt;=50),0, ROUND(  IF(E221&lt;20, E221*'Reference Standards'!$S$601+'Reference Standards'!$S$602,E221*'Reference Standards'!$T$601+'Reference Standards'!$T$602),2))))))))</f>
        <v/>
      </c>
      <c r="G221" s="529"/>
      <c r="H221" s="567"/>
      <c r="I221" s="555"/>
      <c r="J221" s="559"/>
      <c r="K221" s="555"/>
    </row>
    <row r="222" spans="1:13" ht="15.6" x14ac:dyDescent="0.3">
      <c r="A222" s="520"/>
      <c r="B222" s="521"/>
      <c r="C222" s="62" t="s">
        <v>210</v>
      </c>
      <c r="D222" s="58"/>
      <c r="E222" s="167"/>
      <c r="F222" s="391" t="str">
        <f>IF(E222="","",IF(E222&gt;=1.6,0,IF(E222&lt;=1,1,ROUND('Reference Standards'!$S$633*E222^3+'Reference Standards'!$S$634*E222^2+'Reference Standards'!$S$635*E222+'Reference Standards'!$S$636,2))))</f>
        <v/>
      </c>
      <c r="G222" s="530"/>
      <c r="H222" s="567"/>
      <c r="I222" s="555"/>
      <c r="J222" s="559"/>
      <c r="K222" s="555"/>
    </row>
    <row r="223" spans="1:13" ht="15.6" x14ac:dyDescent="0.3">
      <c r="A223" s="521"/>
      <c r="B223" s="296" t="s">
        <v>55</v>
      </c>
      <c r="C223" s="242" t="s">
        <v>54</v>
      </c>
      <c r="D223" s="243"/>
      <c r="E223" s="163"/>
      <c r="F223" s="342" t="str">
        <f>IF(E223="","",IF(AND('Quantification Tool R4'!B$11="E",'Quantification Tool R4'!$B$14="Sand",'Quantification Tool R4'!$B$21="Unconfined Alluvial"),ROUND(IF(OR(E223&gt;1.8,E223&lt;1.3),0,IF(E223&lt;=1.6,1,E223*'Reference Standards'!S$667+'Reference Standards'!S$668)),2),    IF('Quantification Tool R4'!$B$21="Unconfined Alluvial",ROUND(IF(OR(E223&lt;1.2, E223&gt;1.5),0,IF(E223&lt;=1.4,1,E223*'Reference Standards'!$S$700+'Reference Standards'!$S$701)),2), IF('Quantification Tool R4'!$B$21="Confined Alluvial",ROUND(IF(E223&lt;1.15,0,IF(E223&lt;=1.4,E223*'Reference Standards'!$S$729+'Reference Standards'!$S$730,1)),2),  IF('Quantification Tool R4'!$B$21="Colluvial",ROUND(IF(E223&gt;1.3,0,IF(E223&gt;1.2,E223*'Reference Standards'!$S$760+'Reference Standards'!$S$761,1)),2) )))))</f>
        <v/>
      </c>
      <c r="G223" s="84" t="str">
        <f>IFERROR(AVERAGE(F223),"")</f>
        <v/>
      </c>
      <c r="H223" s="567"/>
      <c r="I223" s="555"/>
      <c r="J223" s="559"/>
      <c r="K223" s="555"/>
      <c r="L223" s="13"/>
    </row>
    <row r="224" spans="1:13" ht="15.6" x14ac:dyDescent="0.3">
      <c r="A224" s="537" t="s">
        <v>58</v>
      </c>
      <c r="B224" s="67" t="s">
        <v>88</v>
      </c>
      <c r="C224" s="70" t="s">
        <v>338</v>
      </c>
      <c r="D224" s="70"/>
      <c r="E224" s="43"/>
      <c r="F224" s="343" t="str">
        <f>IF(E224="","",ROUND(IF(E224&gt;=942,0,IF(E224&lt;=487,E224*'Reference Standards'!AB$15+'Reference Standards'!AB$16,E224*'Reference Standards'!$AC$15+'Reference Standards'!$AC$16)),2))</f>
        <v/>
      </c>
      <c r="G224" s="85" t="str">
        <f>IFERROR(AVERAGE(F224),"")</f>
        <v/>
      </c>
      <c r="H224" s="547" t="str">
        <f>IFERROR(ROUND(AVERAGE(G224:G227),2),"")</f>
        <v/>
      </c>
      <c r="I224" s="534" t="str">
        <f>IF(H224="","",IF(H224&gt;0.69,"Functioning",IF(H224&gt;0.29,"Functioning At Risk",IF(H224&gt;-1,"Not Functioning"))))</f>
        <v/>
      </c>
      <c r="J224" s="559"/>
      <c r="K224" s="555"/>
      <c r="L224" s="13"/>
    </row>
    <row r="225" spans="1:12" ht="15.6" x14ac:dyDescent="0.3">
      <c r="A225" s="538"/>
      <c r="B225" s="297" t="s">
        <v>362</v>
      </c>
      <c r="C225" s="66" t="s">
        <v>354</v>
      </c>
      <c r="D225" s="66"/>
      <c r="E225" s="163"/>
      <c r="F225" s="344" t="str">
        <f>IF(E225="","",IF(OR('Quantification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June")),IF(E225&gt;93,0,IF(E225&lt;13,1,ROUND('Reference Standards'!$AB$53*E225^2+'Reference Standards'!$AB$54*E225+'Reference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R4'!$B$12="73b"),IF(E225&gt;94,0,IF(E225&lt;17,1,ROUND('Reference Standards'!$AC$53*E225^2+'Reference Standards'!$AC$54*E225+'Reference Standards'!$AC$55,2))),    IF(OR(AND(OR('Quantification Tool R4'!$B$12="68b",'Quantification Tool R4'!$B$12="71i"),'Quantification Tool R4'!$B$13&gt;2), 'Quantification Tool R4'!$B$12="71e"),IF(E225&gt;91,0,IF(E225&lt;24,1,ROUND('Reference Standards'!$AD$53*E225^2+'Reference Standards'!$AD$54*E225+'Reference Standards'!$AD$55,2))),  IF(OR(AND(OR('Quantification Tool R4'!$B$12="71f",'Quantification Tool R4'!$B$12="71g",'Quantification Tool R4'!$B$12="71h",'Quantification Tool R4'!$B$12="71i"),'Quantification Tool R4'!$B$13&lt;=2), AND('Quantification Tool R4'!$B$12="74a",'Quantification Tool R4'!$B$13&gt;2)),IF(E225&gt;95,0,IF(E225&lt;=36,1,ROUND('Reference Standards'!$AE$53*E225^2+'Reference Standards'!$AE$54*E225+'Reference Standards'!$AE$55,2))))))))</f>
        <v/>
      </c>
      <c r="G225" s="236" t="str">
        <f>IFERROR(AVERAGE(F225:F225),"")</f>
        <v/>
      </c>
      <c r="H225" s="548"/>
      <c r="I225" s="535"/>
      <c r="J225" s="559"/>
      <c r="K225" s="555"/>
      <c r="L225" s="21"/>
    </row>
    <row r="226" spans="1:12" ht="15.6" x14ac:dyDescent="0.3">
      <c r="A226" s="538"/>
      <c r="B226" s="67" t="s">
        <v>81</v>
      </c>
      <c r="C226" s="68" t="s">
        <v>281</v>
      </c>
      <c r="D226" s="68"/>
      <c r="E226" s="162"/>
      <c r="F226" s="344" t="str">
        <f>IF(E226="","",IF(ISNUMBER('Quantification Tool R4'!$B$13),IF(OR('Quantification Tool R4'!$B$12="66e",'Quantification Tool R4'!$B$12="66f",'Quantification Tool R4'!$B$12="66g"),ROUND(IF(E226&gt;=0.61,0,IF(E226&lt;=0.01,1,IF(E226&lt;=0.06,E226*'Reference Standards'!$AD$197+'Reference Standards'!$AD$198,E226^2*'Reference Standards'!$AB$196+E226*'Reference Standards'!$AB$197+'Reference Standards'!$AB$198))),2),IF('Quantification Tool R4'!$B$12="68b",ROUND(IF(E226&gt;=1.1,0,IF(E226&lt;=0.17,1,IF(E226&lt;=0.22,E226*'Reference Standards'!$AE$197+'Reference Standards'!$AE$198,E226^2*'Reference Standards'!$AC$196+E226*'Reference Standards'!$AC$197+'Reference Standards'!$AC$198))),2),IF('Quantification Tool R4'!$B$13&lt;=2.5,IF('Quantification Tool R4'!$B$12="69de",ROUND(IF(E226&gt;=0.22,0,IF(E226&lt;=0.01,1,E226^2*'Reference Standards'!$AB$90+E226*'Reference Standards'!$AB$91+'Reference Standards'!$AB$92)),2),IF('Quantification Tool R4'!$B$12="68c",ROUND(IF(E226&gt;=0.87,0,IF(E226&lt;=0.01,1,E226^2*'Reference Standards'!$AC$90+E226*'Reference Standards'!$AC$91+'Reference Standards'!$AC$92)),2),IF('Quantification Tool R4'!$B$12="68a",ROUND(IF(E226&gt;=0.81,0,IF(E226&lt;=0.01,1,E226^2*'Reference Standards'!$AD$90+E226*'Reference Standards'!$AD$91+'Reference Standards'!$AD$92)),2),IF('Quantification Tool R4'!$B$12="65abei",ROUND(IF(E226&gt;=0.67,0,IF(E226&lt;=0.01,1,IF(E226&lt;=0.18,E226*'Reference Standards'!$AG$91+'Reference Standards'!$AG$92,E226*'Reference Standards'!$AE$91+'Reference Standards'!$AE$92))),2),IF('Quantification Tool R4'!$B$12="65j",ROUND(IF(E226&gt;=0.32,0,IF(E226&lt;=0.01,1,IF(E226&lt;=0.25,E226*'Reference Standards'!$AH$91+'Reference Standards'!$AH$92,E226*'Reference Standards'!$AF$91+'Reference Standards'!$AF$92))),2),IF('Quantification Tool R4'!$B$12="71f",ROUND(IF(E226&gt;=3,0,IF(E226&lt;=0,1,IF(E226&lt;=0.01,0.7,E226^2*'Reference Standards'!$AB$126+E226*'Reference Standards'!$AB$127+'Reference Standards'!$AB$128))),2),IF('Quantification Tool R4'!$B$12="74a",ROUND(IF(E226&gt;=0.14,0,IF(E226&lt;=0.01,1,IF(E226&lt;=0.02,0.7,E226^2*'Reference Standards'!$AC$126+E226*'Reference Standards'!$AC$127+'Reference Standards'!$AC$128))),2),IF(OR('Quantification Tool R4'!$B$12="67fhi",'Quantification Tool R4'!$B$12="67g"),ROUND(IF(E226&gt;=1.9,0,IF(E226&lt;=0.01,1,IF(E226&lt;=0.05,E226*'Reference Standards'!$AF$127+'Reference Standards'!$AF$128,E226^2*'Reference Standards'!$AD$126+E226*'Reference Standards'!$AD$127+'Reference Standards'!$AD$128))),2),IF('Quantification Tool R4'!$B$12="73a",ROUND(IF(E226&gt;=1.44,0,IF(E226&lt;=0.01,1,IF(E226&lt;=0.12,E226*'Reference Standards'!$AG$127+'Reference Standards'!$AG$128,E226^2*'Reference Standards'!$AE$126+E226*'Reference Standards'!$AE$127+'Reference Standards'!$AE$128))),2),IF('Quantification Tool R4'!$B$12="66d",ROUND(IF(E226&gt;=0.46,0,IF(E226&lt;=0.02,1,IF(E226&lt;=0.08,E226*'Reference Standards'!$AF$163+'Reference Standards'!$AF$164,E226^2*'Reference Standards'!$AB$162+E226*'Reference Standards'!$AB$163+'Reference Standards'!$AB$164))),2),IF(OR('Quantification Tool R4'!$B$12="71g",'Quantification Tool R4'!$B$12="71h",'Quantification Tool R4'!$B$12="71i"),ROUND(IF(E226&gt;=3,0,IF(E226&lt;=0.06,1,IF(E226&lt;=0.24,E226*'Reference Standards'!$AG$163+'Reference Standards'!$AG$164,E226^2*'Reference Standards'!$AC$162+E226*'Reference Standards'!$AC$163+'Reference Standards'!$AC$164))),2),IF('Quantification Tool R4'!$B$12="74b",ROUND(IF(E226&gt;=1.3,0,IF(E226&lt;=0.29,1,IF(E226&lt;=0.48,E226*'Reference Standards'!$AH$163+'Reference Standards'!$AH$164,E226^2*'Reference Standards'!$AD$162+E226*'Reference Standards'!$AD$163+'Reference Standards'!$AD$164))),2),IF('Quantification Tool R4'!$B$12="71e",ROUND(IF(E226&gt;=4.3,0,IF(E226&lt;=0.53,1,IF(E226&lt;=0.67,E226*'Reference Standards'!$AI$163+'Reference Standards'!$AI$164,E226^2*'Reference Standards'!$AE$162+E226*'Reference Standards'!$AE$163+'Reference Standards'!$AE$164))),2)))))))))))))),IF('Quantification Tool R4'!$B$13&gt;2.5,IF('Quantification Tool R4'!$B$12="73a",ROUND(IF(E226&gt;=0.55,0,IF(E226&lt;=0,1,E226^2*'Reference Standards'!$AB$232+E226*'Reference Standards'!$AB$233+'Reference Standards'!$AB$234)),2),IF('Quantification Tool R4'!$B$12="68a",ROUND(IF(E226&gt;=0.54,0,IF(E226&lt;=0,1,IF(E226&lt;=0.01,0.85,E226^2*'Reference Standards'!$AC$232+E226*'Reference Standards'!$AC$233+'Reference Standards'!$AC$234))),2),IF('Quantification Tool R4'!$B$12="74a",ROUND(IF(E226&gt;=0.47,0,IF(E226&lt;=0.01,1,IF(E226&lt;=0.02,0.7,E226^2*'Reference Standards'!$AD$232+E226*'Reference Standards'!$AD$233+'Reference Standards'!$AD$234))),2),IF('Quantification Tool R4'!$B$12="69de",ROUND(IF(E226&gt;=0.26,0,IF(E226&lt;=0.01,1,IF(E226&lt;=0.02,0.85,E226^2*'Reference Standards'!$AE$232+E226*'Reference Standards'!$AE$233+'Reference Standards'!$AE$234))),2),IF('Quantification Tool R4'!$B$12="71f",ROUND(IF(E226&gt;=0.87,0,IF(E226&lt;=0.01,1,IF(E226&lt;=0.04,E226*'Reference Standards'!$AF$269+'Reference Standards'!$AF$270,E226^2*'Reference Standards'!$AB$268+E226*'Reference Standards'!$AB$269+'Reference Standards'!$AB$270))),2),IF('Quantification Tool R4'!$B$12="65abei",ROUND(IF(E226&gt;=0.82,0,IF(E226&lt;=0.01,1,IF(E226&lt;=0.06,E226*'Reference Standards'!$AG$269+'Reference Standards'!$AG$270,E226^2*'Reference Standards'!$AC$268+E226*'Reference Standards'!$AC$269+'Reference Standards'!$AC$270))),2),IF('Quantification Tool R4'!$B$12="65j",ROUND(IF(E226&gt;=0.33,0,IF(E226&lt;=0.03,1,IF(E226&lt;=0.09,E226*'Reference Standards'!$AH$269+'Reference Standards'!$AH$270,E226^2*'Reference Standards'!$AD$268+E226*'Reference Standards'!$AD$269+'Reference Standards'!$AD$270))),2),IF('Quantification Tool R4'!$B$12="68c",ROUND(IF(E226&gt;=0.7,0,IF(E226&lt;=0.07,1,IF(E226&lt;=0.12,E226*'Reference Standards'!$AI$269+'Reference Standards'!$AI$270,E226^2*'Reference Standards'!$AE$268+E226*'Reference Standards'!$AE$269+'Reference Standards'!$AE$270))),2),IF(OR('Quantification Tool R4'!$B$12="67fhi",'Quantification Tool R4'!$B$12="67g"),ROUND(IF(E226&gt;=1.8,0,IF(E226&lt;=0.08,1,IF(E226&lt;=0.2,E226*'Reference Standards'!$AF$306+'Reference Standards'!$AF$307,E226^2*'Reference Standards'!$AB$305+E226*'Reference Standards'!$AB$306+'Reference Standards'!$AB$307))),2),IF('Quantification Tool R4'!$B$12="74b",ROUND(IF(E226&gt;=0.96,0,IF(E226&lt;=0.12,1,IF(E226&lt;=0.16,E226*'Reference Standards'!$AG$306+'Reference Standards'!$AG$307,E226^2*'Reference Standards'!$AC$305+E226*'Reference Standards'!$AC$306+'Reference Standards'!$AC$307))),2),IF('Quantification Tool R4'!$B$12="66d",ROUND(IF(E226&gt;=0.75,0,IF(E226&lt;=0.13,1,IF(E226&lt;=0.2,E226*'Reference Standards'!$AH$306+'Reference Standards'!$AH$307,E226^2*'Reference Standards'!$AD$305+E226*'Reference Standards'!$AD$306+'Reference Standards'!$AD$307))),2),IF(OR('Quantification Tool R4'!$B$12="71g",'Quantification Tool R4'!$B$12="71h",'Quantification Tool R4'!$B$12="71i"),ROUND(IF(E226&gt;=1.68,0,IF(E226&lt;=0.08,1,IF(E226&lt;=0.23,E226*'Reference Standards'!$AI$306+'Reference Standards'!$AI$307,E226^2*'Reference Standards'!$AE$305+E226*'Reference Standards'!$AE$306+'Reference Standards'!$AE$307))),2),IF('Quantification Tool R4'!$B$12="71e",ROUND(IF(E226&gt;=5.3,0,IF(E226&lt;=0.94,1,IF(E226&lt;=1.4,E226*'Reference Standards'!$AF$310+'Reference Standards'!$AF$311,E226^2*'Reference Standards'!$AB$309+E226*'Reference Standards'!$AB$310+'Reference Standards'!$AB$311))),2))))))))))))))))))))</f>
        <v/>
      </c>
      <c r="G226" s="86" t="str">
        <f>IFERROR(AVERAGE(F226),"")</f>
        <v/>
      </c>
      <c r="H226" s="548"/>
      <c r="I226" s="535"/>
      <c r="J226" s="559"/>
      <c r="K226" s="555"/>
      <c r="L226" s="21"/>
    </row>
    <row r="227" spans="1:12" ht="15.6" x14ac:dyDescent="0.3">
      <c r="A227" s="539"/>
      <c r="B227" s="298" t="s">
        <v>82</v>
      </c>
      <c r="C227" s="66" t="s">
        <v>280</v>
      </c>
      <c r="D227" s="66"/>
      <c r="E227" s="136"/>
      <c r="F227" s="343" t="str">
        <f>IF(E227="","",IF(ISNUMBER('Quantification Tool R4'!$B$13),IF('Quantification Tool R4'!$B$13&gt;2.5,IF(OR('Quantification Tool R4'!$B$12="71h",'Quantification Tool R4'!$B$12="71i",'Quantification Tool R4'!$B$12="73a",'Quantification Tool R4'!$B$12="74a"),IF(E227&lt;=0.01,1,IF(OR('Quantification Tool R4'!$B$12="71h",'Quantification Tool R4'!$B$12="71i"),IF(E227&gt;0.37,0,ROUND(IF(E227&gt;0.03,'Reference Standards'!$AB$425*E227^2+'Reference Standards'!$AB$426*E227+'Reference Standards'!$AB$427,'Reference Standards'!$AF$426*E227+'Reference Standards'!$AF$427),2)),IF('Quantification Tool R4'!$B$12="73a",IF(E227&gt;0.405,0,ROUND(IF(E227&gt;0.046,'Reference Standards'!$AC$425*E227^2+'Reference Standards'!$AC$426*E227+'Reference Standards'!$AC$427,'Reference Standards'!$AG$426*E227+'Reference Standards'!$AG$427),2)),IF('Quantification Tool R4'!$B$12="74a",IF(E227&gt;0.3,0,ROUND(IF(E227&gt;0.052,'Reference Standards'!$AD$425*E227^2+'Reference Standards'!$AD$426*E227+'Reference Standards'!$AD$427,'Reference Standards'!$AH$426*E227+'Reference Standards'!$AH$427),2)))))),IF(E227&lt;=0.002,1,IF(OR('Quantification Tool R4'!$B$12="66d",'Quantification Tool R4'!$B$12="66e",'Quantification Tool R4'!$B$12="66g"),IF(E227&gt;0.053,0,ROUND(E227^2*'Reference Standards'!$AB$347+E227*'Reference Standards'!$AB$348+'Reference Standards'!$AB$349,2)),IF('Quantification Tool R4'!$B$12="68b",IF(E227&gt;0.05,0,ROUND(E227^2*'Reference Standards'!$AC$347+E227*'Reference Standards'!$AC$348+'Reference Standards'!$AC$349,2)),IF(OR('Quantification Tool R4'!$B$12="68a",'Quantification Tool R4'!$B$12="68c"),IF(E227&gt;0.07,0,ROUND(E227^2*'Reference Standards'!$AD$347+E227*'Reference Standards'!$AD$348+'Reference Standards'!$AD$349,2)),IF(OR('Quantification Tool R4'!$B$12="71f",'Quantification Tool R4'!$B$12="71g"),IF(E227&gt;0.13,0,ROUND(IF(E227&gt;0.042,E227*'Reference Standards'!$AE$348+'Reference Standards'!$AE$349,E227*'Reference Standards'!$AF$348+'Reference Standards'!$AF$349),2)),IF('Quantification Tool R4'!$B$12="67fhi",IF(E227&gt;0.16,0,ROUND(E227^2*'Reference Standards'!$AG$347+E227*'Reference Standards'!$AG$348+'Reference Standards'!$AG$349,2)),IF('Quantification Tool R4'!$B$12="65j",IF(E227&gt;0.035,0,ROUND(IF(E227&lt;=0.003,0.7,E227^2*'Reference Standards'!$AB$387+E227*'Reference Standards'!$AB$388+'Reference Standards'!$AB$389),2)),IF('Quantification Tool R4'!$B$12="69de",IF(E227&gt;0.037,0,ROUND(IF(E227&lt;=0.003,0.7,E227^2*'Reference Standards'!$AC$387+E227*'Reference Standards'!$AC$388+'Reference Standards'!$AC$389),2)),IF('Quantification Tool R4'!$B$12="71e",IF(E227&gt;0.23,0,ROUND(IF(E227&lt;=0.003,0.7,E227^2*'Reference Standards'!$AD$387+E227*'Reference Standards'!$AD$388+'Reference Standards'!$AD$389),2)),IF('Quantification Tool R4'!$B$12="66f",IF(E227&gt;0.06,0,ROUND(IF(E227&lt;=0.003,0.85,IF(E227&lt;=0.004,0.7,E227^2*'Reference Standards'!$AE$387+E227*'Reference Standards'!$AE$388+'Reference Standards'!$AE$389)),2)),IF('Quantification Tool R4'!$B$12="67g",IF(E227&gt;0.11,0,ROUND(IF(E227&lt;=0.01,E227*'Reference Standards'!$AH$388+'Reference Standards'!$AH$389,E227^2*'Reference Standards'!$AF$387+E227*'Reference Standards'!$AF$388+'Reference Standards'!$AF$389),2)),IF('Quantification Tool R4'!$B$12="74b",IF(E227&gt;0.49,0,ROUND(IF(E227&lt;=0.01,E227*'Reference Standards'!$AH$388+'Reference Standards'!$AH$389,E227^2*'Reference Standards'!$AG$387+E227*'Reference Standards'!$AG$388+'Reference Standards'!$AG$389),2)),IF('Quantification Tool R4'!$B$12="65abei",IF(E227&gt;0.199,0,ROUND(IF(E227&lt;=0.01,E227*'Reference Standards'!$AI$426+'Reference Standards'!$AI$427,E227^2*'Reference Standards'!$AE$425+E227*'Reference Standards'!$AE$426+'Reference Standards'!$AE$427),2)))))))))))))))),IF('Quantification Tool R4'!$B$13&lt;=2.5,IF(OR('Quantification Tool R4'!$B$12="66d",'Quantification Tool R4'!$B$12="66e",'Quantification Tool R4'!$B$12="66g"),IF(E227&gt;0.05,0,ROUND(IF(E227&lt;=0.002,1,IF(E227&lt;=0.005,E227*'Reference Standards'!$AF$464+'Reference Standards'!$AF$465,E227^2*'Reference Standards'!$AB$463+E227*'Reference Standards'!$AB$464+'Reference Standards'!$AB$465)),2)),IF('Quantification Tool R4'!$B$12="67fhi",IF(E227&gt;0.1,0,ROUND(IF(E227&lt;=0.002,1,IF(E227&lt;=0.006,E227*'Reference Standards'!$AG$464+'Reference Standards'!$AG$465,E227^2*'Reference Standards'!$AC$463+E227*'Reference Standards'!$AC$464+'Reference Standards'!$AC$465)),2)),IF('Quantification Tool R4'!$B$12="65abei",IF(E227&gt;0.13,0,ROUND(IF(E227&lt;=0.003,1,IF(E227&lt;=0.008,E227*'Reference Standards'!$AH$464+'Reference Standards'!$AH$465,E227^2*'Reference Standards'!$AD$463+E227*'Reference Standards'!$AD$464+'Reference Standards'!$AD$465)),2)),IF('Quantification Tool R4'!$B$12="68b",IF(E227&gt;0.043,0,ROUND(IF(E227&lt;=0.004,1,IF(E227&lt;=0.005,0.7,E227^2*'Reference Standards'!$AE$463+E227*'Reference Standards'!$AE$464+'Reference Standards'!$AE$465)),2)),IF('Quantification Tool R4'!$B$12="69de",IF(E227&gt;=0.034,0,ROUND(IF(E227&lt;=0.003,1,IF(E227&lt;=0.006,E227*'Reference Standards'!$AG$500+'Reference Standards'!$AG$501,E227*'Reference Standards'!$AB$500+'Reference Standards'!$AB$501)),2)),IF(OR('Quantification Tool R4'!$B$12="68a",'Quantification Tool R4'!$B$12="68c"),IF(E227&gt;0.202,0,ROUND(IF(E227&lt;=0.003,1,IF(E227&lt;=0.006,E227*'Reference Standards'!$AG$500+'Reference Standards'!$AG$501,IF(E227&gt;=0.04,E227*'Reference Standards'!$AC$500+'Reference Standards'!$AC$501,E227*'Reference Standards'!$AE$500+'Reference Standards'!$AE$501))),2)),IF(OR('Quantification Tool R4'!$B$12="71f",'Quantification Tool R4'!$B$12="71g"),IF(E227&gt;0.631,0,ROUND(IF(E227&lt;=0.003,1,IF(E227&lt;=0.006,E227*'Reference Standards'!$AG$500+'Reference Standards'!$AG$501,IF(E227&gt;=0.17,E227*'Reference Standards'!$AD$500+'Reference Standards'!$AD$501,E227*'Reference Standards'!$AF$500+'Reference Standards'!$AF$501))),2)),IF('Quantification Tool R4'!$B$12="71e",IF(E227&gt;1.23,0,ROUND(IF(E227&lt;=0.004,1,IF(E227&lt;=0.006,E227*'Reference Standards'!$AF$538+'Reference Standards'!$AF$539,E227^2*'Reference Standards'!$AB$537+E227*'Reference Standards'!$AB$538+'Reference Standards'!$AB$539)),2)),IF('Quantification Tool R4'!$B$12="67g",IF(E227&gt;0.11,0,ROUND(IF(E227&lt;=0.006,1,IF(E227&lt;=0.011,E227*'Reference Standards'!$AG$538+'Reference Standards'!$AG$539,E227^2*'Reference Standards'!$AC$537+E227*'Reference Standards'!$AC$538+'Reference Standards'!$AC$539)),2)),IF('Quantification Tool R4'!$B$12="65j",IF(E227&gt;0.046,0,ROUND(IF(E227&lt;=0.007,1,IF(E227&lt;=0.012,E227*'Reference Standards'!$AH$538+'Reference Standards'!$AH$539,E227^2*'Reference Standards'!$AD$537+E227*'Reference Standards'!$AD$538+'Reference Standards'!$AD$539)),2)),IF('Quantification Tool R4'!$B$12="66f",IF(E227&gt;0.081,0,ROUND(IF(E227&lt;=0.008,1,IF(E227&lt;=0.011,E227*'Reference Standards'!$AI$538+'Reference Standards'!$AI$539,E227^2*'Reference Standards'!$AE$537+E227*'Reference Standards'!$AE$538+'Reference Standards'!$AE$539)),2)),IF(OR('Quantification Tool R4'!$B$12="71h",'Quantification Tool R4'!$B$12="71i"),IF(E227&gt;0.37,0,ROUND(IF(E227&lt;=0.013,1,IF(E227&lt;=0.032,E227*'Reference Standards'!$AH$576+'Reference Standards'!$AH$577,IF(E227&lt;=0.3,E227*'Reference Standards'!$AF$576+'Reference Standards'!$AF$577,E227*'Reference Standards'!$AB$576+'Reference Standards'!$AB$577))),2)),IF('Quantification Tool R4'!$B$12="73a",IF(E227&gt;0.448,0,ROUND(IF(E227&lt;=0.071,1,IF(E227&lt;=0.086,E227*'Reference Standards'!$AJ$576+'Reference Standards'!$AJ$577,IF(E227&lt;=0.165,E227*'Reference Standards'!$AG$576+'Reference Standards'!$AG$577,E227*'Reference Standards'!$AE$576+'Reference Standards'!$AE$577))),2)),IF('Quantification Tool R4'!$B$12="74b",IF(E227&gt;0.43,0,ROUND(IF(E227&lt;=0.018,1,IF(E227&lt;=0.019,0.85,IF(E227&lt;=0.02,0.7,E227^2*'Reference Standards'!$AC$575+E227*'Reference Standards'!$AC$576+'Reference Standards'!$AC$577))),2)),IF('Quantification Tool R4'!$B$12="74a",IF(E227&gt;0.217,0,ROUND(IF(E227&lt;=0.02,1,IF(E227&lt;=0.033,E227*'Reference Standards'!$AI$576+'Reference Standards'!$AI$577,E227^2*'Reference Standards'!$AD$575+E227*'Reference Standards'!$AD$576+'Reference Standards'!$AD$577)),2)))))))))))))))))))))</f>
        <v/>
      </c>
      <c r="G227" s="87" t="str">
        <f>IFERROR(AVERAGE(F227),"")</f>
        <v/>
      </c>
      <c r="H227" s="549"/>
      <c r="I227" s="536"/>
      <c r="J227" s="559"/>
      <c r="K227" s="555"/>
      <c r="L227" s="21"/>
    </row>
    <row r="228" spans="1:12" ht="15.6" x14ac:dyDescent="0.3">
      <c r="A228" s="550" t="s">
        <v>59</v>
      </c>
      <c r="B228" s="560" t="s">
        <v>340</v>
      </c>
      <c r="C228" s="125" t="s">
        <v>331</v>
      </c>
      <c r="D228" s="126"/>
      <c r="E228" s="166"/>
      <c r="F228" s="345" t="str">
        <f>IF(E228="","",IF(OR('Quantification Tool R4'!B$12="73a",'Quantification Tool R4'!B$12="73b"),IF(E228&lt;1,0,IF(E228&gt;=30,1,ROUND(IF(E228&lt;22,'Reference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531" t="str">
        <f>IFERROR(AVERAGE(F228:F231),"")</f>
        <v/>
      </c>
      <c r="H228" s="568" t="str">
        <f>IFERROR(ROUND(AVERAGE(G228:G233),2),"")</f>
        <v/>
      </c>
      <c r="I228" s="519" t="str">
        <f>IF(H228="","",IF(H228&gt;0.69,"Functioning",IF(H228&gt;0.29,"Functioning At Risk",IF(H228&gt;-1,"Not Functioning"))))</f>
        <v/>
      </c>
      <c r="J228" s="559"/>
      <c r="K228" s="555"/>
      <c r="L228" s="21"/>
    </row>
    <row r="229" spans="1:12" ht="15.6" x14ac:dyDescent="0.3">
      <c r="A229" s="556"/>
      <c r="B229" s="561"/>
      <c r="C229" s="174" t="s">
        <v>335</v>
      </c>
      <c r="D229" s="175"/>
      <c r="E229" s="165"/>
      <c r="F229" s="346" t="str">
        <f>IF(E229="","",IF(AND('Quantification Tool R4'!$B$12="74b",'Quantification Tool R4'!$B$13&lt;=2),IF(E229&lt;0,0,IF(E229&gt;15.6,0.69,ROUND('Reference Standards'!$AL$54*E229^2+'Reference Standards'!$AL$55*E229+'Reference Standards'!$AL$56,2))),IF(AND('Quantification Tool R4'!$B$12="65abei",'Quantification Tool R4'!$B$13&lt;=2),IF(E229&lt;0,0,IF(E229&gt;=20,0.69,ROUND('Reference Standards'!$AM$54*E229^2+'Reference Standards'!$AM$55*E229+'Reference Standards'!$AM$56,2))),IF(OR(AND('Quantification Tool R4'!$B$12="74a",'Quantification Tool R4'!$B$13&gt;2,'Quantification Tool R4'!$B$19="January - June"),AND('Quantification Tool R4'!$B$12="71i",'Quantification Tool R4'!$B$13&gt;2,'Quantification Tool R4'!$B$20="SQBANK")),IF(E229&lt;0,0,IF(E229&gt;24.7,0.69,ROUND('Reference Standards'!$AN$54*E229^2+'Reference Standards'!$AN$55*E229+'Reference Standards'!$AN$56,2))),IF(OR('Quantification Tool R4'!$B$12="74b",'Quantification Tool R4'!$B$12="65abei"),IF(E229&lt;0,0,IF(E229&gt;32.7,0.69,ROUND('Reference Standards'!$AO$54*E229^2+'Reference Standards'!$AO$55*E229+'Reference Standards'!$AO$56,2))),IF(AND('Quantification Tool R4'!$B$12="68b",'Quantification Tool R4'!$B$13&gt;2),IF(E229&lt;0,0,IF(E229&gt;41.2,0.69,ROUND('Reference Standards'!$AP$54*E229^2+'Reference Standards'!$AP$55*E229+'Reference Standards'!$AP$56,2))),IF(OR(AND('Quantification Tool R4'!$B$12="71i",'Quantification Tool R4'!$B$13&lt;=2),AND(OR('Quantification Tool R4'!$B$12="68c",'Quantification Tool R4'!$B$12="68d"),'Quantification Tool R4'!$B$19="January - June")),IF(E229&lt;0,0,IF(E229&gt;49.2,0.69,ROUND('Reference Standards'!$AL$94*E229^2+'Reference Standards'!$AL$95*E229+'Reference Standards'!$AL$96,2))),IF(OR(AND('Quantification Tool R4'!$B$12="68a",'Quantification Tool R4'!$B$19="January - June"),AND(OR('Quantification Tool R4'!$B$12="68c",'Quantification Tool R4'!$B$12="68d"),'Quantification Tool R4'!$B$19="July - December")),IF(E229&lt;0,0,IF(E229&gt;53.4,0.69,ROUND('Reference Standards'!$AM$94*E229^2+'Reference Standards'!$AM$95*E229+'Reference Standards'!$AM$96,2))),IF(OR(AND('Quantification Tool R4'!$B$12="71i",'Quantification Tool R4'!$B$13&gt;2,'Quantification Tool R4'!$B$20="SQKICK"),AND(OR('Quantification Tool R4'!$B$12="67fhi",'Quantification Tool R4'!$B$12="67g"),'Quantification Tool R4'!$B$13&lt;=2),'Quantification Tool R4'!$B$12="65j"),IF(E229&lt;0,0,IF(E229&gt;57.8,0.69,ROUND('Reference Standards'!$AN$94*E229^2+'Reference Standards'!$AN$95*E229+'Reference Standards'!$AN$96,2))),IF(OR(AND('Quantification Tool R4'!$B$12="74a",'Quantification Tool R4'!$B$13&gt;2,'Quantification Tool R4'!$B$19="July - December"),AND(OR('Quantification Tool R4'!$B$12="67fhi",'Quantification Tool R4'!$B$12="67g"),'Quantification Tool R4'!$B$13&gt;2),'Quantification Tool R4'!$B$12="69de"),IF(E229&lt;0,0,IF(E229&gt;62.5,0.69,ROUND('Reference Standards'!$AO$94*E229^2+'Reference Standards'!$AO$95*E229+'Reference Standards'!$AO$96,2))),  IF(OR('Quantification Tool R4'!$B$12="66d",'Quantification Tool R4'!$B$12="66e",'Quantification Tool R4'!$B$12="66ik",'Quantification Tool R4'!$B$12="71e",'Quantification Tool R4'!$B$12="71f",'Quantification Tool R4'!$B$12="71g",'Quantification Tool R4'!$B$12="71h"),IF(E229&lt;0,0,IF(E229&gt;66.5,0.69,ROUND('Reference Standards'!$AP$94*E229^2+'Reference Standards'!$AP$95*E229+'Reference Standards'!$AP$96,2))),IF(OR('Quantification Tool R4'!$B$12="66f",'Quantification Tool R4'!$B$12="66g",'Quantification Tool R4'!$B$12="66j",AND('Quantification Tool R4'!$B$12="68a",'Quantification Tool R4'!$B$19="July - December")), IF(E229&lt;0,0,IF(E229&gt;69,0.69,ROUND('Reference Standards'!$AQ$94*E229^2+'Reference Standards'!$AQ$95*E229+'Reference Standards'!$AQ$96,2))))   )))))))))))</f>
        <v/>
      </c>
      <c r="G229" s="531"/>
      <c r="H229" s="568"/>
      <c r="I229" s="519"/>
      <c r="J229" s="559"/>
      <c r="K229" s="555"/>
      <c r="L229" s="21"/>
    </row>
    <row r="230" spans="1:12" ht="15.6" x14ac:dyDescent="0.3">
      <c r="A230" s="556"/>
      <c r="B230" s="561"/>
      <c r="C230" s="174" t="s">
        <v>339</v>
      </c>
      <c r="D230" s="175"/>
      <c r="E230" s="165"/>
      <c r="F230" s="346" t="str">
        <f>IF(E230="","",IF(AND('Quantification Tool R4'!$B$12="74b",'Quantification Tool R4'!$B$13&lt;=2),IF(E230&lt;0,0,IF(E230&gt;8.1,0.69,ROUND('Reference Standards'!$AL$131*E230^2+'Reference Standards'!$AL$132*E230+'Reference Standards'!$AL$133,2))),IF(OR('Quantification Tool R4'!$B$12="73a",'Quantification Tool R4'!$B$12="73b"),IF(E230&lt;0,0,IF(E230&gt;=28,0.69,ROUND('Reference Standards'!$AM$131*E230^2+'Reference Standards'!$AM$132*E230+'Reference Standards'!$AM$133,2))),IF(AND('Quantification Tool R4'!$B$12="74a",'Quantification Tool R4'!$B$13&gt;2,'Quantification Tool R4'!$B$19="January - June"),IF(E230&lt;0,0,IF(E230&gt;=32.5,0.69,ROUND('Reference Standards'!$AN$131*E230^2+'Reference Standards'!$AN$132*E230+'Reference Standards'!$AN$133,2))),IF(AND('Quantification Tool R4'!$B$12="71i",'Quantification Tool R4'!$B$13&gt;2,'Quantification Tool R4'!$B$20="SQBANK"),IF(E230&lt;0,0,IF(E230&gt;=37,0.69,ROUND('Reference Standards'!$AO$131*E230^2+'Reference Standards'!$AO$132*E230+'Reference Standards'!$AO$133,2))),IF(OR(AND(OR('Quantification Tool R4'!$B$12="65abei",'Quantification Tool R4'!$B$12="74b"),'Quantification Tool R4'!$B$13&gt;2),AND('Quantification Tool R4'!$B$12="71i",'Quantification Tool R4'!$B$13&gt;2,'Quantification Tool R4'!$B$20="SQKICK")),IF(E230&lt;0,0,IF(E230&gt;42.6,0.69,ROUND('Reference Standards'!$AP$131*E230^2+'Reference Standards'!$AP$132*E230+'Reference Standards'!$AP$133,2))),     IF(OR(AND('Quantification Tool R4'!$B$12="65abei",'Quantification Tool R4'!$B$13&lt;=2),AND(OR('Quantification Tool R4'!$B$12="68c",'Quantification Tool R4'!$B$12="68d"),'Quantification Tool R4'!$B$19="July - December"),'Quantification Tool R4'!$B$12="71e"),IF(E230&lt;0,0,IF(E230&gt;=48,0.69,ROUND('Reference Standards'!$AL$171*E230^2+'Reference Standards'!$AL$172*E230+'Reference Standards'!$AL$173,2))),IF(OR('Quantification Tool R4'!$B$12="65j",'Quantification Tool R4'!$B$12="67fhi",'Quantification Tool R4'!$B$12="67g",AND('Quantification Tool R4'!$B$12="74a",'Quantification Tool R4'!$B$19="July - December",'Quantification Tool R4'!$B$13&gt;2),AND('Quantification Tool R4'!$B$12="71i",'Quantification Tool R4'!$B$13&lt;=2)),IF(E230&lt;0,0,IF(E230&gt;=53,0.69,ROUND('Reference Standards'!$AM$171*E230^2+'Reference Standards'!$AM$172*E230+'Reference Standards'!$AM$173,2))),IF(OR(AND(OR('Quantification Tool R4'!$B$12="68b",'Quantification Tool R4'!$B$12="71f",'Quantification Tool R4'!$B$12="71g",'Quantification Tool R4'!$B$12="71h"),'Quantification Tool R4'!$B$13&gt;2),'Quantification Tool R4'!$B$12="68a"),IF(E230&lt;0,0,IF(E230&gt;=57,0.69,ROUND('Reference Standards'!$AN$171*E230^2+'Reference Standards'!$AN$172*E230+'Reference Standards'!$AN$173,2))),IF(OR('Quantification Tool R4'!$B$12="66f",'Quantification Tool R4'!$B$12="66g",'Quantification Tool R4'!$B$12="66j",AND(OR('Quantification Tool R4'!$B$12="71f",'Quantification Tool R4'!$B$12="71g",'Quantification Tool R4'!$B$12="71h"),'Quantification Tool R4'!$B$13&lt;=2)),IF(E230&lt;0,0,IF(E230&gt;=60,0.69,ROUND('Reference Standards'!$AO$171*E230^2+'Reference Standards'!$AO$172*E230+'Reference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December")),IF(E230&lt;0,0,IF(E230&gt;=67.5,0.69,ROUND('Reference Standards'!$AP$171*E230^2+'Reference Standards'!$AP$172*E230+'Reference Standards'!$AP$173,2))),IF(AND('Quantification Tool R4'!$B$12="69de",'Quantification Tool R4'!$B$19="January - June"), IF(E230&lt;0,0,IF(E230&gt;=72,0.69,ROUND('Reference Standards'!$AQ$171*E230^2+'Reference Standards'!$AQ$172*E230+'Reference Standards'!$AQ$173,2))))   )))))))))))</f>
        <v/>
      </c>
      <c r="G230" s="531"/>
      <c r="H230" s="568"/>
      <c r="I230" s="519"/>
      <c r="J230" s="559"/>
      <c r="K230" s="555"/>
      <c r="L230" s="21"/>
    </row>
    <row r="231" spans="1:12" ht="15.6" x14ac:dyDescent="0.3">
      <c r="A231" s="556"/>
      <c r="B231" s="562"/>
      <c r="C231" s="127" t="s">
        <v>336</v>
      </c>
      <c r="D231" s="71"/>
      <c r="E231" s="167"/>
      <c r="F231" s="346" t="str">
        <f>IF(E231="","",IF(OR('Quantification Tool R4'!$B$12="67fhi",'Quantification Tool R4'!$B$12="67g",'Quantification Tool R4'!$B$12="71e",'Quantification Tool R4'!$B$12="73a",'Quantification Tool R4'!$B$12="73b",AND(OR('Quantification Tool R4'!$B$12="71f",'Quantification Tool R4'!$B$12="71g",'Quantification Tool R4'!$B$12="71h"),'Quantification Tool R4'!$B$13&gt;2)),IF(E231&gt;100,0,IF(E231&lt;15,0.69,ROUND('Reference Standards'!$AL$208*E231^2+'Reference Standards'!$AL$209*E231+'Reference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),IF(E231&gt;100,0,IF(E231&lt;19,0.69,ROUND('Reference Standards'!$AM$208*E231^2+'Reference Standards'!$AM$209*E231+'Reference Standards'!$AM$210,2))),    IF(OR(AND('Quantification Tool R4'!$B$12="69de",'Quantification Tool R4'!$B$19="January - June"),AND('Quantification Tool R4'!$B$12="71i",'Quantification Tool R4'!$B$13&gt;2,'Quantification Tool R4'!$B$20="SQKICK" )),IF(E231&gt;100,0,IF(E231&lt;22,0.69,ROUND('Reference Standards'!$AN$208*E231^2+'Reference Standards'!$AN$209*E231+'Reference Standards'!$AN$210,2))),    IF(OR('Quantification Tool R4'!$B$12="65j",AND('Quantification Tool R4'!$B$12="68b",'Quantification Tool R4'!$B$13&gt;2)),IF(E231&gt;100,0,IF(E231&lt;24,0.69,ROUND('Reference Standards'!$AO$208*E231^2+'Reference Standards'!$AO$209*E231+'Reference Standards'!$AO$210,2))),    IF(AND(OR('Quantification Tool R4'!$B$12="65abei",'Quantification Tool R4'!$B$12="71f",'Quantification Tool R4'!$B$12="71g",'Quantification Tool R4'!$B$12="71h"),'Quantification Tool R4'!$B$13&lt;=2),IF(E231&gt;95,0,IF(E231&lt;33,0.69,ROUND('Reference Standards'!$AL$246*E231^2+'Reference Standards'!$AL$247*E231+'Reference Standards'!$AL$248,2))),   IF(AND(OR('Quantification Tool R4'!$B$12="65abei",'Quantification Tool R4'!$B$12="74b"),'Quantification Tool R4'!$B$13&gt;2),IF(E231&gt;97,0,IF(E231&lt;36,0.69,ROUND('Reference Standards'!$AM$246*E231^2+'Reference Standards'!$AM$247*E231+'Reference Standards'!$AM$248,2))),  IF(AND('Quantification Tool R4'!$B$12="74a",'Quantification Tool R4'!$B$19="January - June",'Quantification Tool R4'!$B$13&gt;2),IF(E231&gt;93,0,IF(E231&lt;52,0.69,ROUND('Reference Standards'!$AN$246*E231^2+'Reference Standards'!$AN$247*E231+'Reference Standards'!$AN$248,2))),   IF(AND('Quantification Tool R4'!$B$12="74b",'Quantification Tool R4'!$B$13&lt;=2),IF(E231&gt;97,0,IF(E231&lt;62,0.69,ROUND('Reference Standards'!$AO$246*E231^2+'Reference Standards'!$AO$247*E231+'Reference Standards'!$AO$248,2)))  )))))))))</f>
        <v/>
      </c>
      <c r="G231" s="531"/>
      <c r="H231" s="568"/>
      <c r="I231" s="519"/>
      <c r="J231" s="559"/>
      <c r="K231" s="555"/>
      <c r="L231" s="21"/>
    </row>
    <row r="232" spans="1:12" ht="15.6" x14ac:dyDescent="0.3">
      <c r="A232" s="556"/>
      <c r="B232" s="563" t="s">
        <v>74</v>
      </c>
      <c r="C232" s="125" t="s">
        <v>211</v>
      </c>
      <c r="D232" s="126"/>
      <c r="E232" s="166"/>
      <c r="F232" s="345" t="str">
        <f>IF(E232="","",IF(E232=1,0.15,IF(E232=3,0.5,IF(E232=5,0.85,0))))</f>
        <v/>
      </c>
      <c r="G232" s="564" t="str">
        <f>IFERROR(AVERAGE(F232:F233),"")</f>
        <v/>
      </c>
      <c r="H232" s="568"/>
      <c r="I232" s="519"/>
      <c r="J232" s="559"/>
      <c r="K232" s="555"/>
      <c r="L232" s="21"/>
    </row>
    <row r="233" spans="1:12" ht="15.6" x14ac:dyDescent="0.3">
      <c r="A233" s="551"/>
      <c r="B233" s="563"/>
      <c r="C233" s="127" t="s">
        <v>332</v>
      </c>
      <c r="D233" s="71"/>
      <c r="E233" s="167"/>
      <c r="F233" s="347" t="str">
        <f>IF(E233="","",IF(E233=1,0.15,IF(E233=3,0.5,IF(E233=5,0.85,0))))</f>
        <v/>
      </c>
      <c r="G233" s="565"/>
      <c r="H233" s="568"/>
      <c r="I233" s="519"/>
      <c r="J233" s="559"/>
      <c r="K233" s="555"/>
      <c r="L233" s="21"/>
    </row>
    <row r="234" spans="1:12" x14ac:dyDescent="0.3">
      <c r="L234" s="21"/>
    </row>
    <row r="235" spans="1:12" x14ac:dyDescent="0.3">
      <c r="L235" s="21"/>
    </row>
    <row r="236" spans="1:12" ht="21" x14ac:dyDescent="0.4">
      <c r="A236" s="148" t="s">
        <v>135</v>
      </c>
      <c r="B236" s="246"/>
      <c r="C236" s="249" t="s">
        <v>324</v>
      </c>
      <c r="D236" s="246"/>
      <c r="E236" s="247"/>
      <c r="F236" s="248"/>
      <c r="G236" s="544" t="s">
        <v>18</v>
      </c>
      <c r="H236" s="545"/>
      <c r="I236" s="545"/>
      <c r="J236" s="545"/>
      <c r="K236" s="546"/>
      <c r="L236" s="21"/>
    </row>
    <row r="237" spans="1:12" ht="15.6" x14ac:dyDescent="0.3">
      <c r="A237" s="158" t="s">
        <v>1</v>
      </c>
      <c r="B237" s="158" t="s">
        <v>2</v>
      </c>
      <c r="C237" s="542" t="s">
        <v>3</v>
      </c>
      <c r="D237" s="644"/>
      <c r="E237" s="158" t="s">
        <v>15</v>
      </c>
      <c r="F237" s="158" t="s">
        <v>16</v>
      </c>
      <c r="G237" s="158" t="s">
        <v>19</v>
      </c>
      <c r="H237" s="158" t="s">
        <v>20</v>
      </c>
      <c r="I237" s="314" t="s">
        <v>20</v>
      </c>
      <c r="J237" s="158" t="s">
        <v>21</v>
      </c>
      <c r="K237" s="158" t="s">
        <v>21</v>
      </c>
    </row>
    <row r="238" spans="1:12" ht="15.6" x14ac:dyDescent="0.3">
      <c r="A238" s="540" t="s">
        <v>60</v>
      </c>
      <c r="B238" s="299" t="s">
        <v>86</v>
      </c>
      <c r="C238" s="52" t="s">
        <v>388</v>
      </c>
      <c r="D238" s="52"/>
      <c r="E238" s="162"/>
      <c r="F238" s="338" t="str">
        <f>IF(E238="","",IF(E238&lt;=0,0,IF(E238&gt;=0.95,1,ROUND('Reference Standards'!C$14*E238+'Reference Standards'!C$15,2))))</f>
        <v/>
      </c>
      <c r="G238" s="83" t="str">
        <f>IFERROR(AVERAGE(F238),"")</f>
        <v/>
      </c>
      <c r="H238" s="522" t="str">
        <f>IFERROR(ROUND(AVERAGE(G238:G239),2),"")</f>
        <v/>
      </c>
      <c r="I238" s="519" t="str">
        <f>IF(H238="","",IF(H238&gt;0.69,"Functioning",IF(H238&gt;0.29,"Functioning At Risk",IF(H238&gt;-1,"Not Functioning"))))</f>
        <v/>
      </c>
      <c r="J238" s="559" t="str">
        <f>IF(AND(H238="",H240="",H242="",H264="",H268=""),"",ROUND((IF(H238="",0,H238)*0.2)+(IF(H240="",0,H240)*0.2)+(IF(H242="",0,H242)*0.2)+(IF(H264="",0,H264)*0.2)+(IF(H268="",0,H268)*0.2),2))</f>
        <v/>
      </c>
      <c r="K238" s="555" t="str">
        <f>IF(J238="","",IF(J238&lt;0.3, "Not Functioning",IF(OR(H238&lt;0.7,H240&lt;0.7,H242&lt;0.7,H264&lt;0.7,H268&lt;0.7),"Functioning At Risk",IF(J238&lt;0.7,"Functioning At Risk","Functioning"))))</f>
        <v/>
      </c>
    </row>
    <row r="239" spans="1:12" ht="15.6" x14ac:dyDescent="0.3">
      <c r="A239" s="541"/>
      <c r="B239" s="371" t="s">
        <v>128</v>
      </c>
      <c r="C239" s="373" t="s">
        <v>161</v>
      </c>
      <c r="D239" s="374"/>
      <c r="E239" s="43"/>
      <c r="F239" s="372" t="str">
        <f>IF(E239="","",IF(E239&gt;=1,1,IF(E239&lt;=0,0,ROUND(E239,2))))</f>
        <v/>
      </c>
      <c r="G239" s="367" t="str">
        <f>IFERROR(AVERAGE(F239:F239),"")</f>
        <v/>
      </c>
      <c r="H239" s="523"/>
      <c r="I239" s="519"/>
      <c r="J239" s="559"/>
      <c r="K239" s="555"/>
    </row>
    <row r="240" spans="1:12" ht="15.6" x14ac:dyDescent="0.3">
      <c r="A240" s="524" t="s">
        <v>6</v>
      </c>
      <c r="B240" s="572" t="s">
        <v>7</v>
      </c>
      <c r="C240" s="54" t="s">
        <v>8</v>
      </c>
      <c r="D240" s="54"/>
      <c r="E240" s="162"/>
      <c r="F240" s="339" t="str">
        <f>IF(E240="","",ROUND(IF(E240&gt;1.6,0,IF(E240&lt;=1,1,E240^2*'Reference Standards'!K$14+E240*'Reference Standards'!K$15+'Reference Standards'!K$16)),2))</f>
        <v/>
      </c>
      <c r="G240" s="579" t="str">
        <f>IFERROR(AVERAGE(F240:F241),"")</f>
        <v/>
      </c>
      <c r="H240" s="579" t="str">
        <f>IFERROR(ROUND(AVERAGE(G240),2),"")</f>
        <v/>
      </c>
      <c r="I240" s="569" t="str">
        <f>IF(H240="","",IF(H240&gt;0.69,"Functioning",IF(H240&gt;0.29,"Functioning At Risk",IF(H240&gt;-1,"Not Functioning"))))</f>
        <v/>
      </c>
      <c r="J240" s="559"/>
      <c r="K240" s="555"/>
    </row>
    <row r="241" spans="1:13" ht="15.6" x14ac:dyDescent="0.3">
      <c r="A241" s="525"/>
      <c r="B241" s="572"/>
      <c r="C241" s="54" t="s">
        <v>9</v>
      </c>
      <c r="D241" s="54"/>
      <c r="E241" s="163"/>
      <c r="F241" s="339" t="str">
        <f>IF(E241="","",(IF(OR('Quantification Tool R4'!B$11="A",'Quantification Tool R4'!B$11="B",'Quantification Tool R4'!$B$11="Bc"),IF(E241&lt;1.2,0,IF(E241&gt;=2.2,1,ROUND(IF(E241&lt;1.4,E241*'Reference Standards'!$K$84+'Reference Standards'!$K$85,E241*'Reference Standards'!$L$84+'Reference Standards'!$L$85),2))),IF(OR('Quantification Tool R4'!B$11="C",'Quantification Tool R4'!B$11="E"),IF(E241&lt;2,0,IF(E241&gt;=5,1,ROUND(IF(E241&lt;2.4,E241*'Reference Standards'!$L$49+'Reference Standards'!$L$50,E241*'Reference Standards'!$K$49+'Reference Standards'!$K$50),2)))))))</f>
        <v/>
      </c>
      <c r="G241" s="581"/>
      <c r="H241" s="580"/>
      <c r="I241" s="570"/>
      <c r="J241" s="559"/>
      <c r="K241" s="555"/>
    </row>
    <row r="242" spans="1:13" ht="15.6" x14ac:dyDescent="0.3">
      <c r="A242" s="526" t="s">
        <v>26</v>
      </c>
      <c r="B242" s="557" t="s">
        <v>27</v>
      </c>
      <c r="C242" s="60" t="s">
        <v>333</v>
      </c>
      <c r="D242" s="244"/>
      <c r="E242" s="61"/>
      <c r="F242" s="340" t="str">
        <f>IF(E242="","",IF(OR(LEFT('Quantification Tool R4'!$B$12,2)="65",LEFT('Quantification Tool R4'!$B$12,2)="66",LEFT('Quantification Tool R4'!$B$12,2)="71"),IF(E242&gt;=850,1,IF(E242&lt;250,ROUND('Reference Standards'!$S$17*(E242)+'Reference Standards'!$S$18,2),ROUND('Reference Standards'!$T$17*E242+'Reference Standards'!$T$18,2))),  IF(E242&gt;=345,1,IF(E242&lt;=180,ROUND('Reference Standards'!$U$17*(E242)+'Reference Standards'!$U$18,2),ROUND('Reference Standards'!$V$17*E242+'Reference Standards'!$V$18,2))))    )</f>
        <v/>
      </c>
      <c r="G242" s="528" t="str">
        <f>IFERROR(AVERAGE(F242:F243),"")</f>
        <v/>
      </c>
      <c r="H242" s="566" t="str">
        <f>IFERROR(ROUND(AVERAGE(G242:G263),2),"")</f>
        <v/>
      </c>
      <c r="I242" s="555" t="str">
        <f>IF(H242="","",IF(H242&gt;0.69,"Functioning",IF(H242&gt;0.29,"Functioning At Risk",IF(H242&gt;-1,"Not Functioning"))))</f>
        <v/>
      </c>
      <c r="J242" s="559"/>
      <c r="K242" s="555"/>
    </row>
    <row r="243" spans="1:13" ht="15.6" x14ac:dyDescent="0.3">
      <c r="A243" s="520"/>
      <c r="B243" s="558"/>
      <c r="C243" s="63" t="s">
        <v>323</v>
      </c>
      <c r="D243" s="245"/>
      <c r="E243" s="53"/>
      <c r="F243" s="341" t="str">
        <f>IF(E243="","",IF(OR(LEFT('Quantification Tool R4'!$B$12,2)="65",LEFT('Quantification Tool R4'!$B$12,2)="66",LEFT('Quantification Tool R4'!$B$12,2)="71"),IF(E243&gt;=30,1,IF(E243&lt;13,ROUND('Reference Standards'!$S$53*(E243)+'Reference Standards'!$S$54,2),ROUND('Reference Standards'!$T$53*E243+'Reference Standards'!$T$54,2))),  IF(E243&gt;=16,1,IF(E243&lt;=9,ROUND('Reference Standards'!$U$53*(E243)+'Reference Standards'!$U$54,2),ROUND('Reference Standards'!$V$53*E243+'Reference Standards'!$V$54,2))))    )</f>
        <v/>
      </c>
      <c r="G243" s="530"/>
      <c r="H243" s="566"/>
      <c r="I243" s="555"/>
      <c r="J243" s="559"/>
      <c r="K243" s="555"/>
    </row>
    <row r="244" spans="1:13" ht="15.6" x14ac:dyDescent="0.3">
      <c r="A244" s="520"/>
      <c r="B244" s="520" t="s">
        <v>395</v>
      </c>
      <c r="C244" s="58" t="s">
        <v>80</v>
      </c>
      <c r="D244" s="58"/>
      <c r="E244" s="165"/>
      <c r="F244" s="340" t="str">
        <f>IF(E244="","",ROUND(IF(E244&gt;0.7,0,IF(E244&lt;=0.1,1,E244^3*'Reference Standards'!S$87+E244^2*'Reference Standards'!S$88+E244*'Reference Standards'!S$89+'Reference Standards'!S$90)),2))</f>
        <v/>
      </c>
      <c r="G244" s="528" t="str">
        <f>IFERROR(ROUND(AVERAGE(F244:F247),2),"")</f>
        <v/>
      </c>
      <c r="H244" s="567"/>
      <c r="I244" s="555"/>
      <c r="J244" s="559"/>
      <c r="K244" s="555"/>
    </row>
    <row r="245" spans="1:13" ht="15.6" x14ac:dyDescent="0.3">
      <c r="A245" s="520"/>
      <c r="B245" s="520"/>
      <c r="C245" s="58" t="s">
        <v>49</v>
      </c>
      <c r="D245" s="58"/>
      <c r="E245" s="165"/>
      <c r="F245" s="84"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529"/>
      <c r="H245" s="567"/>
      <c r="I245" s="555"/>
      <c r="J245" s="559"/>
      <c r="K245" s="555"/>
    </row>
    <row r="246" spans="1:13" ht="15.6" x14ac:dyDescent="0.3">
      <c r="A246" s="520"/>
      <c r="B246" s="520"/>
      <c r="C246" s="58" t="s">
        <v>87</v>
      </c>
      <c r="D246" s="58"/>
      <c r="E246" s="165"/>
      <c r="F246" s="84" t="str">
        <f>IF(E246="","",ROUND(IF(E246&gt;40,0,IF(E246&lt;5,1,E246^3*'Reference Standards'!S$122+E246^2*'Reference Standards'!S$123+E246*'Reference Standards'!S$124+'Reference Standards'!S$125)),2))</f>
        <v/>
      </c>
      <c r="G246" s="529"/>
      <c r="H246" s="567"/>
      <c r="I246" s="555"/>
      <c r="J246" s="559"/>
      <c r="K246" s="555"/>
    </row>
    <row r="247" spans="1:13" ht="15.6" x14ac:dyDescent="0.3">
      <c r="A247" s="520"/>
      <c r="B247" s="521"/>
      <c r="C247" s="59" t="s">
        <v>394</v>
      </c>
      <c r="D247" s="59"/>
      <c r="E247" s="167"/>
      <c r="F247" s="341" t="str">
        <f>IF(E247="","",ROUND(IF(E247&gt;=30,0,IF(E247&lt;=0,1,E247*'Reference Standards'!S$156+'Reference Standards'!S$157)),2))</f>
        <v/>
      </c>
      <c r="G247" s="530"/>
      <c r="H247" s="567"/>
      <c r="I247" s="555"/>
      <c r="J247" s="559"/>
      <c r="K247" s="555"/>
    </row>
    <row r="248" spans="1:13" ht="15.6" x14ac:dyDescent="0.3">
      <c r="A248" s="520"/>
      <c r="B248" s="520" t="s">
        <v>50</v>
      </c>
      <c r="C248" s="60" t="s">
        <v>377</v>
      </c>
      <c r="D248" s="64"/>
      <c r="E248" s="136"/>
      <c r="F248" s="294" t="str">
        <f>IF(E248="","",ROUND(IF(E248&gt;9.2,1,E248*'Reference Standards'!$S$189+'Reference Standards'!$S$190),2))</f>
        <v/>
      </c>
      <c r="G248" s="552" t="str">
        <f>IFERROR(ROUND(AVERAGE(F248:F257),2),"")</f>
        <v/>
      </c>
      <c r="H248" s="567"/>
      <c r="I248" s="555"/>
      <c r="J248" s="559"/>
      <c r="K248" s="555"/>
    </row>
    <row r="249" spans="1:13" ht="15.6" x14ac:dyDescent="0.3">
      <c r="A249" s="520"/>
      <c r="B249" s="520"/>
      <c r="C249" s="62" t="s">
        <v>378</v>
      </c>
      <c r="D249" s="58"/>
      <c r="E249" s="162"/>
      <c r="F249" s="294" t="str">
        <f>IF(E249="","",ROUND(IF(E249&gt;9.2,1,E249*'Reference Standards'!$S$189+'Reference Standards'!$S$190),2))</f>
        <v/>
      </c>
      <c r="G249" s="553"/>
      <c r="H249" s="567"/>
      <c r="I249" s="555"/>
      <c r="J249" s="559"/>
      <c r="K249" s="555"/>
    </row>
    <row r="250" spans="1:13" ht="15.6" x14ac:dyDescent="0.3">
      <c r="A250" s="520"/>
      <c r="B250" s="520"/>
      <c r="C250" s="62" t="s">
        <v>379</v>
      </c>
      <c r="D250" s="58"/>
      <c r="E250" s="162"/>
      <c r="F250" s="294" t="str">
        <f>IF(E250="","",ROUND( IF(E250&gt;=200,1,IF(E250&lt;50, E250^2*'Reference Standards'!S$224+E250*'Reference Standards'!S$225+'Reference Standards'!S$226, E250*'Reference Standards'!T$224+'Reference Standards'!T$225)),2))</f>
        <v/>
      </c>
      <c r="G250" s="553"/>
      <c r="H250" s="567"/>
      <c r="I250" s="555"/>
      <c r="J250" s="559"/>
      <c r="K250" s="555"/>
    </row>
    <row r="251" spans="1:13" ht="15.6" x14ac:dyDescent="0.3">
      <c r="A251" s="520"/>
      <c r="B251" s="520"/>
      <c r="C251" s="62" t="s">
        <v>380</v>
      </c>
      <c r="D251" s="58"/>
      <c r="E251" s="162"/>
      <c r="F251" s="294" t="str">
        <f>IF(E251="","",ROUND( IF(E251&gt;=200,1,IF(E251&lt;50, E251^2*'Reference Standards'!S$224+E251*'Reference Standards'!S$225+'Reference Standards'!S$226, E251*'Reference Standards'!T$224+'Reference Standards'!T$225)),2))</f>
        <v/>
      </c>
      <c r="G251" s="553"/>
      <c r="H251" s="567"/>
      <c r="I251" s="555"/>
      <c r="J251" s="559"/>
      <c r="K251" s="555"/>
    </row>
    <row r="252" spans="1:13" ht="15.6" x14ac:dyDescent="0.3">
      <c r="A252" s="520"/>
      <c r="B252" s="520"/>
      <c r="C252" s="58" t="s">
        <v>381</v>
      </c>
      <c r="D252" s="58"/>
      <c r="E252" s="162"/>
      <c r="F252" s="294" t="str">
        <f>IF(E252="","",ROUND(IF(AND(E252&gt;=135,E252&lt;=262),1,IF(  E252&gt;=366,0.5, IF(E252&lt;135,E252*'Reference Standards'!S$259+'Reference Standards'!S$260, E252*'Reference Standards'!T$259+'Reference Standards'!T$260))),2))</f>
        <v/>
      </c>
      <c r="G252" s="553"/>
      <c r="H252" s="567"/>
      <c r="I252" s="555"/>
      <c r="J252" s="559"/>
      <c r="K252" s="555"/>
    </row>
    <row r="253" spans="1:13" ht="15.6" x14ac:dyDescent="0.3">
      <c r="A253" s="520"/>
      <c r="B253" s="520"/>
      <c r="C253" s="58" t="s">
        <v>382</v>
      </c>
      <c r="D253" s="58"/>
      <c r="E253" s="162"/>
      <c r="F253" s="294" t="str">
        <f>IF(E253="","",ROUND(IF(AND(E253&gt;=135,E253&lt;=262),1,IF(  E253&gt;=366,0.5, IF(E253&lt;135,E253*'Reference Standards'!S$259+'Reference Standards'!S$260, E253*'Reference Standards'!T$259+'Reference Standards'!T$260))),2))</f>
        <v/>
      </c>
      <c r="G253" s="553"/>
      <c r="H253" s="567"/>
      <c r="I253" s="555"/>
      <c r="J253" s="559"/>
      <c r="K253" s="555"/>
    </row>
    <row r="254" spans="1:13" ht="15.6" x14ac:dyDescent="0.3">
      <c r="A254" s="520"/>
      <c r="B254" s="520"/>
      <c r="C254" s="58" t="s">
        <v>383</v>
      </c>
      <c r="D254" s="58"/>
      <c r="E254" s="162"/>
      <c r="F254" s="84" t="str">
        <f>IF(E254="","",ROUND(IF(E254&gt;=75,1,IF(E254&lt;=0,0,E254*'Reference Standards'!S$330)),2))</f>
        <v/>
      </c>
      <c r="G254" s="553"/>
      <c r="H254" s="567"/>
      <c r="I254" s="555"/>
      <c r="J254" s="559"/>
      <c r="K254" s="555"/>
    </row>
    <row r="255" spans="1:13" ht="15.6" x14ac:dyDescent="0.3">
      <c r="A255" s="520"/>
      <c r="B255" s="520"/>
      <c r="C255" s="58" t="s">
        <v>384</v>
      </c>
      <c r="D255" s="58"/>
      <c r="E255" s="162"/>
      <c r="F255" s="84" t="str">
        <f>IF(E255="","",ROUND(IF(E255&gt;=75,1,IF(E255&lt;=0,0,E255*'Reference Standards'!S$330)),2))</f>
        <v/>
      </c>
      <c r="G255" s="553"/>
      <c r="H255" s="567"/>
      <c r="I255" s="555"/>
      <c r="J255" s="559"/>
      <c r="K255" s="555"/>
    </row>
    <row r="256" spans="1:13" ht="15.6" x14ac:dyDescent="0.3">
      <c r="A256" s="520"/>
      <c r="B256" s="520"/>
      <c r="C256" s="58" t="s">
        <v>385</v>
      </c>
      <c r="D256" s="58"/>
      <c r="E256" s="162"/>
      <c r="F256" s="294" t="str">
        <f>IF(E256="","",ROUND(IF(AND(E256&gt;=36.3,E256&lt;=68),1,IF(E256&gt;100,0,IF(E256&lt;36.3,(('Reference Standards'!S$297*(E256^2))+('Reference Standards'!S$298*E256)+'Reference Standards'!S$299),IF(E256&gt;68,(('Reference Standards'!T$297*(E256^2))+('Reference Standards'!T$298*E256)+'Reference Standards'!T$299))))),2))</f>
        <v/>
      </c>
      <c r="G256" s="553"/>
      <c r="H256" s="567"/>
      <c r="I256" s="555"/>
      <c r="J256" s="559"/>
      <c r="K256" s="555"/>
      <c r="M256" s="21"/>
    </row>
    <row r="257" spans="1:12" ht="15.6" x14ac:dyDescent="0.3">
      <c r="A257" s="520"/>
      <c r="B257" s="521"/>
      <c r="C257" s="58" t="s">
        <v>386</v>
      </c>
      <c r="D257" s="65"/>
      <c r="E257" s="162"/>
      <c r="F257" s="294" t="str">
        <f>IF(E257="","",ROUND(IF(AND(E257&gt;=36.3,E257&lt;=68),1,IF(E257&gt;100,0,IF(E257&lt;36.3,(('Reference Standards'!S$297*(E257^2))+('Reference Standards'!S$298*E257)+'Reference Standards'!S$299),IF(E257&gt;68,(('Reference Standards'!T$297*(E257^2))+('Reference Standards'!T$298*E257)+'Reference Standards'!T$299))))),2))</f>
        <v/>
      </c>
      <c r="G257" s="554"/>
      <c r="H257" s="567"/>
      <c r="I257" s="555"/>
      <c r="J257" s="559"/>
      <c r="K257" s="555"/>
    </row>
    <row r="258" spans="1:12" ht="15.6" x14ac:dyDescent="0.3">
      <c r="A258" s="520"/>
      <c r="B258" s="56" t="s">
        <v>108</v>
      </c>
      <c r="C258" s="72" t="s">
        <v>130</v>
      </c>
      <c r="D258" s="58"/>
      <c r="E258" s="43"/>
      <c r="F258" s="82" t="str">
        <f>IF(E258="","",IF(OR('Quantification Tool R4'!B$14="Gravel",'Quantification Tool R4'!B$14="Cobble"),IF(E258&gt;0.1,1,IF(E258&lt;=0.01,0,ROUND(E258*'Reference Standards'!$S$362+'Reference Standards'!$S$363,2)))))</f>
        <v/>
      </c>
      <c r="G258" s="82" t="str">
        <f>IFERROR(AVERAGE(F258),"")</f>
        <v/>
      </c>
      <c r="H258" s="567"/>
      <c r="I258" s="555"/>
      <c r="J258" s="559"/>
      <c r="K258" s="555"/>
    </row>
    <row r="259" spans="1:12" ht="15.6" x14ac:dyDescent="0.3">
      <c r="A259" s="520"/>
      <c r="B259" s="526" t="s">
        <v>51</v>
      </c>
      <c r="C259" s="64" t="s">
        <v>52</v>
      </c>
      <c r="D259" s="64"/>
      <c r="E259" s="166"/>
      <c r="F259" s="337" t="str">
        <f>IF(E259="","",IF(ISNUMBER('Quantification Tool R4'!$B$17),IF('Quantification Tool R4'!$B$17&lt;=2,IF(AND(E259&gt;=3,E259&lt;=5),1,IF(OR(E259&lt;=1,E259&gt;=7),0,ROUND(IF(E259&lt;3,E259*'Reference Standards'!S$398+'Reference Standards'!S$399,E259*'Reference Standards'!T$398+'Reference Standards'!T$399),2))),IF(E259&lt;=2.5,1,IF(E259&gt;=5.8,0,ROUND(E259*'Reference Standards'!S$430+'Reference Standards'!S$431,2))))))</f>
        <v/>
      </c>
      <c r="G259" s="528" t="str">
        <f>IFERROR(AVERAGE(F259:F262),"")</f>
        <v/>
      </c>
      <c r="H259" s="567"/>
      <c r="I259" s="555"/>
      <c r="J259" s="559"/>
      <c r="K259" s="555"/>
    </row>
    <row r="260" spans="1:12" ht="15.6" x14ac:dyDescent="0.3">
      <c r="A260" s="520"/>
      <c r="B260" s="520"/>
      <c r="C260" s="58" t="s">
        <v>53</v>
      </c>
      <c r="D260" s="58"/>
      <c r="E260" s="165"/>
      <c r="F260" s="84" t="str">
        <f>IF(E260="","", IF( E260&gt;=2.4,1, IF(E260&lt;=1,0,  ROUND(IF(E260&lt;2.4, E260*'Reference Standards'!$S$464+'Reference Standards'!$S$465  ),2))))</f>
        <v/>
      </c>
      <c r="G260" s="529"/>
      <c r="H260" s="567"/>
      <c r="I260" s="555"/>
      <c r="J260" s="559"/>
      <c r="K260" s="555"/>
    </row>
    <row r="261" spans="1:12" ht="15.6" x14ac:dyDescent="0.3">
      <c r="A261" s="520"/>
      <c r="B261" s="520"/>
      <c r="C261" s="58" t="s">
        <v>334</v>
      </c>
      <c r="D261" s="58"/>
      <c r="E261" s="165"/>
      <c r="F261" s="390" t="str">
        <f>IF(E261="","", IF(LEFT('Quantification Tool R4'!$B$12,2)="67",  IF( AND(E261&gt;=45,E261&lt;=65),1, IF(OR(E261&lt;=20,E261&gt;=90),0, ROUND(  IF(E261&lt;45, E261*'Reference Standards'!$S$498+'Reference Standards'!$S$499,E261*'Reference Standards'!$T$498+'Reference Standards'!$T$499),2))), IF(OR(  LEFT('Quantification Tool R4'!$B$12,2)="68", LEFT('Quantification Tool R4'!$B$12,2)="69",LEFT('Quantification Tool R4'!$B$12,2)="71"),  IF( AND(E261&gt;=30,E261&lt;=50),1, IF(OR(E261&lt;=10,E261&gt;=70),0, ROUND(  IF(E261&lt;30, E261*'Reference Standards'!$S$533+'Reference Standards'!$S$534,E261*'Reference Standards'!$T$533+'Reference Standards'!$T$534),2))), IF(LEFT('Quantification Tool R4'!$B$12,2)="66",  IF( AND(E261&gt;=20,E261&lt;=45),1, IF(OR(E261&lt;=0,E261&gt;=90),0, ROUND(  IF(E261&lt;20, E261*'Reference Standards'!$S$567+'Reference Standards'!$S$568,E261*'Reference Standards'!$T$567+'Reference Standards'!$T$568),2))), IF(OR(  LEFT('Quantification Tool R4'!$B$12,2)="65", LEFT('Quantification Tool R4'!$B$12,2)="74", LEFT('Quantification Tool R4'!$B$12,2)="73"),  IF( AND(E261&gt;=20,E261&lt;=30),1, IF(OR(E261&lt;=0,E261&gt;=50),0, ROUND(  IF(E261&lt;20, E261*'Reference Standards'!$S$601+'Reference Standards'!$S$602,E261*'Reference Standards'!$T$601+'Reference Standards'!$T$602),2))))))))</f>
        <v/>
      </c>
      <c r="G261" s="529"/>
      <c r="H261" s="567"/>
      <c r="I261" s="555"/>
      <c r="J261" s="559"/>
      <c r="K261" s="555"/>
    </row>
    <row r="262" spans="1:12" ht="15.6" x14ac:dyDescent="0.3">
      <c r="A262" s="520"/>
      <c r="B262" s="521"/>
      <c r="C262" s="62" t="s">
        <v>210</v>
      </c>
      <c r="D262" s="58"/>
      <c r="E262" s="167"/>
      <c r="F262" s="391" t="str">
        <f>IF(E262="","",IF(E262&gt;=1.6,0,IF(E262&lt;=1,1,ROUND('Reference Standards'!$S$633*E262^3+'Reference Standards'!$S$634*E262^2+'Reference Standards'!$S$635*E262+'Reference Standards'!$S$636,2))))</f>
        <v/>
      </c>
      <c r="G262" s="530"/>
      <c r="H262" s="567"/>
      <c r="I262" s="555"/>
      <c r="J262" s="559"/>
      <c r="K262" s="555"/>
    </row>
    <row r="263" spans="1:12" ht="15.6" x14ac:dyDescent="0.3">
      <c r="A263" s="521"/>
      <c r="B263" s="296" t="s">
        <v>55</v>
      </c>
      <c r="C263" s="242" t="s">
        <v>54</v>
      </c>
      <c r="D263" s="243"/>
      <c r="E263" s="163"/>
      <c r="F263" s="342" t="str">
        <f>IF(E263="","",IF(AND('Quantification Tool R4'!B$11="E",'Quantification Tool R4'!$B$14="Sand",'Quantification Tool R4'!$B$21="Unconfined Alluvial"),ROUND(IF(OR(E263&gt;1.8,E263&lt;1.3),0,IF(E263&lt;=1.6,1,E263*'Reference Standards'!S$667+'Reference Standards'!S$668)),2),    IF('Quantification Tool R4'!$B$21="Unconfined Alluvial",ROUND(IF(OR(E263&lt;1.2, E263&gt;1.5),0,IF(E263&lt;=1.4,1,E263*'Reference Standards'!$S$700+'Reference Standards'!$S$701)),2), IF('Quantification Tool R4'!$B$21="Confined Alluvial",ROUND(IF(E263&lt;1.15,0,IF(E263&lt;=1.4,E263*'Reference Standards'!$S$729+'Reference Standards'!$S$730,1)),2),  IF('Quantification Tool R4'!$B$21="Colluvial",ROUND(IF(E263&gt;1.3,0,IF(E263&gt;1.2,E263*'Reference Standards'!$S$760+'Reference Standards'!$S$761,1)),2) )))))</f>
        <v/>
      </c>
      <c r="G263" s="84" t="str">
        <f>IFERROR(AVERAGE(F263),"")</f>
        <v/>
      </c>
      <c r="H263" s="567"/>
      <c r="I263" s="555"/>
      <c r="J263" s="559"/>
      <c r="K263" s="555"/>
      <c r="L263" s="13"/>
    </row>
    <row r="264" spans="1:12" ht="15.6" x14ac:dyDescent="0.3">
      <c r="A264" s="537" t="s">
        <v>58</v>
      </c>
      <c r="B264" s="67" t="s">
        <v>88</v>
      </c>
      <c r="C264" s="70" t="s">
        <v>338</v>
      </c>
      <c r="D264" s="70"/>
      <c r="E264" s="43"/>
      <c r="F264" s="343" t="str">
        <f>IF(E264="","",ROUND(IF(E264&gt;=942,0,IF(E264&lt;=487,E264*'Reference Standards'!AB$15+'Reference Standards'!AB$16,E264*'Reference Standards'!$AC$15+'Reference Standards'!$AC$16)),2))</f>
        <v/>
      </c>
      <c r="G264" s="85" t="str">
        <f>IFERROR(AVERAGE(F264),"")</f>
        <v/>
      </c>
      <c r="H264" s="547" t="str">
        <f>IFERROR(ROUND(AVERAGE(G264:G267),2),"")</f>
        <v/>
      </c>
      <c r="I264" s="534" t="str">
        <f>IF(H264="","",IF(H264&gt;0.69,"Functioning",IF(H264&gt;0.29,"Functioning At Risk",IF(H264&gt;-1,"Not Functioning"))))</f>
        <v/>
      </c>
      <c r="J264" s="559"/>
      <c r="K264" s="555"/>
      <c r="L264" s="13"/>
    </row>
    <row r="265" spans="1:12" ht="15.6" x14ac:dyDescent="0.3">
      <c r="A265" s="538"/>
      <c r="B265" s="297" t="s">
        <v>362</v>
      </c>
      <c r="C265" s="66" t="s">
        <v>354</v>
      </c>
      <c r="D265" s="66"/>
      <c r="E265" s="163"/>
      <c r="F265" s="344" t="str">
        <f>IF(E265="","",IF(OR('Quantification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June")),IF(E265&gt;93,0,IF(E265&lt;13,1,ROUND('Reference Standards'!$AB$53*E265^2+'Reference Standards'!$AB$54*E265+'Reference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R4'!$B$12="73b"),IF(E265&gt;94,0,IF(E265&lt;17,1,ROUND('Reference Standards'!$AC$53*E265^2+'Reference Standards'!$AC$54*E265+'Reference Standards'!$AC$55,2))),    IF(OR(AND(OR('Quantification Tool R4'!$B$12="68b",'Quantification Tool R4'!$B$12="71i"),'Quantification Tool R4'!$B$13&gt;2), 'Quantification Tool R4'!$B$12="71e"),IF(E265&gt;91,0,IF(E265&lt;24,1,ROUND('Reference Standards'!$AD$53*E265^2+'Reference Standards'!$AD$54*E265+'Reference Standards'!$AD$55,2))),  IF(OR(AND(OR('Quantification Tool R4'!$B$12="71f",'Quantification Tool R4'!$B$12="71g",'Quantification Tool R4'!$B$12="71h",'Quantification Tool R4'!$B$12="71i"),'Quantification Tool R4'!$B$13&lt;=2), AND('Quantification Tool R4'!$B$12="74a",'Quantification Tool R4'!$B$13&gt;2)),IF(E265&gt;95,0,IF(E265&lt;=36,1,ROUND('Reference Standards'!$AE$53*E265^2+'Reference Standards'!$AE$54*E265+'Reference Standards'!$AE$55,2))))))))</f>
        <v/>
      </c>
      <c r="G265" s="236" t="str">
        <f>IFERROR(AVERAGE(F265:F265),"")</f>
        <v/>
      </c>
      <c r="H265" s="548"/>
      <c r="I265" s="535"/>
      <c r="J265" s="559"/>
      <c r="K265" s="555"/>
      <c r="L265" s="21"/>
    </row>
    <row r="266" spans="1:12" ht="15.6" x14ac:dyDescent="0.3">
      <c r="A266" s="538"/>
      <c r="B266" s="67" t="s">
        <v>81</v>
      </c>
      <c r="C266" s="68" t="s">
        <v>281</v>
      </c>
      <c r="D266" s="68"/>
      <c r="E266" s="162"/>
      <c r="F266" s="344" t="str">
        <f>IF(E266="","",IF(ISNUMBER('Quantification Tool R4'!$B$13),IF(OR('Quantification Tool R4'!$B$12="66e",'Quantification Tool R4'!$B$12="66f",'Quantification Tool R4'!$B$12="66g"),ROUND(IF(E266&gt;=0.61,0,IF(E266&lt;=0.01,1,IF(E266&lt;=0.06,E266*'Reference Standards'!$AD$197+'Reference Standards'!$AD$198,E266^2*'Reference Standards'!$AB$196+E266*'Reference Standards'!$AB$197+'Reference Standards'!$AB$198))),2),IF('Quantification Tool R4'!$B$12="68b",ROUND(IF(E266&gt;=1.1,0,IF(E266&lt;=0.17,1,IF(E266&lt;=0.22,E266*'Reference Standards'!$AE$197+'Reference Standards'!$AE$198,E266^2*'Reference Standards'!$AC$196+E266*'Reference Standards'!$AC$197+'Reference Standards'!$AC$198))),2),IF('Quantification Tool R4'!$B$13&lt;=2.5,IF('Quantification Tool R4'!$B$12="69de",ROUND(IF(E266&gt;=0.22,0,IF(E266&lt;=0.01,1,E266^2*'Reference Standards'!$AB$90+E266*'Reference Standards'!$AB$91+'Reference Standards'!$AB$92)),2),IF('Quantification Tool R4'!$B$12="68c",ROUND(IF(E266&gt;=0.87,0,IF(E266&lt;=0.01,1,E266^2*'Reference Standards'!$AC$90+E266*'Reference Standards'!$AC$91+'Reference Standards'!$AC$92)),2),IF('Quantification Tool R4'!$B$12="68a",ROUND(IF(E266&gt;=0.81,0,IF(E266&lt;=0.01,1,E266^2*'Reference Standards'!$AD$90+E266*'Reference Standards'!$AD$91+'Reference Standards'!$AD$92)),2),IF('Quantification Tool R4'!$B$12="65abei",ROUND(IF(E266&gt;=0.67,0,IF(E266&lt;=0.01,1,IF(E266&lt;=0.18,E266*'Reference Standards'!$AG$91+'Reference Standards'!$AG$92,E266*'Reference Standards'!$AE$91+'Reference Standards'!$AE$92))),2),IF('Quantification Tool R4'!$B$12="65j",ROUND(IF(E266&gt;=0.32,0,IF(E266&lt;=0.01,1,IF(E266&lt;=0.25,E266*'Reference Standards'!$AH$91+'Reference Standards'!$AH$92,E266*'Reference Standards'!$AF$91+'Reference Standards'!$AF$92))),2),IF('Quantification Tool R4'!$B$12="71f",ROUND(IF(E266&gt;=3,0,IF(E266&lt;=0,1,IF(E266&lt;=0.01,0.7,E266^2*'Reference Standards'!$AB$126+E266*'Reference Standards'!$AB$127+'Reference Standards'!$AB$128))),2),IF('Quantification Tool R4'!$B$12="74a",ROUND(IF(E266&gt;=0.14,0,IF(E266&lt;=0.01,1,IF(E266&lt;=0.02,0.7,E266^2*'Reference Standards'!$AC$126+E266*'Reference Standards'!$AC$127+'Reference Standards'!$AC$128))),2),IF(OR('Quantification Tool R4'!$B$12="67fhi",'Quantification Tool R4'!$B$12="67g"),ROUND(IF(E266&gt;=1.9,0,IF(E266&lt;=0.01,1,IF(E266&lt;=0.05,E266*'Reference Standards'!$AF$127+'Reference Standards'!$AF$128,E266^2*'Reference Standards'!$AD$126+E266*'Reference Standards'!$AD$127+'Reference Standards'!$AD$128))),2),IF('Quantification Tool R4'!$B$12="73a",ROUND(IF(E266&gt;=1.44,0,IF(E266&lt;=0.01,1,IF(E266&lt;=0.12,E266*'Reference Standards'!$AG$127+'Reference Standards'!$AG$128,E266^2*'Reference Standards'!$AE$126+E266*'Reference Standards'!$AE$127+'Reference Standards'!$AE$128))),2),IF('Quantification Tool R4'!$B$12="66d",ROUND(IF(E266&gt;=0.46,0,IF(E266&lt;=0.02,1,IF(E266&lt;=0.08,E266*'Reference Standards'!$AF$163+'Reference Standards'!$AF$164,E266^2*'Reference Standards'!$AB$162+E266*'Reference Standards'!$AB$163+'Reference Standards'!$AB$164))),2),IF(OR('Quantification Tool R4'!$B$12="71g",'Quantification Tool R4'!$B$12="71h",'Quantification Tool R4'!$B$12="71i"),ROUND(IF(E266&gt;=3,0,IF(E266&lt;=0.06,1,IF(E266&lt;=0.24,E266*'Reference Standards'!$AG$163+'Reference Standards'!$AG$164,E266^2*'Reference Standards'!$AC$162+E266*'Reference Standards'!$AC$163+'Reference Standards'!$AC$164))),2),IF('Quantification Tool R4'!$B$12="74b",ROUND(IF(E266&gt;=1.3,0,IF(E266&lt;=0.29,1,IF(E266&lt;=0.48,E266*'Reference Standards'!$AH$163+'Reference Standards'!$AH$164,E266^2*'Reference Standards'!$AD$162+E266*'Reference Standards'!$AD$163+'Reference Standards'!$AD$164))),2),IF('Quantification Tool R4'!$B$12="71e",ROUND(IF(E266&gt;=4.3,0,IF(E266&lt;=0.53,1,IF(E266&lt;=0.67,E266*'Reference Standards'!$AI$163+'Reference Standards'!$AI$164,E266^2*'Reference Standards'!$AE$162+E266*'Reference Standards'!$AE$163+'Reference Standards'!$AE$164))),2)))))))))))))),IF('Quantification Tool R4'!$B$13&gt;2.5,IF('Quantification Tool R4'!$B$12="73a",ROUND(IF(E266&gt;=0.55,0,IF(E266&lt;=0,1,E266^2*'Reference Standards'!$AB$232+E266*'Reference Standards'!$AB$233+'Reference Standards'!$AB$234)),2),IF('Quantification Tool R4'!$B$12="68a",ROUND(IF(E266&gt;=0.54,0,IF(E266&lt;=0,1,IF(E266&lt;=0.01,0.85,E266^2*'Reference Standards'!$AC$232+E266*'Reference Standards'!$AC$233+'Reference Standards'!$AC$234))),2),IF('Quantification Tool R4'!$B$12="74a",ROUND(IF(E266&gt;=0.47,0,IF(E266&lt;=0.01,1,IF(E266&lt;=0.02,0.7,E266^2*'Reference Standards'!$AD$232+E266*'Reference Standards'!$AD$233+'Reference Standards'!$AD$234))),2),IF('Quantification Tool R4'!$B$12="69de",ROUND(IF(E266&gt;=0.26,0,IF(E266&lt;=0.01,1,IF(E266&lt;=0.02,0.85,E266^2*'Reference Standards'!$AE$232+E266*'Reference Standards'!$AE$233+'Reference Standards'!$AE$234))),2),IF('Quantification Tool R4'!$B$12="71f",ROUND(IF(E266&gt;=0.87,0,IF(E266&lt;=0.01,1,IF(E266&lt;=0.04,E266*'Reference Standards'!$AF$269+'Reference Standards'!$AF$270,E266^2*'Reference Standards'!$AB$268+E266*'Reference Standards'!$AB$269+'Reference Standards'!$AB$270))),2),IF('Quantification Tool R4'!$B$12="65abei",ROUND(IF(E266&gt;=0.82,0,IF(E266&lt;=0.01,1,IF(E266&lt;=0.06,E266*'Reference Standards'!$AG$269+'Reference Standards'!$AG$270,E266^2*'Reference Standards'!$AC$268+E266*'Reference Standards'!$AC$269+'Reference Standards'!$AC$270))),2),IF('Quantification Tool R4'!$B$12="65j",ROUND(IF(E266&gt;=0.33,0,IF(E266&lt;=0.03,1,IF(E266&lt;=0.09,E266*'Reference Standards'!$AH$269+'Reference Standards'!$AH$270,E266^2*'Reference Standards'!$AD$268+E266*'Reference Standards'!$AD$269+'Reference Standards'!$AD$270))),2),IF('Quantification Tool R4'!$B$12="68c",ROUND(IF(E266&gt;=0.7,0,IF(E266&lt;=0.07,1,IF(E266&lt;=0.12,E266*'Reference Standards'!$AI$269+'Reference Standards'!$AI$270,E266^2*'Reference Standards'!$AE$268+E266*'Reference Standards'!$AE$269+'Reference Standards'!$AE$270))),2),IF(OR('Quantification Tool R4'!$B$12="67fhi",'Quantification Tool R4'!$B$12="67g"),ROUND(IF(E266&gt;=1.8,0,IF(E266&lt;=0.08,1,IF(E266&lt;=0.2,E266*'Reference Standards'!$AF$306+'Reference Standards'!$AF$307,E266^2*'Reference Standards'!$AB$305+E266*'Reference Standards'!$AB$306+'Reference Standards'!$AB$307))),2),IF('Quantification Tool R4'!$B$12="74b",ROUND(IF(E266&gt;=0.96,0,IF(E266&lt;=0.12,1,IF(E266&lt;=0.16,E266*'Reference Standards'!$AG$306+'Reference Standards'!$AG$307,E266^2*'Reference Standards'!$AC$305+E266*'Reference Standards'!$AC$306+'Reference Standards'!$AC$307))),2),IF('Quantification Tool R4'!$B$12="66d",ROUND(IF(E266&gt;=0.75,0,IF(E266&lt;=0.13,1,IF(E266&lt;=0.2,E266*'Reference Standards'!$AH$306+'Reference Standards'!$AH$307,E266^2*'Reference Standards'!$AD$305+E266*'Reference Standards'!$AD$306+'Reference Standards'!$AD$307))),2),IF(OR('Quantification Tool R4'!$B$12="71g",'Quantification Tool R4'!$B$12="71h",'Quantification Tool R4'!$B$12="71i"),ROUND(IF(E266&gt;=1.68,0,IF(E266&lt;=0.08,1,IF(E266&lt;=0.23,E266*'Reference Standards'!$AI$306+'Reference Standards'!$AI$307,E266^2*'Reference Standards'!$AE$305+E266*'Reference Standards'!$AE$306+'Reference Standards'!$AE$307))),2),IF('Quantification Tool R4'!$B$12="71e",ROUND(IF(E266&gt;=5.3,0,IF(E266&lt;=0.94,1,IF(E266&lt;=1.4,E266*'Reference Standards'!$AF$310+'Reference Standards'!$AF$311,E266^2*'Reference Standards'!$AB$309+E266*'Reference Standards'!$AB$310+'Reference Standards'!$AB$311))),2))))))))))))))))))))</f>
        <v/>
      </c>
      <c r="G266" s="86" t="str">
        <f>IFERROR(AVERAGE(F266),"")</f>
        <v/>
      </c>
      <c r="H266" s="548"/>
      <c r="I266" s="535"/>
      <c r="J266" s="559"/>
      <c r="K266" s="555"/>
      <c r="L266" s="21"/>
    </row>
    <row r="267" spans="1:12" ht="15.6" x14ac:dyDescent="0.3">
      <c r="A267" s="539"/>
      <c r="B267" s="298" t="s">
        <v>82</v>
      </c>
      <c r="C267" s="66" t="s">
        <v>280</v>
      </c>
      <c r="D267" s="66"/>
      <c r="E267" s="136"/>
      <c r="F267" s="343" t="str">
        <f>IF(E267="","",IF(ISNUMBER('Quantification Tool R4'!$B$13),IF('Quantification Tool R4'!$B$13&gt;2.5,IF(OR('Quantification Tool R4'!$B$12="71h",'Quantification Tool R4'!$B$12="71i",'Quantification Tool R4'!$B$12="73a",'Quantification Tool R4'!$B$12="74a"),IF(E267&lt;=0.01,1,IF(OR('Quantification Tool R4'!$B$12="71h",'Quantification Tool R4'!$B$12="71i"),IF(E267&gt;0.37,0,ROUND(IF(E267&gt;0.03,'Reference Standards'!$AB$425*E267^2+'Reference Standards'!$AB$426*E267+'Reference Standards'!$AB$427,'Reference Standards'!$AF$426*E267+'Reference Standards'!$AF$427),2)),IF('Quantification Tool R4'!$B$12="73a",IF(E267&gt;0.405,0,ROUND(IF(E267&gt;0.046,'Reference Standards'!$AC$425*E267^2+'Reference Standards'!$AC$426*E267+'Reference Standards'!$AC$427,'Reference Standards'!$AG$426*E267+'Reference Standards'!$AG$427),2)),IF('Quantification Tool R4'!$B$12="74a",IF(E267&gt;0.3,0,ROUND(IF(E267&gt;0.052,'Reference Standards'!$AD$425*E267^2+'Reference Standards'!$AD$426*E267+'Reference Standards'!$AD$427,'Reference Standards'!$AH$426*E267+'Reference Standards'!$AH$427),2)))))),IF(E267&lt;=0.002,1,IF(OR('Quantification Tool R4'!$B$12="66d",'Quantification Tool R4'!$B$12="66e",'Quantification Tool R4'!$B$12="66g"),IF(E267&gt;0.053,0,ROUND(E267^2*'Reference Standards'!$AB$347+E267*'Reference Standards'!$AB$348+'Reference Standards'!$AB$349,2)),IF('Quantification Tool R4'!$B$12="68b",IF(E267&gt;0.05,0,ROUND(E267^2*'Reference Standards'!$AC$347+E267*'Reference Standards'!$AC$348+'Reference Standards'!$AC$349,2)),IF(OR('Quantification Tool R4'!$B$12="68a",'Quantification Tool R4'!$B$12="68c"),IF(E267&gt;0.07,0,ROUND(E267^2*'Reference Standards'!$AD$347+E267*'Reference Standards'!$AD$348+'Reference Standards'!$AD$349,2)),IF(OR('Quantification Tool R4'!$B$12="71f",'Quantification Tool R4'!$B$12="71g"),IF(E267&gt;0.13,0,ROUND(IF(E267&gt;0.042,E267*'Reference Standards'!$AE$348+'Reference Standards'!$AE$349,E267*'Reference Standards'!$AF$348+'Reference Standards'!$AF$349),2)),IF('Quantification Tool R4'!$B$12="67fhi",IF(E267&gt;0.16,0,ROUND(E267^2*'Reference Standards'!$AG$347+E267*'Reference Standards'!$AG$348+'Reference Standards'!$AG$349,2)),IF('Quantification Tool R4'!$B$12="65j",IF(E267&gt;0.035,0,ROUND(IF(E267&lt;=0.003,0.7,E267^2*'Reference Standards'!$AB$387+E267*'Reference Standards'!$AB$388+'Reference Standards'!$AB$389),2)),IF('Quantification Tool R4'!$B$12="69de",IF(E267&gt;0.037,0,ROUND(IF(E267&lt;=0.003,0.7,E267^2*'Reference Standards'!$AC$387+E267*'Reference Standards'!$AC$388+'Reference Standards'!$AC$389),2)),IF('Quantification Tool R4'!$B$12="71e",IF(E267&gt;0.23,0,ROUND(IF(E267&lt;=0.003,0.7,E267^2*'Reference Standards'!$AD$387+E267*'Reference Standards'!$AD$388+'Reference Standards'!$AD$389),2)),IF('Quantification Tool R4'!$B$12="66f",IF(E267&gt;0.06,0,ROUND(IF(E267&lt;=0.003,0.85,IF(E267&lt;=0.004,0.7,E267^2*'Reference Standards'!$AE$387+E267*'Reference Standards'!$AE$388+'Reference Standards'!$AE$389)),2)),IF('Quantification Tool R4'!$B$12="67g",IF(E267&gt;0.11,0,ROUND(IF(E267&lt;=0.01,E267*'Reference Standards'!$AH$388+'Reference Standards'!$AH$389,E267^2*'Reference Standards'!$AF$387+E267*'Reference Standards'!$AF$388+'Reference Standards'!$AF$389),2)),IF('Quantification Tool R4'!$B$12="74b",IF(E267&gt;0.49,0,ROUND(IF(E267&lt;=0.01,E267*'Reference Standards'!$AH$388+'Reference Standards'!$AH$389,E267^2*'Reference Standards'!$AG$387+E267*'Reference Standards'!$AG$388+'Reference Standards'!$AG$389),2)),IF('Quantification Tool R4'!$B$12="65abei",IF(E267&gt;0.199,0,ROUND(IF(E267&lt;=0.01,E267*'Reference Standards'!$AI$426+'Reference Standards'!$AI$427,E267^2*'Reference Standards'!$AE$425+E267*'Reference Standards'!$AE$426+'Reference Standards'!$AE$427),2)))))))))))))))),IF('Quantification Tool R4'!$B$13&lt;=2.5,IF(OR('Quantification Tool R4'!$B$12="66d",'Quantification Tool R4'!$B$12="66e",'Quantification Tool R4'!$B$12="66g"),IF(E267&gt;0.05,0,ROUND(IF(E267&lt;=0.002,1,IF(E267&lt;=0.005,E267*'Reference Standards'!$AF$464+'Reference Standards'!$AF$465,E267^2*'Reference Standards'!$AB$463+E267*'Reference Standards'!$AB$464+'Reference Standards'!$AB$465)),2)),IF('Quantification Tool R4'!$B$12="67fhi",IF(E267&gt;0.1,0,ROUND(IF(E267&lt;=0.002,1,IF(E267&lt;=0.006,E267*'Reference Standards'!$AG$464+'Reference Standards'!$AG$465,E267^2*'Reference Standards'!$AC$463+E267*'Reference Standards'!$AC$464+'Reference Standards'!$AC$465)),2)),IF('Quantification Tool R4'!$B$12="65abei",IF(E267&gt;0.13,0,ROUND(IF(E267&lt;=0.003,1,IF(E267&lt;=0.008,E267*'Reference Standards'!$AH$464+'Reference Standards'!$AH$465,E267^2*'Reference Standards'!$AD$463+E267*'Reference Standards'!$AD$464+'Reference Standards'!$AD$465)),2)),IF('Quantification Tool R4'!$B$12="68b",IF(E267&gt;0.043,0,ROUND(IF(E267&lt;=0.004,1,IF(E267&lt;=0.005,0.7,E267^2*'Reference Standards'!$AE$463+E267*'Reference Standards'!$AE$464+'Reference Standards'!$AE$465)),2)),IF('Quantification Tool R4'!$B$12="69de",IF(E267&gt;=0.034,0,ROUND(IF(E267&lt;=0.003,1,IF(E267&lt;=0.006,E267*'Reference Standards'!$AG$500+'Reference Standards'!$AG$501,E267*'Reference Standards'!$AB$500+'Reference Standards'!$AB$501)),2)),IF(OR('Quantification Tool R4'!$B$12="68a",'Quantification Tool R4'!$B$12="68c"),IF(E267&gt;0.202,0,ROUND(IF(E267&lt;=0.003,1,IF(E267&lt;=0.006,E267*'Reference Standards'!$AG$500+'Reference Standards'!$AG$501,IF(E267&gt;=0.04,E267*'Reference Standards'!$AC$500+'Reference Standards'!$AC$501,E267*'Reference Standards'!$AE$500+'Reference Standards'!$AE$501))),2)),IF(OR('Quantification Tool R4'!$B$12="71f",'Quantification Tool R4'!$B$12="71g"),IF(E267&gt;0.631,0,ROUND(IF(E267&lt;=0.003,1,IF(E267&lt;=0.006,E267*'Reference Standards'!$AG$500+'Reference Standards'!$AG$501,IF(E267&gt;=0.17,E267*'Reference Standards'!$AD$500+'Reference Standards'!$AD$501,E267*'Reference Standards'!$AF$500+'Reference Standards'!$AF$501))),2)),IF('Quantification Tool R4'!$B$12="71e",IF(E267&gt;1.23,0,ROUND(IF(E267&lt;=0.004,1,IF(E267&lt;=0.006,E267*'Reference Standards'!$AF$538+'Reference Standards'!$AF$539,E267^2*'Reference Standards'!$AB$537+E267*'Reference Standards'!$AB$538+'Reference Standards'!$AB$539)),2)),IF('Quantification Tool R4'!$B$12="67g",IF(E267&gt;0.11,0,ROUND(IF(E267&lt;=0.006,1,IF(E267&lt;=0.011,E267*'Reference Standards'!$AG$538+'Reference Standards'!$AG$539,E267^2*'Reference Standards'!$AC$537+E267*'Reference Standards'!$AC$538+'Reference Standards'!$AC$539)),2)),IF('Quantification Tool R4'!$B$12="65j",IF(E267&gt;0.046,0,ROUND(IF(E267&lt;=0.007,1,IF(E267&lt;=0.012,E267*'Reference Standards'!$AH$538+'Reference Standards'!$AH$539,E267^2*'Reference Standards'!$AD$537+E267*'Reference Standards'!$AD$538+'Reference Standards'!$AD$539)),2)),IF('Quantification Tool R4'!$B$12="66f",IF(E267&gt;0.081,0,ROUND(IF(E267&lt;=0.008,1,IF(E267&lt;=0.011,E267*'Reference Standards'!$AI$538+'Reference Standards'!$AI$539,E267^2*'Reference Standards'!$AE$537+E267*'Reference Standards'!$AE$538+'Reference Standards'!$AE$539)),2)),IF(OR('Quantification Tool R4'!$B$12="71h",'Quantification Tool R4'!$B$12="71i"),IF(E267&gt;0.37,0,ROUND(IF(E267&lt;=0.013,1,IF(E267&lt;=0.032,E267*'Reference Standards'!$AH$576+'Reference Standards'!$AH$577,IF(E267&lt;=0.3,E267*'Reference Standards'!$AF$576+'Reference Standards'!$AF$577,E267*'Reference Standards'!$AB$576+'Reference Standards'!$AB$577))),2)),IF('Quantification Tool R4'!$B$12="73a",IF(E267&gt;0.448,0,ROUND(IF(E267&lt;=0.071,1,IF(E267&lt;=0.086,E267*'Reference Standards'!$AJ$576+'Reference Standards'!$AJ$577,IF(E267&lt;=0.165,E267*'Reference Standards'!$AG$576+'Reference Standards'!$AG$577,E267*'Reference Standards'!$AE$576+'Reference Standards'!$AE$577))),2)),IF('Quantification Tool R4'!$B$12="74b",IF(E267&gt;0.43,0,ROUND(IF(E267&lt;=0.018,1,IF(E267&lt;=0.019,0.85,IF(E267&lt;=0.02,0.7,E267^2*'Reference Standards'!$AC$575+E267*'Reference Standards'!$AC$576+'Reference Standards'!$AC$577))),2)),IF('Quantification Tool R4'!$B$12="74a",IF(E267&gt;0.217,0,ROUND(IF(E267&lt;=0.02,1,IF(E267&lt;=0.033,E267*'Reference Standards'!$AI$576+'Reference Standards'!$AI$577,E267^2*'Reference Standards'!$AD$575+E267*'Reference Standards'!$AD$576+'Reference Standards'!$AD$577)),2)))))))))))))))))))))</f>
        <v/>
      </c>
      <c r="G267" s="87" t="str">
        <f>IFERROR(AVERAGE(F267),"")</f>
        <v/>
      </c>
      <c r="H267" s="549"/>
      <c r="I267" s="536"/>
      <c r="J267" s="559"/>
      <c r="K267" s="555"/>
      <c r="L267" s="21"/>
    </row>
    <row r="268" spans="1:12" ht="15.6" x14ac:dyDescent="0.3">
      <c r="A268" s="550" t="s">
        <v>59</v>
      </c>
      <c r="B268" s="560" t="s">
        <v>340</v>
      </c>
      <c r="C268" s="125" t="s">
        <v>331</v>
      </c>
      <c r="D268" s="126"/>
      <c r="E268" s="166"/>
      <c r="F268" s="345" t="str">
        <f>IF(E268="","",IF(OR('Quantification Tool R4'!B$12="73a",'Quantification Tool R4'!B$12="73b"),IF(E268&lt;1,0,IF(E268&gt;=30,1,ROUND(IF(E268&lt;22,'Reference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531" t="str">
        <f>IFERROR(AVERAGE(F268:F271),"")</f>
        <v/>
      </c>
      <c r="H268" s="568" t="str">
        <f>IFERROR(ROUND(AVERAGE(G268:G273),2),"")</f>
        <v/>
      </c>
      <c r="I268" s="519" t="str">
        <f>IF(H268="","",IF(H268&gt;0.69,"Functioning",IF(H268&gt;0.29,"Functioning At Risk",IF(H268&gt;-1,"Not Functioning"))))</f>
        <v/>
      </c>
      <c r="J268" s="559"/>
      <c r="K268" s="555"/>
      <c r="L268" s="21"/>
    </row>
    <row r="269" spans="1:12" ht="15.6" x14ac:dyDescent="0.3">
      <c r="A269" s="556"/>
      <c r="B269" s="561"/>
      <c r="C269" s="174" t="s">
        <v>335</v>
      </c>
      <c r="D269" s="175"/>
      <c r="E269" s="165"/>
      <c r="F269" s="346" t="str">
        <f>IF(E269="","",IF(AND('Quantification Tool R4'!$B$12="74b",'Quantification Tool R4'!$B$13&lt;=2),IF(E269&lt;0,0,IF(E269&gt;15.6,0.69,ROUND('Reference Standards'!$AL$54*E269^2+'Reference Standards'!$AL$55*E269+'Reference Standards'!$AL$56,2))),IF(AND('Quantification Tool R4'!$B$12="65abei",'Quantification Tool R4'!$B$13&lt;=2),IF(E269&lt;0,0,IF(E269&gt;=20,0.69,ROUND('Reference Standards'!$AM$54*E269^2+'Reference Standards'!$AM$55*E269+'Reference Standards'!$AM$56,2))),IF(OR(AND('Quantification Tool R4'!$B$12="74a",'Quantification Tool R4'!$B$13&gt;2,'Quantification Tool R4'!$B$19="January - June"),AND('Quantification Tool R4'!$B$12="71i",'Quantification Tool R4'!$B$13&gt;2,'Quantification Tool R4'!$B$20="SQBANK")),IF(E269&lt;0,0,IF(E269&gt;24.7,0.69,ROUND('Reference Standards'!$AN$54*E269^2+'Reference Standards'!$AN$55*E269+'Reference Standards'!$AN$56,2))),IF(OR('Quantification Tool R4'!$B$12="74b",'Quantification Tool R4'!$B$12="65abei"),IF(E269&lt;0,0,IF(E269&gt;32.7,0.69,ROUND('Reference Standards'!$AO$54*E269^2+'Reference Standards'!$AO$55*E269+'Reference Standards'!$AO$56,2))),IF(AND('Quantification Tool R4'!$B$12="68b",'Quantification Tool R4'!$B$13&gt;2),IF(E269&lt;0,0,IF(E269&gt;41.2,0.69,ROUND('Reference Standards'!$AP$54*E269^2+'Reference Standards'!$AP$55*E269+'Reference Standards'!$AP$56,2))),IF(OR(AND('Quantification Tool R4'!$B$12="71i",'Quantification Tool R4'!$B$13&lt;=2),AND(OR('Quantification Tool R4'!$B$12="68c",'Quantification Tool R4'!$B$12="68d"),'Quantification Tool R4'!$B$19="January - June")),IF(E269&lt;0,0,IF(E269&gt;49.2,0.69,ROUND('Reference Standards'!$AL$94*E269^2+'Reference Standards'!$AL$95*E269+'Reference Standards'!$AL$96,2))),IF(OR(AND('Quantification Tool R4'!$B$12="68a",'Quantification Tool R4'!$B$19="January - June"),AND(OR('Quantification Tool R4'!$B$12="68c",'Quantification Tool R4'!$B$12="68d"),'Quantification Tool R4'!$B$19="July - December")),IF(E269&lt;0,0,IF(E269&gt;53.4,0.69,ROUND('Reference Standards'!$AM$94*E269^2+'Reference Standards'!$AM$95*E269+'Reference Standards'!$AM$96,2))),IF(OR(AND('Quantification Tool R4'!$B$12="71i",'Quantification Tool R4'!$B$13&gt;2,'Quantification Tool R4'!$B$20="SQKICK"),AND(OR('Quantification Tool R4'!$B$12="67fhi",'Quantification Tool R4'!$B$12="67g"),'Quantification Tool R4'!$B$13&lt;=2),'Quantification Tool R4'!$B$12="65j"),IF(E269&lt;0,0,IF(E269&gt;57.8,0.69,ROUND('Reference Standards'!$AN$94*E269^2+'Reference Standards'!$AN$95*E269+'Reference Standards'!$AN$96,2))),IF(OR(AND('Quantification Tool R4'!$B$12="74a",'Quantification Tool R4'!$B$13&gt;2,'Quantification Tool R4'!$B$19="July - December"),AND(OR('Quantification Tool R4'!$B$12="67fhi",'Quantification Tool R4'!$B$12="67g"),'Quantification Tool R4'!$B$13&gt;2),'Quantification Tool R4'!$B$12="69de"),IF(E269&lt;0,0,IF(E269&gt;62.5,0.69,ROUND('Reference Standards'!$AO$94*E269^2+'Reference Standards'!$AO$95*E269+'Reference Standards'!$AO$96,2))),  IF(OR('Quantification Tool R4'!$B$12="66d",'Quantification Tool R4'!$B$12="66e",'Quantification Tool R4'!$B$12="66ik",'Quantification Tool R4'!$B$12="71e",'Quantification Tool R4'!$B$12="71f",'Quantification Tool R4'!$B$12="71g",'Quantification Tool R4'!$B$12="71h"),IF(E269&lt;0,0,IF(E269&gt;66.5,0.69,ROUND('Reference Standards'!$AP$94*E269^2+'Reference Standards'!$AP$95*E269+'Reference Standards'!$AP$96,2))),IF(OR('Quantification Tool R4'!$B$12="66f",'Quantification Tool R4'!$B$12="66g",'Quantification Tool R4'!$B$12="66j",AND('Quantification Tool R4'!$B$12="68a",'Quantification Tool R4'!$B$19="July - December")), IF(E269&lt;0,0,IF(E269&gt;69,0.69,ROUND('Reference Standards'!$AQ$94*E269^2+'Reference Standards'!$AQ$95*E269+'Reference Standards'!$AQ$96,2))))   )))))))))))</f>
        <v/>
      </c>
      <c r="G269" s="531"/>
      <c r="H269" s="568"/>
      <c r="I269" s="519"/>
      <c r="J269" s="559"/>
      <c r="K269" s="555"/>
      <c r="L269" s="21"/>
    </row>
    <row r="270" spans="1:12" ht="15.6" x14ac:dyDescent="0.3">
      <c r="A270" s="556"/>
      <c r="B270" s="561"/>
      <c r="C270" s="174" t="s">
        <v>339</v>
      </c>
      <c r="D270" s="175"/>
      <c r="E270" s="165"/>
      <c r="F270" s="346" t="str">
        <f>IF(E270="","",IF(AND('Quantification Tool R4'!$B$12="74b",'Quantification Tool R4'!$B$13&lt;=2),IF(E270&lt;0,0,IF(E270&gt;8.1,0.69,ROUND('Reference Standards'!$AL$131*E270^2+'Reference Standards'!$AL$132*E270+'Reference Standards'!$AL$133,2))),IF(OR('Quantification Tool R4'!$B$12="73a",'Quantification Tool R4'!$B$12="73b"),IF(E270&lt;0,0,IF(E270&gt;=28,0.69,ROUND('Reference Standards'!$AM$131*E270^2+'Reference Standards'!$AM$132*E270+'Reference Standards'!$AM$133,2))),IF(AND('Quantification Tool R4'!$B$12="74a",'Quantification Tool R4'!$B$13&gt;2,'Quantification Tool R4'!$B$19="January - June"),IF(E270&lt;0,0,IF(E270&gt;=32.5,0.69,ROUND('Reference Standards'!$AN$131*E270^2+'Reference Standards'!$AN$132*E270+'Reference Standards'!$AN$133,2))),IF(AND('Quantification Tool R4'!$B$12="71i",'Quantification Tool R4'!$B$13&gt;2,'Quantification Tool R4'!$B$20="SQBANK"),IF(E270&lt;0,0,IF(E270&gt;=37,0.69,ROUND('Reference Standards'!$AO$131*E270^2+'Reference Standards'!$AO$132*E270+'Reference Standards'!$AO$133,2))),IF(OR(AND(OR('Quantification Tool R4'!$B$12="65abei",'Quantification Tool R4'!$B$12="74b"),'Quantification Tool R4'!$B$13&gt;2),AND('Quantification Tool R4'!$B$12="71i",'Quantification Tool R4'!$B$13&gt;2,'Quantification Tool R4'!$B$20="SQKICK")),IF(E270&lt;0,0,IF(E270&gt;42.6,0.69,ROUND('Reference Standards'!$AP$131*E270^2+'Reference Standards'!$AP$132*E270+'Reference Standards'!$AP$133,2))),     IF(OR(AND('Quantification Tool R4'!$B$12="65abei",'Quantification Tool R4'!$B$13&lt;=2),AND(OR('Quantification Tool R4'!$B$12="68c",'Quantification Tool R4'!$B$12="68d"),'Quantification Tool R4'!$B$19="July - December"),'Quantification Tool R4'!$B$12="71e"),IF(E270&lt;0,0,IF(E270&gt;=48,0.69,ROUND('Reference Standards'!$AL$171*E270^2+'Reference Standards'!$AL$172*E270+'Reference Standards'!$AL$173,2))),IF(OR('Quantification Tool R4'!$B$12="65j",'Quantification Tool R4'!$B$12="67fhi",'Quantification Tool R4'!$B$12="67g",AND('Quantification Tool R4'!$B$12="74a",'Quantification Tool R4'!$B$19="July - December",'Quantification Tool R4'!$B$13&gt;2),AND('Quantification Tool R4'!$B$12="71i",'Quantification Tool R4'!$B$13&lt;=2)),IF(E270&lt;0,0,IF(E270&gt;=53,0.69,ROUND('Reference Standards'!$AM$171*E270^2+'Reference Standards'!$AM$172*E270+'Reference Standards'!$AM$173,2))),IF(OR(AND(OR('Quantification Tool R4'!$B$12="68b",'Quantification Tool R4'!$B$12="71f",'Quantification Tool R4'!$B$12="71g",'Quantification Tool R4'!$B$12="71h"),'Quantification Tool R4'!$B$13&gt;2),'Quantification Tool R4'!$B$12="68a"),IF(E270&lt;0,0,IF(E270&gt;=57,0.69,ROUND('Reference Standards'!$AN$171*E270^2+'Reference Standards'!$AN$172*E270+'Reference Standards'!$AN$173,2))),IF(OR('Quantification Tool R4'!$B$12="66f",'Quantification Tool R4'!$B$12="66g",'Quantification Tool R4'!$B$12="66j",AND(OR('Quantification Tool R4'!$B$12="71f",'Quantification Tool R4'!$B$12="71g",'Quantification Tool R4'!$B$12="71h"),'Quantification Tool R4'!$B$13&lt;=2)),IF(E270&lt;0,0,IF(E270&gt;=60,0.69,ROUND('Reference Standards'!$AO$171*E270^2+'Reference Standards'!$AO$172*E270+'Reference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December")),IF(E270&lt;0,0,IF(E270&gt;=67.5,0.69,ROUND('Reference Standards'!$AP$171*E270^2+'Reference Standards'!$AP$172*E270+'Reference Standards'!$AP$173,2))),IF(AND('Quantification Tool R4'!$B$12="69de",'Quantification Tool R4'!$B$19="January - June"), IF(E270&lt;0,0,IF(E270&gt;=72,0.69,ROUND('Reference Standards'!$AQ$171*E270^2+'Reference Standards'!$AQ$172*E270+'Reference Standards'!$AQ$173,2))))   )))))))))))</f>
        <v/>
      </c>
      <c r="G270" s="531"/>
      <c r="H270" s="568"/>
      <c r="I270" s="519"/>
      <c r="J270" s="559"/>
      <c r="K270" s="555"/>
      <c r="L270" s="21"/>
    </row>
    <row r="271" spans="1:12" ht="15.6" x14ac:dyDescent="0.3">
      <c r="A271" s="556"/>
      <c r="B271" s="562"/>
      <c r="C271" s="127" t="s">
        <v>336</v>
      </c>
      <c r="D271" s="71"/>
      <c r="E271" s="167"/>
      <c r="F271" s="346" t="str">
        <f>IF(E271="","",IF(OR('Quantification Tool R4'!$B$12="67fhi",'Quantification Tool R4'!$B$12="67g",'Quantification Tool R4'!$B$12="71e",'Quantification Tool R4'!$B$12="73a",'Quantification Tool R4'!$B$12="73b",AND(OR('Quantification Tool R4'!$B$12="71f",'Quantification Tool R4'!$B$12="71g",'Quantification Tool R4'!$B$12="71h"),'Quantification Tool R4'!$B$13&gt;2)),IF(E271&gt;100,0,IF(E271&lt;15,0.69,ROUND('Reference Standards'!$AL$208*E271^2+'Reference Standards'!$AL$209*E271+'Reference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),IF(E271&gt;100,0,IF(E271&lt;19,0.69,ROUND('Reference Standards'!$AM$208*E271^2+'Reference Standards'!$AM$209*E271+'Reference Standards'!$AM$210,2))),    IF(OR(AND('Quantification Tool R4'!$B$12="69de",'Quantification Tool R4'!$B$19="January - June"),AND('Quantification Tool R4'!$B$12="71i",'Quantification Tool R4'!$B$13&gt;2,'Quantification Tool R4'!$B$20="SQKICK" )),IF(E271&gt;100,0,IF(E271&lt;22,0.69,ROUND('Reference Standards'!$AN$208*E271^2+'Reference Standards'!$AN$209*E271+'Reference Standards'!$AN$210,2))),    IF(OR('Quantification Tool R4'!$B$12="65j",AND('Quantification Tool R4'!$B$12="68b",'Quantification Tool R4'!$B$13&gt;2)),IF(E271&gt;100,0,IF(E271&lt;24,0.69,ROUND('Reference Standards'!$AO$208*E271^2+'Reference Standards'!$AO$209*E271+'Reference Standards'!$AO$210,2))),    IF(AND(OR('Quantification Tool R4'!$B$12="65abei",'Quantification Tool R4'!$B$12="71f",'Quantification Tool R4'!$B$12="71g",'Quantification Tool R4'!$B$12="71h"),'Quantification Tool R4'!$B$13&lt;=2),IF(E271&gt;95,0,IF(E271&lt;33,0.69,ROUND('Reference Standards'!$AL$246*E271^2+'Reference Standards'!$AL$247*E271+'Reference Standards'!$AL$248,2))),   IF(AND(OR('Quantification Tool R4'!$B$12="65abei",'Quantification Tool R4'!$B$12="74b"),'Quantification Tool R4'!$B$13&gt;2),IF(E271&gt;97,0,IF(E271&lt;36,0.69,ROUND('Reference Standards'!$AM$246*E271^2+'Reference Standards'!$AM$247*E271+'Reference Standards'!$AM$248,2))),  IF(AND('Quantification Tool R4'!$B$12="74a",'Quantification Tool R4'!$B$19="January - June",'Quantification Tool R4'!$B$13&gt;2),IF(E271&gt;93,0,IF(E271&lt;52,0.69,ROUND('Reference Standards'!$AN$246*E271^2+'Reference Standards'!$AN$247*E271+'Reference Standards'!$AN$248,2))),   IF(AND('Quantification Tool R4'!$B$12="74b",'Quantification Tool R4'!$B$13&lt;=2),IF(E271&gt;97,0,IF(E271&lt;62,0.69,ROUND('Reference Standards'!$AO$246*E271^2+'Reference Standards'!$AO$247*E271+'Reference Standards'!$AO$248,2)))  )))))))))</f>
        <v/>
      </c>
      <c r="G271" s="531"/>
      <c r="H271" s="568"/>
      <c r="I271" s="519"/>
      <c r="J271" s="559"/>
      <c r="K271" s="555"/>
      <c r="L271" s="21"/>
    </row>
    <row r="272" spans="1:12" ht="15.6" x14ac:dyDescent="0.3">
      <c r="A272" s="556"/>
      <c r="B272" s="563" t="s">
        <v>74</v>
      </c>
      <c r="C272" s="125" t="s">
        <v>211</v>
      </c>
      <c r="D272" s="126"/>
      <c r="E272" s="166"/>
      <c r="F272" s="345" t="str">
        <f>IF(E272="","",IF(E272=1,0.15,IF(E272=3,0.5,IF(E272=5,0.85,0))))</f>
        <v/>
      </c>
      <c r="G272" s="564" t="str">
        <f>IFERROR(AVERAGE(F272:F273),"")</f>
        <v/>
      </c>
      <c r="H272" s="568"/>
      <c r="I272" s="519"/>
      <c r="J272" s="559"/>
      <c r="K272" s="555"/>
      <c r="L272" s="21"/>
    </row>
    <row r="273" spans="1:12" ht="15.6" x14ac:dyDescent="0.3">
      <c r="A273" s="551"/>
      <c r="B273" s="563"/>
      <c r="C273" s="127" t="s">
        <v>332</v>
      </c>
      <c r="D273" s="71"/>
      <c r="E273" s="167"/>
      <c r="F273" s="347" t="str">
        <f>IF(E273="","",IF(E273=1,0.15,IF(E273=3,0.5,IF(E273=5,0.85,0))))</f>
        <v/>
      </c>
      <c r="G273" s="565"/>
      <c r="H273" s="568"/>
      <c r="I273" s="519"/>
      <c r="J273" s="559"/>
      <c r="K273" s="555"/>
      <c r="L273" s="21"/>
    </row>
    <row r="274" spans="1:12" x14ac:dyDescent="0.3">
      <c r="L274" s="21"/>
    </row>
    <row r="275" spans="1:12" x14ac:dyDescent="0.3">
      <c r="L275" s="21"/>
    </row>
    <row r="276" spans="1:12" ht="21" x14ac:dyDescent="0.4">
      <c r="A276" s="148" t="s">
        <v>135</v>
      </c>
      <c r="B276" s="246"/>
      <c r="C276" s="249" t="s">
        <v>324</v>
      </c>
      <c r="D276" s="246"/>
      <c r="E276" s="247"/>
      <c r="F276" s="248"/>
      <c r="G276" s="544" t="s">
        <v>18</v>
      </c>
      <c r="H276" s="545"/>
      <c r="I276" s="545"/>
      <c r="J276" s="545"/>
      <c r="K276" s="546"/>
      <c r="L276" s="21"/>
    </row>
    <row r="277" spans="1:12" ht="15.6" x14ac:dyDescent="0.3">
      <c r="A277" s="158" t="s">
        <v>1</v>
      </c>
      <c r="B277" s="158" t="s">
        <v>2</v>
      </c>
      <c r="C277" s="542" t="s">
        <v>3</v>
      </c>
      <c r="D277" s="644"/>
      <c r="E277" s="158" t="s">
        <v>15</v>
      </c>
      <c r="F277" s="158" t="s">
        <v>16</v>
      </c>
      <c r="G277" s="158" t="s">
        <v>19</v>
      </c>
      <c r="H277" s="158" t="s">
        <v>20</v>
      </c>
      <c r="I277" s="314" t="s">
        <v>20</v>
      </c>
      <c r="J277" s="158" t="s">
        <v>21</v>
      </c>
      <c r="K277" s="158" t="s">
        <v>21</v>
      </c>
    </row>
    <row r="278" spans="1:12" ht="15.6" x14ac:dyDescent="0.3">
      <c r="A278" s="540" t="s">
        <v>60</v>
      </c>
      <c r="B278" s="299" t="s">
        <v>86</v>
      </c>
      <c r="C278" s="52" t="s">
        <v>388</v>
      </c>
      <c r="D278" s="52"/>
      <c r="E278" s="162"/>
      <c r="F278" s="338" t="str">
        <f>IF(E278="","",IF(E278&lt;=0,0,IF(E278&gt;=0.95,1,ROUND('Reference Standards'!C$14*E278+'Reference Standards'!C$15,2))))</f>
        <v/>
      </c>
      <c r="G278" s="83" t="str">
        <f>IFERROR(AVERAGE(F278),"")</f>
        <v/>
      </c>
      <c r="H278" s="522" t="str">
        <f>IFERROR(ROUND(AVERAGE(G278:G279),2),"")</f>
        <v/>
      </c>
      <c r="I278" s="519" t="str">
        <f>IF(H278="","",IF(H278&gt;0.69,"Functioning",IF(H278&gt;0.29,"Functioning At Risk",IF(H278&gt;-1,"Not Functioning"))))</f>
        <v/>
      </c>
      <c r="J278" s="559" t="str">
        <f>IF(AND(H278="",H280="",H282="",H304="",H308=""),"",ROUND((IF(H278="",0,H278)*0.2)+(IF(H280="",0,H280)*0.2)+(IF(H282="",0,H282)*0.2)+(IF(H304="",0,H304)*0.2)+(IF(H308="",0,H308)*0.2),2))</f>
        <v/>
      </c>
      <c r="K278" s="555" t="str">
        <f>IF(J278="","",IF(J278&lt;0.3, "Not Functioning",IF(OR(H278&lt;0.7,H280&lt;0.7,H282&lt;0.7,H304&lt;0.7,H308&lt;0.7),"Functioning At Risk",IF(J278&lt;0.7,"Functioning At Risk","Functioning"))))</f>
        <v/>
      </c>
    </row>
    <row r="279" spans="1:12" ht="15.6" x14ac:dyDescent="0.3">
      <c r="A279" s="541"/>
      <c r="B279" s="371" t="s">
        <v>128</v>
      </c>
      <c r="C279" s="373" t="s">
        <v>161</v>
      </c>
      <c r="D279" s="374"/>
      <c r="E279" s="43"/>
      <c r="F279" s="372" t="str">
        <f>IF(E279="","",IF(E279&gt;=1,1,IF(E279&lt;=0,0,ROUND(E279,2))))</f>
        <v/>
      </c>
      <c r="G279" s="367" t="str">
        <f>IFERROR(AVERAGE(F279:F279),"")</f>
        <v/>
      </c>
      <c r="H279" s="523"/>
      <c r="I279" s="519"/>
      <c r="J279" s="559"/>
      <c r="K279" s="555"/>
    </row>
    <row r="280" spans="1:12" ht="15.6" x14ac:dyDescent="0.3">
      <c r="A280" s="524" t="s">
        <v>6</v>
      </c>
      <c r="B280" s="572" t="s">
        <v>7</v>
      </c>
      <c r="C280" s="54" t="s">
        <v>8</v>
      </c>
      <c r="D280" s="54"/>
      <c r="E280" s="162"/>
      <c r="F280" s="339" t="str">
        <f>IF(E280="","",ROUND(IF(E280&gt;1.6,0,IF(E280&lt;=1,1,E280^2*'Reference Standards'!K$14+E280*'Reference Standards'!K$15+'Reference Standards'!K$16)),2))</f>
        <v/>
      </c>
      <c r="G280" s="579" t="str">
        <f>IFERROR(AVERAGE(F280:F281),"")</f>
        <v/>
      </c>
      <c r="H280" s="579" t="str">
        <f>IFERROR(ROUND(AVERAGE(G280),2),"")</f>
        <v/>
      </c>
      <c r="I280" s="569" t="str">
        <f>IF(H280="","",IF(H280&gt;0.69,"Functioning",IF(H280&gt;0.29,"Functioning At Risk",IF(H280&gt;-1,"Not Functioning"))))</f>
        <v/>
      </c>
      <c r="J280" s="559"/>
      <c r="K280" s="555"/>
    </row>
    <row r="281" spans="1:12" ht="15.6" x14ac:dyDescent="0.3">
      <c r="A281" s="525"/>
      <c r="B281" s="572"/>
      <c r="C281" s="54" t="s">
        <v>9</v>
      </c>
      <c r="D281" s="54"/>
      <c r="E281" s="163"/>
      <c r="F281" s="339" t="str">
        <f>IF(E281="","",(IF(OR('Quantification Tool R4'!B$11="A",'Quantification Tool R4'!B$11="B",'Quantification Tool R4'!$B$11="Bc"),IF(E281&lt;1.2,0,IF(E281&gt;=2.2,1,ROUND(IF(E281&lt;1.4,E281*'Reference Standards'!$K$84+'Reference Standards'!$K$85,E281*'Reference Standards'!$L$84+'Reference Standards'!$L$85),2))),IF(OR('Quantification Tool R4'!B$11="C",'Quantification Tool R4'!B$11="E"),IF(E281&lt;2,0,IF(E281&gt;=5,1,ROUND(IF(E281&lt;2.4,E281*'Reference Standards'!$L$49+'Reference Standards'!$L$50,E281*'Reference Standards'!$K$49+'Reference Standards'!$K$50),2)))))))</f>
        <v/>
      </c>
      <c r="G281" s="581"/>
      <c r="H281" s="580"/>
      <c r="I281" s="570"/>
      <c r="J281" s="559"/>
      <c r="K281" s="555"/>
    </row>
    <row r="282" spans="1:12" ht="15.6" x14ac:dyDescent="0.3">
      <c r="A282" s="526" t="s">
        <v>26</v>
      </c>
      <c r="B282" s="557" t="s">
        <v>27</v>
      </c>
      <c r="C282" s="60" t="s">
        <v>333</v>
      </c>
      <c r="D282" s="244"/>
      <c r="E282" s="61"/>
      <c r="F282" s="340" t="str">
        <f>IF(E282="","",IF(OR(LEFT('Quantification Tool R4'!$B$12,2)="65",LEFT('Quantification Tool R4'!$B$12,2)="66",LEFT('Quantification Tool R4'!$B$12,2)="71"),IF(E282&gt;=850,1,IF(E282&lt;250,ROUND('Reference Standards'!$S$17*(E282)+'Reference Standards'!$S$18,2),ROUND('Reference Standards'!$T$17*E282+'Reference Standards'!$T$18,2))),  IF(E282&gt;=345,1,IF(E282&lt;=180,ROUND('Reference Standards'!$U$17*(E282)+'Reference Standards'!$U$18,2),ROUND('Reference Standards'!$V$17*E282+'Reference Standards'!$V$18,2))))    )</f>
        <v/>
      </c>
      <c r="G282" s="528" t="str">
        <f>IFERROR(AVERAGE(F282:F283),"")</f>
        <v/>
      </c>
      <c r="H282" s="566" t="str">
        <f>IFERROR(ROUND(AVERAGE(G282:G303),2),"")</f>
        <v/>
      </c>
      <c r="I282" s="555" t="str">
        <f>IF(H282="","",IF(H282&gt;0.69,"Functioning",IF(H282&gt;0.29,"Functioning At Risk",IF(H282&gt;-1,"Not Functioning"))))</f>
        <v/>
      </c>
      <c r="J282" s="559"/>
      <c r="K282" s="555"/>
    </row>
    <row r="283" spans="1:12" ht="15.6" x14ac:dyDescent="0.3">
      <c r="A283" s="520"/>
      <c r="B283" s="558"/>
      <c r="C283" s="63" t="s">
        <v>323</v>
      </c>
      <c r="D283" s="245"/>
      <c r="E283" s="53"/>
      <c r="F283" s="341" t="str">
        <f>IF(E283="","",IF(OR(LEFT('Quantification Tool R4'!$B$12,2)="65",LEFT('Quantification Tool R4'!$B$12,2)="66",LEFT('Quantification Tool R4'!$B$12,2)="71"),IF(E283&gt;=30,1,IF(E283&lt;13,ROUND('Reference Standards'!$S$53*(E283)+'Reference Standards'!$S$54,2),ROUND('Reference Standards'!$T$53*E283+'Reference Standards'!$T$54,2))),  IF(E283&gt;=16,1,IF(E283&lt;=9,ROUND('Reference Standards'!$U$53*(E283)+'Reference Standards'!$U$54,2),ROUND('Reference Standards'!$V$53*E283+'Reference Standards'!$V$54,2))))    )</f>
        <v/>
      </c>
      <c r="G283" s="530"/>
      <c r="H283" s="566"/>
      <c r="I283" s="555"/>
      <c r="J283" s="559"/>
      <c r="K283" s="555"/>
    </row>
    <row r="284" spans="1:12" ht="15.6" x14ac:dyDescent="0.3">
      <c r="A284" s="520"/>
      <c r="B284" s="520" t="s">
        <v>395</v>
      </c>
      <c r="C284" s="58" t="s">
        <v>80</v>
      </c>
      <c r="D284" s="58"/>
      <c r="E284" s="165"/>
      <c r="F284" s="340" t="str">
        <f>IF(E284="","",ROUND(IF(E284&gt;0.7,0,IF(E284&lt;=0.1,1,E284^3*'Reference Standards'!S$87+E284^2*'Reference Standards'!S$88+E284*'Reference Standards'!S$89+'Reference Standards'!S$90)),2))</f>
        <v/>
      </c>
      <c r="G284" s="528" t="str">
        <f>IFERROR(ROUND(AVERAGE(F284:F287),2),"")</f>
        <v/>
      </c>
      <c r="H284" s="567"/>
      <c r="I284" s="555"/>
      <c r="J284" s="559"/>
      <c r="K284" s="555"/>
    </row>
    <row r="285" spans="1:12" ht="15.6" x14ac:dyDescent="0.3">
      <c r="A285" s="520"/>
      <c r="B285" s="520"/>
      <c r="C285" s="58" t="s">
        <v>49</v>
      </c>
      <c r="D285" s="58"/>
      <c r="E285" s="165"/>
      <c r="F285" s="84"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529"/>
      <c r="H285" s="567"/>
      <c r="I285" s="555"/>
      <c r="J285" s="559"/>
      <c r="K285" s="555"/>
    </row>
    <row r="286" spans="1:12" ht="15.6" x14ac:dyDescent="0.3">
      <c r="A286" s="520"/>
      <c r="B286" s="520"/>
      <c r="C286" s="58" t="s">
        <v>87</v>
      </c>
      <c r="D286" s="58"/>
      <c r="E286" s="165"/>
      <c r="F286" s="84" t="str">
        <f>IF(E286="","",ROUND(IF(E286&gt;40,0,IF(E286&lt;5,1,E286^3*'Reference Standards'!S$122+E286^2*'Reference Standards'!S$123+E286*'Reference Standards'!S$124+'Reference Standards'!S$125)),2))</f>
        <v/>
      </c>
      <c r="G286" s="529"/>
      <c r="H286" s="567"/>
      <c r="I286" s="555"/>
      <c r="J286" s="559"/>
      <c r="K286" s="555"/>
    </row>
    <row r="287" spans="1:12" ht="15.6" x14ac:dyDescent="0.3">
      <c r="A287" s="520"/>
      <c r="B287" s="521"/>
      <c r="C287" s="59" t="s">
        <v>394</v>
      </c>
      <c r="D287" s="59"/>
      <c r="E287" s="167"/>
      <c r="F287" s="341" t="str">
        <f>IF(E287="","",ROUND(IF(E287&gt;=30,0,IF(E287&lt;=0,1,E287*'Reference Standards'!S$156+'Reference Standards'!S$157)),2))</f>
        <v/>
      </c>
      <c r="G287" s="530"/>
      <c r="H287" s="567"/>
      <c r="I287" s="555"/>
      <c r="J287" s="559"/>
      <c r="K287" s="555"/>
    </row>
    <row r="288" spans="1:12" ht="15.6" x14ac:dyDescent="0.3">
      <c r="A288" s="520"/>
      <c r="B288" s="520" t="s">
        <v>50</v>
      </c>
      <c r="C288" s="60" t="s">
        <v>377</v>
      </c>
      <c r="D288" s="64"/>
      <c r="E288" s="136"/>
      <c r="F288" s="294" t="str">
        <f>IF(E288="","",ROUND(IF(E288&gt;9.2,1,E288*'Reference Standards'!$S$189+'Reference Standards'!$S$190),2))</f>
        <v/>
      </c>
      <c r="G288" s="552" t="str">
        <f>IFERROR(ROUND(AVERAGE(F288:F297),2),"")</f>
        <v/>
      </c>
      <c r="H288" s="567"/>
      <c r="I288" s="555"/>
      <c r="J288" s="559"/>
      <c r="K288" s="555"/>
    </row>
    <row r="289" spans="1:13" ht="15.6" x14ac:dyDescent="0.3">
      <c r="A289" s="520"/>
      <c r="B289" s="520"/>
      <c r="C289" s="62" t="s">
        <v>378</v>
      </c>
      <c r="D289" s="58"/>
      <c r="E289" s="162"/>
      <c r="F289" s="294" t="str">
        <f>IF(E289="","",ROUND(IF(E289&gt;9.2,1,E289*'Reference Standards'!$S$189+'Reference Standards'!$S$190),2))</f>
        <v/>
      </c>
      <c r="G289" s="553"/>
      <c r="H289" s="567"/>
      <c r="I289" s="555"/>
      <c r="J289" s="559"/>
      <c r="K289" s="555"/>
    </row>
    <row r="290" spans="1:13" ht="15.6" x14ac:dyDescent="0.3">
      <c r="A290" s="520"/>
      <c r="B290" s="520"/>
      <c r="C290" s="62" t="s">
        <v>379</v>
      </c>
      <c r="D290" s="58"/>
      <c r="E290" s="162"/>
      <c r="F290" s="294" t="str">
        <f>IF(E290="","",ROUND( IF(E290&gt;=200,1,IF(E290&lt;50, E290^2*'Reference Standards'!S$224+E290*'Reference Standards'!S$225+'Reference Standards'!S$226, E290*'Reference Standards'!T$224+'Reference Standards'!T$225)),2))</f>
        <v/>
      </c>
      <c r="G290" s="553"/>
      <c r="H290" s="567"/>
      <c r="I290" s="555"/>
      <c r="J290" s="559"/>
      <c r="K290" s="555"/>
    </row>
    <row r="291" spans="1:13" ht="15.6" x14ac:dyDescent="0.3">
      <c r="A291" s="520"/>
      <c r="B291" s="520"/>
      <c r="C291" s="62" t="s">
        <v>380</v>
      </c>
      <c r="D291" s="58"/>
      <c r="E291" s="162"/>
      <c r="F291" s="294" t="str">
        <f>IF(E291="","",ROUND( IF(E291&gt;=200,1,IF(E291&lt;50, E291^2*'Reference Standards'!S$224+E291*'Reference Standards'!S$225+'Reference Standards'!S$226, E291*'Reference Standards'!T$224+'Reference Standards'!T$225)),2))</f>
        <v/>
      </c>
      <c r="G291" s="553"/>
      <c r="H291" s="567"/>
      <c r="I291" s="555"/>
      <c r="J291" s="559"/>
      <c r="K291" s="555"/>
    </row>
    <row r="292" spans="1:13" ht="15.6" x14ac:dyDescent="0.3">
      <c r="A292" s="520"/>
      <c r="B292" s="520"/>
      <c r="C292" s="58" t="s">
        <v>381</v>
      </c>
      <c r="D292" s="58"/>
      <c r="E292" s="162"/>
      <c r="F292" s="294" t="str">
        <f>IF(E292="","",ROUND(IF(AND(E292&gt;=135,E292&lt;=262),1,IF(  E292&gt;=366,0.5, IF(E292&lt;135,E292*'Reference Standards'!S$259+'Reference Standards'!S$260, E292*'Reference Standards'!T$259+'Reference Standards'!T$260))),2))</f>
        <v/>
      </c>
      <c r="G292" s="553"/>
      <c r="H292" s="567"/>
      <c r="I292" s="555"/>
      <c r="J292" s="559"/>
      <c r="K292" s="555"/>
    </row>
    <row r="293" spans="1:13" ht="15.6" x14ac:dyDescent="0.3">
      <c r="A293" s="520"/>
      <c r="B293" s="520"/>
      <c r="C293" s="58" t="s">
        <v>382</v>
      </c>
      <c r="D293" s="58"/>
      <c r="E293" s="162"/>
      <c r="F293" s="294" t="str">
        <f>IF(E293="","",ROUND(IF(AND(E293&gt;=135,E293&lt;=262),1,IF(  E293&gt;=366,0.5, IF(E293&lt;135,E293*'Reference Standards'!S$259+'Reference Standards'!S$260, E293*'Reference Standards'!T$259+'Reference Standards'!T$260))),2))</f>
        <v/>
      </c>
      <c r="G293" s="553"/>
      <c r="H293" s="567"/>
      <c r="I293" s="555"/>
      <c r="J293" s="559"/>
      <c r="K293" s="555"/>
    </row>
    <row r="294" spans="1:13" ht="15.6" x14ac:dyDescent="0.3">
      <c r="A294" s="520"/>
      <c r="B294" s="520"/>
      <c r="C294" s="58" t="s">
        <v>383</v>
      </c>
      <c r="D294" s="58"/>
      <c r="E294" s="162"/>
      <c r="F294" s="84" t="str">
        <f>IF(E294="","",ROUND(IF(E294&gt;=75,1,IF(E294&lt;=0,0,E294*'Reference Standards'!S$330)),2))</f>
        <v/>
      </c>
      <c r="G294" s="553"/>
      <c r="H294" s="567"/>
      <c r="I294" s="555"/>
      <c r="J294" s="559"/>
      <c r="K294" s="555"/>
    </row>
    <row r="295" spans="1:13" ht="15.6" x14ac:dyDescent="0.3">
      <c r="A295" s="520"/>
      <c r="B295" s="520"/>
      <c r="C295" s="58" t="s">
        <v>384</v>
      </c>
      <c r="D295" s="58"/>
      <c r="E295" s="162"/>
      <c r="F295" s="84" t="str">
        <f>IF(E295="","",ROUND(IF(E295&gt;=75,1,IF(E295&lt;=0,0,E295*'Reference Standards'!S$330)),2))</f>
        <v/>
      </c>
      <c r="G295" s="553"/>
      <c r="H295" s="567"/>
      <c r="I295" s="555"/>
      <c r="J295" s="559"/>
      <c r="K295" s="555"/>
    </row>
    <row r="296" spans="1:13" ht="15.6" x14ac:dyDescent="0.3">
      <c r="A296" s="520"/>
      <c r="B296" s="520"/>
      <c r="C296" s="58" t="s">
        <v>385</v>
      </c>
      <c r="D296" s="58"/>
      <c r="E296" s="162"/>
      <c r="F296" s="294" t="str">
        <f>IF(E296="","",ROUND(IF(AND(E296&gt;=36.3,E296&lt;=68),1,IF(E296&gt;100,0,IF(E296&lt;36.3,(('Reference Standards'!S$297*(E296^2))+('Reference Standards'!S$298*E296)+'Reference Standards'!S$299),IF(E296&gt;68,(('Reference Standards'!T$297*(E296^2))+('Reference Standards'!T$298*E296)+'Reference Standards'!T$299))))),2))</f>
        <v/>
      </c>
      <c r="G296" s="553"/>
      <c r="H296" s="567"/>
      <c r="I296" s="555"/>
      <c r="J296" s="559"/>
      <c r="K296" s="555"/>
      <c r="M296" s="21"/>
    </row>
    <row r="297" spans="1:13" ht="15.6" x14ac:dyDescent="0.3">
      <c r="A297" s="520"/>
      <c r="B297" s="521"/>
      <c r="C297" s="58" t="s">
        <v>386</v>
      </c>
      <c r="D297" s="65"/>
      <c r="E297" s="162"/>
      <c r="F297" s="294" t="str">
        <f>IF(E297="","",ROUND(IF(AND(E297&gt;=36.3,E297&lt;=68),1,IF(E297&gt;100,0,IF(E297&lt;36.3,(('Reference Standards'!S$297*(E297^2))+('Reference Standards'!S$298*E297)+'Reference Standards'!S$299),IF(E297&gt;68,(('Reference Standards'!T$297*(E297^2))+('Reference Standards'!T$298*E297)+'Reference Standards'!T$299))))),2))</f>
        <v/>
      </c>
      <c r="G297" s="554"/>
      <c r="H297" s="567"/>
      <c r="I297" s="555"/>
      <c r="J297" s="559"/>
      <c r="K297" s="555"/>
    </row>
    <row r="298" spans="1:13" ht="15.6" x14ac:dyDescent="0.3">
      <c r="A298" s="520"/>
      <c r="B298" s="56" t="s">
        <v>108</v>
      </c>
      <c r="C298" s="72" t="s">
        <v>130</v>
      </c>
      <c r="D298" s="58"/>
      <c r="E298" s="43"/>
      <c r="F298" s="82" t="str">
        <f>IF(E298="","",IF(OR('Quantification Tool R4'!B$14="Gravel",'Quantification Tool R4'!B$14="Cobble"),IF(E298&gt;0.1,1,IF(E298&lt;=0.01,0,ROUND(E298*'Reference Standards'!$S$362+'Reference Standards'!$S$363,2)))))</f>
        <v/>
      </c>
      <c r="G298" s="82" t="str">
        <f>IFERROR(AVERAGE(F298),"")</f>
        <v/>
      </c>
      <c r="H298" s="567"/>
      <c r="I298" s="555"/>
      <c r="J298" s="559"/>
      <c r="K298" s="555"/>
    </row>
    <row r="299" spans="1:13" ht="15.6" x14ac:dyDescent="0.3">
      <c r="A299" s="520"/>
      <c r="B299" s="526" t="s">
        <v>51</v>
      </c>
      <c r="C299" s="64" t="s">
        <v>52</v>
      </c>
      <c r="D299" s="64"/>
      <c r="E299" s="166"/>
      <c r="F299" s="337" t="str">
        <f>IF(E299="","",IF(ISNUMBER('Quantification Tool R4'!$B$17),IF('Quantification Tool R4'!$B$17&lt;=2,IF(AND(E299&gt;=3,E299&lt;=5),1,IF(OR(E299&lt;=1,E299&gt;=7),0,ROUND(IF(E299&lt;3,E299*'Reference Standards'!S$398+'Reference Standards'!S$399,E299*'Reference Standards'!T$398+'Reference Standards'!T$399),2))),IF(E299&lt;=2.5,1,IF(E299&gt;=5.8,0,ROUND(E299*'Reference Standards'!S$430+'Reference Standards'!S$431,2))))))</f>
        <v/>
      </c>
      <c r="G299" s="528" t="str">
        <f>IFERROR(AVERAGE(F299:F302),"")</f>
        <v/>
      </c>
      <c r="H299" s="567"/>
      <c r="I299" s="555"/>
      <c r="J299" s="559"/>
      <c r="K299" s="555"/>
    </row>
    <row r="300" spans="1:13" ht="15.6" x14ac:dyDescent="0.3">
      <c r="A300" s="520"/>
      <c r="B300" s="520"/>
      <c r="C300" s="58" t="s">
        <v>53</v>
      </c>
      <c r="D300" s="58"/>
      <c r="E300" s="165"/>
      <c r="F300" s="84" t="str">
        <f>IF(E300="","", IF( E300&gt;=2.4,1, IF(E300&lt;=1,0,  ROUND(IF(E300&lt;2.4, E300*'Reference Standards'!$S$464+'Reference Standards'!$S$465  ),2))))</f>
        <v/>
      </c>
      <c r="G300" s="529"/>
      <c r="H300" s="567"/>
      <c r="I300" s="555"/>
      <c r="J300" s="559"/>
      <c r="K300" s="555"/>
    </row>
    <row r="301" spans="1:13" ht="15.6" x14ac:dyDescent="0.3">
      <c r="A301" s="520"/>
      <c r="B301" s="520"/>
      <c r="C301" s="58" t="s">
        <v>334</v>
      </c>
      <c r="D301" s="58"/>
      <c r="E301" s="165"/>
      <c r="F301" s="390" t="str">
        <f>IF(E301="","", IF(LEFT('Quantification Tool R4'!$B$12,2)="67",  IF( AND(E301&gt;=45,E301&lt;=65),1, IF(OR(E301&lt;=20,E301&gt;=90),0, ROUND(  IF(E301&lt;45, E301*'Reference Standards'!$S$498+'Reference Standards'!$S$499,E301*'Reference Standards'!$T$498+'Reference Standards'!$T$499),2))), IF(OR(  LEFT('Quantification Tool R4'!$B$12,2)="68", LEFT('Quantification Tool R4'!$B$12,2)="69",LEFT('Quantification Tool R4'!$B$12,2)="71"),  IF( AND(E301&gt;=30,E301&lt;=50),1, IF(OR(E301&lt;=10,E301&gt;=70),0, ROUND(  IF(E301&lt;30, E301*'Reference Standards'!$S$533+'Reference Standards'!$S$534,E301*'Reference Standards'!$T$533+'Reference Standards'!$T$534),2))), IF(LEFT('Quantification Tool R4'!$B$12,2)="66",  IF( AND(E301&gt;=20,E301&lt;=45),1, IF(OR(E301&lt;=0,E301&gt;=90),0, ROUND(  IF(E301&lt;20, E301*'Reference Standards'!$S$567+'Reference Standards'!$S$568,E301*'Reference Standards'!$T$567+'Reference Standards'!$T$568),2))), IF(OR(  LEFT('Quantification Tool R4'!$B$12,2)="65", LEFT('Quantification Tool R4'!$B$12,2)="74", LEFT('Quantification Tool R4'!$B$12,2)="73"),  IF( AND(E301&gt;=20,E301&lt;=30),1, IF(OR(E301&lt;=0,E301&gt;=50),0, ROUND(  IF(E301&lt;20, E301*'Reference Standards'!$S$601+'Reference Standards'!$S$602,E301*'Reference Standards'!$T$601+'Reference Standards'!$T$602),2))))))))</f>
        <v/>
      </c>
      <c r="G301" s="529"/>
      <c r="H301" s="567"/>
      <c r="I301" s="555"/>
      <c r="J301" s="559"/>
      <c r="K301" s="555"/>
    </row>
    <row r="302" spans="1:13" ht="15.6" x14ac:dyDescent="0.3">
      <c r="A302" s="520"/>
      <c r="B302" s="521"/>
      <c r="C302" s="62" t="s">
        <v>210</v>
      </c>
      <c r="D302" s="58"/>
      <c r="E302" s="167"/>
      <c r="F302" s="391" t="str">
        <f>IF(E302="","",IF(E302&gt;=1.6,0,IF(E302&lt;=1,1,ROUND('Reference Standards'!$S$633*E302^3+'Reference Standards'!$S$634*E302^2+'Reference Standards'!$S$635*E302+'Reference Standards'!$S$636,2))))</f>
        <v/>
      </c>
      <c r="G302" s="530"/>
      <c r="H302" s="567"/>
      <c r="I302" s="555"/>
      <c r="J302" s="559"/>
      <c r="K302" s="555"/>
    </row>
    <row r="303" spans="1:13" ht="15.6" x14ac:dyDescent="0.3">
      <c r="A303" s="521"/>
      <c r="B303" s="296" t="s">
        <v>55</v>
      </c>
      <c r="C303" s="242" t="s">
        <v>54</v>
      </c>
      <c r="D303" s="243"/>
      <c r="E303" s="163"/>
      <c r="F303" s="342" t="str">
        <f>IF(E303="","",IF(AND('Quantification Tool R4'!B$11="E",'Quantification Tool R4'!$B$14="Sand",'Quantification Tool R4'!$B$21="Unconfined Alluvial"),ROUND(IF(OR(E303&gt;1.8,E303&lt;1.3),0,IF(E303&lt;=1.6,1,E303*'Reference Standards'!S$667+'Reference Standards'!S$668)),2),    IF('Quantification Tool R4'!$B$21="Unconfined Alluvial",ROUND(IF(OR(E303&lt;1.2, E303&gt;1.5),0,IF(E303&lt;=1.4,1,E303*'Reference Standards'!$S$700+'Reference Standards'!$S$701)),2), IF('Quantification Tool R4'!$B$21="Confined Alluvial",ROUND(IF(E303&lt;1.15,0,IF(E303&lt;=1.4,E303*'Reference Standards'!$S$729+'Reference Standards'!$S$730,1)),2),  IF('Quantification Tool R4'!$B$21="Colluvial",ROUND(IF(E303&gt;1.3,0,IF(E303&gt;1.2,E303*'Reference Standards'!$S$760+'Reference Standards'!$S$761,1)),2) )))))</f>
        <v/>
      </c>
      <c r="G303" s="84" t="str">
        <f>IFERROR(AVERAGE(F303),"")</f>
        <v/>
      </c>
      <c r="H303" s="567"/>
      <c r="I303" s="555"/>
      <c r="J303" s="559"/>
      <c r="K303" s="555"/>
      <c r="L303" s="13"/>
    </row>
    <row r="304" spans="1:13" ht="15.6" x14ac:dyDescent="0.3">
      <c r="A304" s="537" t="s">
        <v>58</v>
      </c>
      <c r="B304" s="67" t="s">
        <v>88</v>
      </c>
      <c r="C304" s="70" t="s">
        <v>338</v>
      </c>
      <c r="D304" s="70"/>
      <c r="E304" s="43"/>
      <c r="F304" s="343" t="str">
        <f>IF(E304="","",ROUND(IF(E304&gt;=942,0,IF(E304&lt;=487,E304*'Reference Standards'!AB$15+'Reference Standards'!AB$16,E304*'Reference Standards'!$AC$15+'Reference Standards'!$AC$16)),2))</f>
        <v/>
      </c>
      <c r="G304" s="85" t="str">
        <f>IFERROR(AVERAGE(F304),"")</f>
        <v/>
      </c>
      <c r="H304" s="547" t="str">
        <f>IFERROR(ROUND(AVERAGE(G304:G307),2),"")</f>
        <v/>
      </c>
      <c r="I304" s="534" t="str">
        <f>IF(H304="","",IF(H304&gt;0.69,"Functioning",IF(H304&gt;0.29,"Functioning At Risk",IF(H304&gt;-1,"Not Functioning"))))</f>
        <v/>
      </c>
      <c r="J304" s="559"/>
      <c r="K304" s="555"/>
      <c r="L304" s="13"/>
    </row>
    <row r="305" spans="1:12" ht="15.6" x14ac:dyDescent="0.3">
      <c r="A305" s="538"/>
      <c r="B305" s="297" t="s">
        <v>362</v>
      </c>
      <c r="C305" s="66" t="s">
        <v>354</v>
      </c>
      <c r="D305" s="66"/>
      <c r="E305" s="163"/>
      <c r="F305" s="344" t="str">
        <f>IF(E305="","",IF(OR('Quantification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June")),IF(E305&gt;93,0,IF(E305&lt;13,1,ROUND('Reference Standards'!$AB$53*E305^2+'Reference Standards'!$AB$54*E305+'Reference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R4'!$B$12="73b"),IF(E305&gt;94,0,IF(E305&lt;17,1,ROUND('Reference Standards'!$AC$53*E305^2+'Reference Standards'!$AC$54*E305+'Reference Standards'!$AC$55,2))),    IF(OR(AND(OR('Quantification Tool R4'!$B$12="68b",'Quantification Tool R4'!$B$12="71i"),'Quantification Tool R4'!$B$13&gt;2), 'Quantification Tool R4'!$B$12="71e"),IF(E305&gt;91,0,IF(E305&lt;24,1,ROUND('Reference Standards'!$AD$53*E305^2+'Reference Standards'!$AD$54*E305+'Reference Standards'!$AD$55,2))),  IF(OR(AND(OR('Quantification Tool R4'!$B$12="71f",'Quantification Tool R4'!$B$12="71g",'Quantification Tool R4'!$B$12="71h",'Quantification Tool R4'!$B$12="71i"),'Quantification Tool R4'!$B$13&lt;=2), AND('Quantification Tool R4'!$B$12="74a",'Quantification Tool R4'!$B$13&gt;2)),IF(E305&gt;95,0,IF(E305&lt;=36,1,ROUND('Reference Standards'!$AE$53*E305^2+'Reference Standards'!$AE$54*E305+'Reference Standards'!$AE$55,2))))))))</f>
        <v/>
      </c>
      <c r="G305" s="236" t="str">
        <f>IFERROR(AVERAGE(F305:F305),"")</f>
        <v/>
      </c>
      <c r="H305" s="548"/>
      <c r="I305" s="535"/>
      <c r="J305" s="559"/>
      <c r="K305" s="555"/>
      <c r="L305" s="21"/>
    </row>
    <row r="306" spans="1:12" ht="15.6" x14ac:dyDescent="0.3">
      <c r="A306" s="538"/>
      <c r="B306" s="67" t="s">
        <v>81</v>
      </c>
      <c r="C306" s="68" t="s">
        <v>281</v>
      </c>
      <c r="D306" s="68"/>
      <c r="E306" s="162"/>
      <c r="F306" s="344" t="str">
        <f>IF(E306="","",IF(ISNUMBER('Quantification Tool R4'!$B$13),IF(OR('Quantification Tool R4'!$B$12="66e",'Quantification Tool R4'!$B$12="66f",'Quantification Tool R4'!$B$12="66g"),ROUND(IF(E306&gt;=0.61,0,IF(E306&lt;=0.01,1,IF(E306&lt;=0.06,E306*'Reference Standards'!$AD$197+'Reference Standards'!$AD$198,E306^2*'Reference Standards'!$AB$196+E306*'Reference Standards'!$AB$197+'Reference Standards'!$AB$198))),2),IF('Quantification Tool R4'!$B$12="68b",ROUND(IF(E306&gt;=1.1,0,IF(E306&lt;=0.17,1,IF(E306&lt;=0.22,E306*'Reference Standards'!$AE$197+'Reference Standards'!$AE$198,E306^2*'Reference Standards'!$AC$196+E306*'Reference Standards'!$AC$197+'Reference Standards'!$AC$198))),2),IF('Quantification Tool R4'!$B$13&lt;=2.5,IF('Quantification Tool R4'!$B$12="69de",ROUND(IF(E306&gt;=0.22,0,IF(E306&lt;=0.01,1,E306^2*'Reference Standards'!$AB$90+E306*'Reference Standards'!$AB$91+'Reference Standards'!$AB$92)),2),IF('Quantification Tool R4'!$B$12="68c",ROUND(IF(E306&gt;=0.87,0,IF(E306&lt;=0.01,1,E306^2*'Reference Standards'!$AC$90+E306*'Reference Standards'!$AC$91+'Reference Standards'!$AC$92)),2),IF('Quantification Tool R4'!$B$12="68a",ROUND(IF(E306&gt;=0.81,0,IF(E306&lt;=0.01,1,E306^2*'Reference Standards'!$AD$90+E306*'Reference Standards'!$AD$91+'Reference Standards'!$AD$92)),2),IF('Quantification Tool R4'!$B$12="65abei",ROUND(IF(E306&gt;=0.67,0,IF(E306&lt;=0.01,1,IF(E306&lt;=0.18,E306*'Reference Standards'!$AG$91+'Reference Standards'!$AG$92,E306*'Reference Standards'!$AE$91+'Reference Standards'!$AE$92))),2),IF('Quantification Tool R4'!$B$12="65j",ROUND(IF(E306&gt;=0.32,0,IF(E306&lt;=0.01,1,IF(E306&lt;=0.25,E306*'Reference Standards'!$AH$91+'Reference Standards'!$AH$92,E306*'Reference Standards'!$AF$91+'Reference Standards'!$AF$92))),2),IF('Quantification Tool R4'!$B$12="71f",ROUND(IF(E306&gt;=3,0,IF(E306&lt;=0,1,IF(E306&lt;=0.01,0.7,E306^2*'Reference Standards'!$AB$126+E306*'Reference Standards'!$AB$127+'Reference Standards'!$AB$128))),2),IF('Quantification Tool R4'!$B$12="74a",ROUND(IF(E306&gt;=0.14,0,IF(E306&lt;=0.01,1,IF(E306&lt;=0.02,0.7,E306^2*'Reference Standards'!$AC$126+E306*'Reference Standards'!$AC$127+'Reference Standards'!$AC$128))),2),IF(OR('Quantification Tool R4'!$B$12="67fhi",'Quantification Tool R4'!$B$12="67g"),ROUND(IF(E306&gt;=1.9,0,IF(E306&lt;=0.01,1,IF(E306&lt;=0.05,E306*'Reference Standards'!$AF$127+'Reference Standards'!$AF$128,E306^2*'Reference Standards'!$AD$126+E306*'Reference Standards'!$AD$127+'Reference Standards'!$AD$128))),2),IF('Quantification Tool R4'!$B$12="73a",ROUND(IF(E306&gt;=1.44,0,IF(E306&lt;=0.01,1,IF(E306&lt;=0.12,E306*'Reference Standards'!$AG$127+'Reference Standards'!$AG$128,E306^2*'Reference Standards'!$AE$126+E306*'Reference Standards'!$AE$127+'Reference Standards'!$AE$128))),2),IF('Quantification Tool R4'!$B$12="66d",ROUND(IF(E306&gt;=0.46,0,IF(E306&lt;=0.02,1,IF(E306&lt;=0.08,E306*'Reference Standards'!$AF$163+'Reference Standards'!$AF$164,E306^2*'Reference Standards'!$AB$162+E306*'Reference Standards'!$AB$163+'Reference Standards'!$AB$164))),2),IF(OR('Quantification Tool R4'!$B$12="71g",'Quantification Tool R4'!$B$12="71h",'Quantification Tool R4'!$B$12="71i"),ROUND(IF(E306&gt;=3,0,IF(E306&lt;=0.06,1,IF(E306&lt;=0.24,E306*'Reference Standards'!$AG$163+'Reference Standards'!$AG$164,E306^2*'Reference Standards'!$AC$162+E306*'Reference Standards'!$AC$163+'Reference Standards'!$AC$164))),2),IF('Quantification Tool R4'!$B$12="74b",ROUND(IF(E306&gt;=1.3,0,IF(E306&lt;=0.29,1,IF(E306&lt;=0.48,E306*'Reference Standards'!$AH$163+'Reference Standards'!$AH$164,E306^2*'Reference Standards'!$AD$162+E306*'Reference Standards'!$AD$163+'Reference Standards'!$AD$164))),2),IF('Quantification Tool R4'!$B$12="71e",ROUND(IF(E306&gt;=4.3,0,IF(E306&lt;=0.53,1,IF(E306&lt;=0.67,E306*'Reference Standards'!$AI$163+'Reference Standards'!$AI$164,E306^2*'Reference Standards'!$AE$162+E306*'Reference Standards'!$AE$163+'Reference Standards'!$AE$164))),2)))))))))))))),IF('Quantification Tool R4'!$B$13&gt;2.5,IF('Quantification Tool R4'!$B$12="73a",ROUND(IF(E306&gt;=0.55,0,IF(E306&lt;=0,1,E306^2*'Reference Standards'!$AB$232+E306*'Reference Standards'!$AB$233+'Reference Standards'!$AB$234)),2),IF('Quantification Tool R4'!$B$12="68a",ROUND(IF(E306&gt;=0.54,0,IF(E306&lt;=0,1,IF(E306&lt;=0.01,0.85,E306^2*'Reference Standards'!$AC$232+E306*'Reference Standards'!$AC$233+'Reference Standards'!$AC$234))),2),IF('Quantification Tool R4'!$B$12="74a",ROUND(IF(E306&gt;=0.47,0,IF(E306&lt;=0.01,1,IF(E306&lt;=0.02,0.7,E306^2*'Reference Standards'!$AD$232+E306*'Reference Standards'!$AD$233+'Reference Standards'!$AD$234))),2),IF('Quantification Tool R4'!$B$12="69de",ROUND(IF(E306&gt;=0.26,0,IF(E306&lt;=0.01,1,IF(E306&lt;=0.02,0.85,E306^2*'Reference Standards'!$AE$232+E306*'Reference Standards'!$AE$233+'Reference Standards'!$AE$234))),2),IF('Quantification Tool R4'!$B$12="71f",ROUND(IF(E306&gt;=0.87,0,IF(E306&lt;=0.01,1,IF(E306&lt;=0.04,E306*'Reference Standards'!$AF$269+'Reference Standards'!$AF$270,E306^2*'Reference Standards'!$AB$268+E306*'Reference Standards'!$AB$269+'Reference Standards'!$AB$270))),2),IF('Quantification Tool R4'!$B$12="65abei",ROUND(IF(E306&gt;=0.82,0,IF(E306&lt;=0.01,1,IF(E306&lt;=0.06,E306*'Reference Standards'!$AG$269+'Reference Standards'!$AG$270,E306^2*'Reference Standards'!$AC$268+E306*'Reference Standards'!$AC$269+'Reference Standards'!$AC$270))),2),IF('Quantification Tool R4'!$B$12="65j",ROUND(IF(E306&gt;=0.33,0,IF(E306&lt;=0.03,1,IF(E306&lt;=0.09,E306*'Reference Standards'!$AH$269+'Reference Standards'!$AH$270,E306^2*'Reference Standards'!$AD$268+E306*'Reference Standards'!$AD$269+'Reference Standards'!$AD$270))),2),IF('Quantification Tool R4'!$B$12="68c",ROUND(IF(E306&gt;=0.7,0,IF(E306&lt;=0.07,1,IF(E306&lt;=0.12,E306*'Reference Standards'!$AI$269+'Reference Standards'!$AI$270,E306^2*'Reference Standards'!$AE$268+E306*'Reference Standards'!$AE$269+'Reference Standards'!$AE$270))),2),IF(OR('Quantification Tool R4'!$B$12="67fhi",'Quantification Tool R4'!$B$12="67g"),ROUND(IF(E306&gt;=1.8,0,IF(E306&lt;=0.08,1,IF(E306&lt;=0.2,E306*'Reference Standards'!$AF$306+'Reference Standards'!$AF$307,E306^2*'Reference Standards'!$AB$305+E306*'Reference Standards'!$AB$306+'Reference Standards'!$AB$307))),2),IF('Quantification Tool R4'!$B$12="74b",ROUND(IF(E306&gt;=0.96,0,IF(E306&lt;=0.12,1,IF(E306&lt;=0.16,E306*'Reference Standards'!$AG$306+'Reference Standards'!$AG$307,E306^2*'Reference Standards'!$AC$305+E306*'Reference Standards'!$AC$306+'Reference Standards'!$AC$307))),2),IF('Quantification Tool R4'!$B$12="66d",ROUND(IF(E306&gt;=0.75,0,IF(E306&lt;=0.13,1,IF(E306&lt;=0.2,E306*'Reference Standards'!$AH$306+'Reference Standards'!$AH$307,E306^2*'Reference Standards'!$AD$305+E306*'Reference Standards'!$AD$306+'Reference Standards'!$AD$307))),2),IF(OR('Quantification Tool R4'!$B$12="71g",'Quantification Tool R4'!$B$12="71h",'Quantification Tool R4'!$B$12="71i"),ROUND(IF(E306&gt;=1.68,0,IF(E306&lt;=0.08,1,IF(E306&lt;=0.23,E306*'Reference Standards'!$AI$306+'Reference Standards'!$AI$307,E306^2*'Reference Standards'!$AE$305+E306*'Reference Standards'!$AE$306+'Reference Standards'!$AE$307))),2),IF('Quantification Tool R4'!$B$12="71e",ROUND(IF(E306&gt;=5.3,0,IF(E306&lt;=0.94,1,IF(E306&lt;=1.4,E306*'Reference Standards'!$AF$310+'Reference Standards'!$AF$311,E306^2*'Reference Standards'!$AB$309+E306*'Reference Standards'!$AB$310+'Reference Standards'!$AB$311))),2))))))))))))))))))))</f>
        <v/>
      </c>
      <c r="G306" s="86" t="str">
        <f>IFERROR(AVERAGE(F306),"")</f>
        <v/>
      </c>
      <c r="H306" s="548"/>
      <c r="I306" s="535"/>
      <c r="J306" s="559"/>
      <c r="K306" s="555"/>
      <c r="L306" s="21"/>
    </row>
    <row r="307" spans="1:12" ht="15.6" x14ac:dyDescent="0.3">
      <c r="A307" s="539"/>
      <c r="B307" s="298" t="s">
        <v>82</v>
      </c>
      <c r="C307" s="66" t="s">
        <v>280</v>
      </c>
      <c r="D307" s="66"/>
      <c r="E307" s="136"/>
      <c r="F307" s="343" t="str">
        <f>IF(E307="","",IF(ISNUMBER('Quantification Tool R4'!$B$13),IF('Quantification Tool R4'!$B$13&gt;2.5,IF(OR('Quantification Tool R4'!$B$12="71h",'Quantification Tool R4'!$B$12="71i",'Quantification Tool R4'!$B$12="73a",'Quantification Tool R4'!$B$12="74a"),IF(E307&lt;=0.01,1,IF(OR('Quantification Tool R4'!$B$12="71h",'Quantification Tool R4'!$B$12="71i"),IF(E307&gt;0.37,0,ROUND(IF(E307&gt;0.03,'Reference Standards'!$AB$425*E307^2+'Reference Standards'!$AB$426*E307+'Reference Standards'!$AB$427,'Reference Standards'!$AF$426*E307+'Reference Standards'!$AF$427),2)),IF('Quantification Tool R4'!$B$12="73a",IF(E307&gt;0.405,0,ROUND(IF(E307&gt;0.046,'Reference Standards'!$AC$425*E307^2+'Reference Standards'!$AC$426*E307+'Reference Standards'!$AC$427,'Reference Standards'!$AG$426*E307+'Reference Standards'!$AG$427),2)),IF('Quantification Tool R4'!$B$12="74a",IF(E307&gt;0.3,0,ROUND(IF(E307&gt;0.052,'Reference Standards'!$AD$425*E307^2+'Reference Standards'!$AD$426*E307+'Reference Standards'!$AD$427,'Reference Standards'!$AH$426*E307+'Reference Standards'!$AH$427),2)))))),IF(E307&lt;=0.002,1,IF(OR('Quantification Tool R4'!$B$12="66d",'Quantification Tool R4'!$B$12="66e",'Quantification Tool R4'!$B$12="66g"),IF(E307&gt;0.053,0,ROUND(E307^2*'Reference Standards'!$AB$347+E307*'Reference Standards'!$AB$348+'Reference Standards'!$AB$349,2)),IF('Quantification Tool R4'!$B$12="68b",IF(E307&gt;0.05,0,ROUND(E307^2*'Reference Standards'!$AC$347+E307*'Reference Standards'!$AC$348+'Reference Standards'!$AC$349,2)),IF(OR('Quantification Tool R4'!$B$12="68a",'Quantification Tool R4'!$B$12="68c"),IF(E307&gt;0.07,0,ROUND(E307^2*'Reference Standards'!$AD$347+E307*'Reference Standards'!$AD$348+'Reference Standards'!$AD$349,2)),IF(OR('Quantification Tool R4'!$B$12="71f",'Quantification Tool R4'!$B$12="71g"),IF(E307&gt;0.13,0,ROUND(IF(E307&gt;0.042,E307*'Reference Standards'!$AE$348+'Reference Standards'!$AE$349,E307*'Reference Standards'!$AF$348+'Reference Standards'!$AF$349),2)),IF('Quantification Tool R4'!$B$12="67fhi",IF(E307&gt;0.16,0,ROUND(E307^2*'Reference Standards'!$AG$347+E307*'Reference Standards'!$AG$348+'Reference Standards'!$AG$349,2)),IF('Quantification Tool R4'!$B$12="65j",IF(E307&gt;0.035,0,ROUND(IF(E307&lt;=0.003,0.7,E307^2*'Reference Standards'!$AB$387+E307*'Reference Standards'!$AB$388+'Reference Standards'!$AB$389),2)),IF('Quantification Tool R4'!$B$12="69de",IF(E307&gt;0.037,0,ROUND(IF(E307&lt;=0.003,0.7,E307^2*'Reference Standards'!$AC$387+E307*'Reference Standards'!$AC$388+'Reference Standards'!$AC$389),2)),IF('Quantification Tool R4'!$B$12="71e",IF(E307&gt;0.23,0,ROUND(IF(E307&lt;=0.003,0.7,E307^2*'Reference Standards'!$AD$387+E307*'Reference Standards'!$AD$388+'Reference Standards'!$AD$389),2)),IF('Quantification Tool R4'!$B$12="66f",IF(E307&gt;0.06,0,ROUND(IF(E307&lt;=0.003,0.85,IF(E307&lt;=0.004,0.7,E307^2*'Reference Standards'!$AE$387+E307*'Reference Standards'!$AE$388+'Reference Standards'!$AE$389)),2)),IF('Quantification Tool R4'!$B$12="67g",IF(E307&gt;0.11,0,ROUND(IF(E307&lt;=0.01,E307*'Reference Standards'!$AH$388+'Reference Standards'!$AH$389,E307^2*'Reference Standards'!$AF$387+E307*'Reference Standards'!$AF$388+'Reference Standards'!$AF$389),2)),IF('Quantification Tool R4'!$B$12="74b",IF(E307&gt;0.49,0,ROUND(IF(E307&lt;=0.01,E307*'Reference Standards'!$AH$388+'Reference Standards'!$AH$389,E307^2*'Reference Standards'!$AG$387+E307*'Reference Standards'!$AG$388+'Reference Standards'!$AG$389),2)),IF('Quantification Tool R4'!$B$12="65abei",IF(E307&gt;0.199,0,ROUND(IF(E307&lt;=0.01,E307*'Reference Standards'!$AI$426+'Reference Standards'!$AI$427,E307^2*'Reference Standards'!$AE$425+E307*'Reference Standards'!$AE$426+'Reference Standards'!$AE$427),2)))))))))))))))),IF('Quantification Tool R4'!$B$13&lt;=2.5,IF(OR('Quantification Tool R4'!$B$12="66d",'Quantification Tool R4'!$B$12="66e",'Quantification Tool R4'!$B$12="66g"),IF(E307&gt;0.05,0,ROUND(IF(E307&lt;=0.002,1,IF(E307&lt;=0.005,E307*'Reference Standards'!$AF$464+'Reference Standards'!$AF$465,E307^2*'Reference Standards'!$AB$463+E307*'Reference Standards'!$AB$464+'Reference Standards'!$AB$465)),2)),IF('Quantification Tool R4'!$B$12="67fhi",IF(E307&gt;0.1,0,ROUND(IF(E307&lt;=0.002,1,IF(E307&lt;=0.006,E307*'Reference Standards'!$AG$464+'Reference Standards'!$AG$465,E307^2*'Reference Standards'!$AC$463+E307*'Reference Standards'!$AC$464+'Reference Standards'!$AC$465)),2)),IF('Quantification Tool R4'!$B$12="65abei",IF(E307&gt;0.13,0,ROUND(IF(E307&lt;=0.003,1,IF(E307&lt;=0.008,E307*'Reference Standards'!$AH$464+'Reference Standards'!$AH$465,E307^2*'Reference Standards'!$AD$463+E307*'Reference Standards'!$AD$464+'Reference Standards'!$AD$465)),2)),IF('Quantification Tool R4'!$B$12="68b",IF(E307&gt;0.043,0,ROUND(IF(E307&lt;=0.004,1,IF(E307&lt;=0.005,0.7,E307^2*'Reference Standards'!$AE$463+E307*'Reference Standards'!$AE$464+'Reference Standards'!$AE$465)),2)),IF('Quantification Tool R4'!$B$12="69de",IF(E307&gt;=0.034,0,ROUND(IF(E307&lt;=0.003,1,IF(E307&lt;=0.006,E307*'Reference Standards'!$AG$500+'Reference Standards'!$AG$501,E307*'Reference Standards'!$AB$500+'Reference Standards'!$AB$501)),2)),IF(OR('Quantification Tool R4'!$B$12="68a",'Quantification Tool R4'!$B$12="68c"),IF(E307&gt;0.202,0,ROUND(IF(E307&lt;=0.003,1,IF(E307&lt;=0.006,E307*'Reference Standards'!$AG$500+'Reference Standards'!$AG$501,IF(E307&gt;=0.04,E307*'Reference Standards'!$AC$500+'Reference Standards'!$AC$501,E307*'Reference Standards'!$AE$500+'Reference Standards'!$AE$501))),2)),IF(OR('Quantification Tool R4'!$B$12="71f",'Quantification Tool R4'!$B$12="71g"),IF(E307&gt;0.631,0,ROUND(IF(E307&lt;=0.003,1,IF(E307&lt;=0.006,E307*'Reference Standards'!$AG$500+'Reference Standards'!$AG$501,IF(E307&gt;=0.17,E307*'Reference Standards'!$AD$500+'Reference Standards'!$AD$501,E307*'Reference Standards'!$AF$500+'Reference Standards'!$AF$501))),2)),IF('Quantification Tool R4'!$B$12="71e",IF(E307&gt;1.23,0,ROUND(IF(E307&lt;=0.004,1,IF(E307&lt;=0.006,E307*'Reference Standards'!$AF$538+'Reference Standards'!$AF$539,E307^2*'Reference Standards'!$AB$537+E307*'Reference Standards'!$AB$538+'Reference Standards'!$AB$539)),2)),IF('Quantification Tool R4'!$B$12="67g",IF(E307&gt;0.11,0,ROUND(IF(E307&lt;=0.006,1,IF(E307&lt;=0.011,E307*'Reference Standards'!$AG$538+'Reference Standards'!$AG$539,E307^2*'Reference Standards'!$AC$537+E307*'Reference Standards'!$AC$538+'Reference Standards'!$AC$539)),2)),IF('Quantification Tool R4'!$B$12="65j",IF(E307&gt;0.046,0,ROUND(IF(E307&lt;=0.007,1,IF(E307&lt;=0.012,E307*'Reference Standards'!$AH$538+'Reference Standards'!$AH$539,E307^2*'Reference Standards'!$AD$537+E307*'Reference Standards'!$AD$538+'Reference Standards'!$AD$539)),2)),IF('Quantification Tool R4'!$B$12="66f",IF(E307&gt;0.081,0,ROUND(IF(E307&lt;=0.008,1,IF(E307&lt;=0.011,E307*'Reference Standards'!$AI$538+'Reference Standards'!$AI$539,E307^2*'Reference Standards'!$AE$537+E307*'Reference Standards'!$AE$538+'Reference Standards'!$AE$539)),2)),IF(OR('Quantification Tool R4'!$B$12="71h",'Quantification Tool R4'!$B$12="71i"),IF(E307&gt;0.37,0,ROUND(IF(E307&lt;=0.013,1,IF(E307&lt;=0.032,E307*'Reference Standards'!$AH$576+'Reference Standards'!$AH$577,IF(E307&lt;=0.3,E307*'Reference Standards'!$AF$576+'Reference Standards'!$AF$577,E307*'Reference Standards'!$AB$576+'Reference Standards'!$AB$577))),2)),IF('Quantification Tool R4'!$B$12="73a",IF(E307&gt;0.448,0,ROUND(IF(E307&lt;=0.071,1,IF(E307&lt;=0.086,E307*'Reference Standards'!$AJ$576+'Reference Standards'!$AJ$577,IF(E307&lt;=0.165,E307*'Reference Standards'!$AG$576+'Reference Standards'!$AG$577,E307*'Reference Standards'!$AE$576+'Reference Standards'!$AE$577))),2)),IF('Quantification Tool R4'!$B$12="74b",IF(E307&gt;0.43,0,ROUND(IF(E307&lt;=0.018,1,IF(E307&lt;=0.019,0.85,IF(E307&lt;=0.02,0.7,E307^2*'Reference Standards'!$AC$575+E307*'Reference Standards'!$AC$576+'Reference Standards'!$AC$577))),2)),IF('Quantification Tool R4'!$B$12="74a",IF(E307&gt;0.217,0,ROUND(IF(E307&lt;=0.02,1,IF(E307&lt;=0.033,E307*'Reference Standards'!$AI$576+'Reference Standards'!$AI$577,E307^2*'Reference Standards'!$AD$575+E307*'Reference Standards'!$AD$576+'Reference Standards'!$AD$577)),2)))))))))))))))))))))</f>
        <v/>
      </c>
      <c r="G307" s="87" t="str">
        <f>IFERROR(AVERAGE(F307),"")</f>
        <v/>
      </c>
      <c r="H307" s="549"/>
      <c r="I307" s="536"/>
      <c r="J307" s="559"/>
      <c r="K307" s="555"/>
      <c r="L307" s="21"/>
    </row>
    <row r="308" spans="1:12" ht="15.6" x14ac:dyDescent="0.3">
      <c r="A308" s="550" t="s">
        <v>59</v>
      </c>
      <c r="B308" s="560" t="s">
        <v>340</v>
      </c>
      <c r="C308" s="125" t="s">
        <v>331</v>
      </c>
      <c r="D308" s="126"/>
      <c r="E308" s="166"/>
      <c r="F308" s="345" t="str">
        <f>IF(E308="","",IF(OR('Quantification Tool R4'!B$12="73a",'Quantification Tool R4'!B$12="73b"),IF(E308&lt;1,0,IF(E308&gt;=30,1,ROUND(IF(E308&lt;22,'Reference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531" t="str">
        <f>IFERROR(AVERAGE(F308:F311),"")</f>
        <v/>
      </c>
      <c r="H308" s="568" t="str">
        <f>IFERROR(ROUND(AVERAGE(G308:G313),2),"")</f>
        <v/>
      </c>
      <c r="I308" s="519" t="str">
        <f>IF(H308="","",IF(H308&gt;0.69,"Functioning",IF(H308&gt;0.29,"Functioning At Risk",IF(H308&gt;-1,"Not Functioning"))))</f>
        <v/>
      </c>
      <c r="J308" s="559"/>
      <c r="K308" s="555"/>
      <c r="L308" s="21"/>
    </row>
    <row r="309" spans="1:12" ht="15.6" x14ac:dyDescent="0.3">
      <c r="A309" s="556"/>
      <c r="B309" s="561"/>
      <c r="C309" s="174" t="s">
        <v>335</v>
      </c>
      <c r="D309" s="175"/>
      <c r="E309" s="165"/>
      <c r="F309" s="346" t="str">
        <f>IF(E309="","",IF(AND('Quantification Tool R4'!$B$12="74b",'Quantification Tool R4'!$B$13&lt;=2),IF(E309&lt;0,0,IF(E309&gt;15.6,0.69,ROUND('Reference Standards'!$AL$54*E309^2+'Reference Standards'!$AL$55*E309+'Reference Standards'!$AL$56,2))),IF(AND('Quantification Tool R4'!$B$12="65abei",'Quantification Tool R4'!$B$13&lt;=2),IF(E309&lt;0,0,IF(E309&gt;=20,0.69,ROUND('Reference Standards'!$AM$54*E309^2+'Reference Standards'!$AM$55*E309+'Reference Standards'!$AM$56,2))),IF(OR(AND('Quantification Tool R4'!$B$12="74a",'Quantification Tool R4'!$B$13&gt;2,'Quantification Tool R4'!$B$19="January - June"),AND('Quantification Tool R4'!$B$12="71i",'Quantification Tool R4'!$B$13&gt;2,'Quantification Tool R4'!$B$20="SQBANK")),IF(E309&lt;0,0,IF(E309&gt;24.7,0.69,ROUND('Reference Standards'!$AN$54*E309^2+'Reference Standards'!$AN$55*E309+'Reference Standards'!$AN$56,2))),IF(OR('Quantification Tool R4'!$B$12="74b",'Quantification Tool R4'!$B$12="65abei"),IF(E309&lt;0,0,IF(E309&gt;32.7,0.69,ROUND('Reference Standards'!$AO$54*E309^2+'Reference Standards'!$AO$55*E309+'Reference Standards'!$AO$56,2))),IF(AND('Quantification Tool R4'!$B$12="68b",'Quantification Tool R4'!$B$13&gt;2),IF(E309&lt;0,0,IF(E309&gt;41.2,0.69,ROUND('Reference Standards'!$AP$54*E309^2+'Reference Standards'!$AP$55*E309+'Reference Standards'!$AP$56,2))),IF(OR(AND('Quantification Tool R4'!$B$12="71i",'Quantification Tool R4'!$B$13&lt;=2),AND(OR('Quantification Tool R4'!$B$12="68c",'Quantification Tool R4'!$B$12="68d"),'Quantification Tool R4'!$B$19="January - June")),IF(E309&lt;0,0,IF(E309&gt;49.2,0.69,ROUND('Reference Standards'!$AL$94*E309^2+'Reference Standards'!$AL$95*E309+'Reference Standards'!$AL$96,2))),IF(OR(AND('Quantification Tool R4'!$B$12="68a",'Quantification Tool R4'!$B$19="January - June"),AND(OR('Quantification Tool R4'!$B$12="68c",'Quantification Tool R4'!$B$12="68d"),'Quantification Tool R4'!$B$19="July - December")),IF(E309&lt;0,0,IF(E309&gt;53.4,0.69,ROUND('Reference Standards'!$AM$94*E309^2+'Reference Standards'!$AM$95*E309+'Reference Standards'!$AM$96,2))),IF(OR(AND('Quantification Tool R4'!$B$12="71i",'Quantification Tool R4'!$B$13&gt;2,'Quantification Tool R4'!$B$20="SQKICK"),AND(OR('Quantification Tool R4'!$B$12="67fhi",'Quantification Tool R4'!$B$12="67g"),'Quantification Tool R4'!$B$13&lt;=2),'Quantification Tool R4'!$B$12="65j"),IF(E309&lt;0,0,IF(E309&gt;57.8,0.69,ROUND('Reference Standards'!$AN$94*E309^2+'Reference Standards'!$AN$95*E309+'Reference Standards'!$AN$96,2))),IF(OR(AND('Quantification Tool R4'!$B$12="74a",'Quantification Tool R4'!$B$13&gt;2,'Quantification Tool R4'!$B$19="July - December"),AND(OR('Quantification Tool R4'!$B$12="67fhi",'Quantification Tool R4'!$B$12="67g"),'Quantification Tool R4'!$B$13&gt;2),'Quantification Tool R4'!$B$12="69de"),IF(E309&lt;0,0,IF(E309&gt;62.5,0.69,ROUND('Reference Standards'!$AO$94*E309^2+'Reference Standards'!$AO$95*E309+'Reference Standards'!$AO$96,2))),  IF(OR('Quantification Tool R4'!$B$12="66d",'Quantification Tool R4'!$B$12="66e",'Quantification Tool R4'!$B$12="66ik",'Quantification Tool R4'!$B$12="71e",'Quantification Tool R4'!$B$12="71f",'Quantification Tool R4'!$B$12="71g",'Quantification Tool R4'!$B$12="71h"),IF(E309&lt;0,0,IF(E309&gt;66.5,0.69,ROUND('Reference Standards'!$AP$94*E309^2+'Reference Standards'!$AP$95*E309+'Reference Standards'!$AP$96,2))),IF(OR('Quantification Tool R4'!$B$12="66f",'Quantification Tool R4'!$B$12="66g",'Quantification Tool R4'!$B$12="66j",AND('Quantification Tool R4'!$B$12="68a",'Quantification Tool R4'!$B$19="July - December")), IF(E309&lt;0,0,IF(E309&gt;69,0.69,ROUND('Reference Standards'!$AQ$94*E309^2+'Reference Standards'!$AQ$95*E309+'Reference Standards'!$AQ$96,2))))   )))))))))))</f>
        <v/>
      </c>
      <c r="G309" s="531"/>
      <c r="H309" s="568"/>
      <c r="I309" s="519"/>
      <c r="J309" s="559"/>
      <c r="K309" s="555"/>
      <c r="L309" s="21"/>
    </row>
    <row r="310" spans="1:12" ht="15.6" x14ac:dyDescent="0.3">
      <c r="A310" s="556"/>
      <c r="B310" s="561"/>
      <c r="C310" s="174" t="s">
        <v>339</v>
      </c>
      <c r="D310" s="175"/>
      <c r="E310" s="165"/>
      <c r="F310" s="346" t="str">
        <f>IF(E310="","",IF(AND('Quantification Tool R4'!$B$12="74b",'Quantification Tool R4'!$B$13&lt;=2),IF(E310&lt;0,0,IF(E310&gt;8.1,0.69,ROUND('Reference Standards'!$AL$131*E310^2+'Reference Standards'!$AL$132*E310+'Reference Standards'!$AL$133,2))),IF(OR('Quantification Tool R4'!$B$12="73a",'Quantification Tool R4'!$B$12="73b"),IF(E310&lt;0,0,IF(E310&gt;=28,0.69,ROUND('Reference Standards'!$AM$131*E310^2+'Reference Standards'!$AM$132*E310+'Reference Standards'!$AM$133,2))),IF(AND('Quantification Tool R4'!$B$12="74a",'Quantification Tool R4'!$B$13&gt;2,'Quantification Tool R4'!$B$19="January - June"),IF(E310&lt;0,0,IF(E310&gt;=32.5,0.69,ROUND('Reference Standards'!$AN$131*E310^2+'Reference Standards'!$AN$132*E310+'Reference Standards'!$AN$133,2))),IF(AND('Quantification Tool R4'!$B$12="71i",'Quantification Tool R4'!$B$13&gt;2,'Quantification Tool R4'!$B$20="SQBANK"),IF(E310&lt;0,0,IF(E310&gt;=37,0.69,ROUND('Reference Standards'!$AO$131*E310^2+'Reference Standards'!$AO$132*E310+'Reference Standards'!$AO$133,2))),IF(OR(AND(OR('Quantification Tool R4'!$B$12="65abei",'Quantification Tool R4'!$B$12="74b"),'Quantification Tool R4'!$B$13&gt;2),AND('Quantification Tool R4'!$B$12="71i",'Quantification Tool R4'!$B$13&gt;2,'Quantification Tool R4'!$B$20="SQKICK")),IF(E310&lt;0,0,IF(E310&gt;42.6,0.69,ROUND('Reference Standards'!$AP$131*E310^2+'Reference Standards'!$AP$132*E310+'Reference Standards'!$AP$133,2))),     IF(OR(AND('Quantification Tool R4'!$B$12="65abei",'Quantification Tool R4'!$B$13&lt;=2),AND(OR('Quantification Tool R4'!$B$12="68c",'Quantification Tool R4'!$B$12="68d"),'Quantification Tool R4'!$B$19="July - December"),'Quantification Tool R4'!$B$12="71e"),IF(E310&lt;0,0,IF(E310&gt;=48,0.69,ROUND('Reference Standards'!$AL$171*E310^2+'Reference Standards'!$AL$172*E310+'Reference Standards'!$AL$173,2))),IF(OR('Quantification Tool R4'!$B$12="65j",'Quantification Tool R4'!$B$12="67fhi",'Quantification Tool R4'!$B$12="67g",AND('Quantification Tool R4'!$B$12="74a",'Quantification Tool R4'!$B$19="July - December",'Quantification Tool R4'!$B$13&gt;2),AND('Quantification Tool R4'!$B$12="71i",'Quantification Tool R4'!$B$13&lt;=2)),IF(E310&lt;0,0,IF(E310&gt;=53,0.69,ROUND('Reference Standards'!$AM$171*E310^2+'Reference Standards'!$AM$172*E310+'Reference Standards'!$AM$173,2))),IF(OR(AND(OR('Quantification Tool R4'!$B$12="68b",'Quantification Tool R4'!$B$12="71f",'Quantification Tool R4'!$B$12="71g",'Quantification Tool R4'!$B$12="71h"),'Quantification Tool R4'!$B$13&gt;2),'Quantification Tool R4'!$B$12="68a"),IF(E310&lt;0,0,IF(E310&gt;=57,0.69,ROUND('Reference Standards'!$AN$171*E310^2+'Reference Standards'!$AN$172*E310+'Reference Standards'!$AN$173,2))),IF(OR('Quantification Tool R4'!$B$12="66f",'Quantification Tool R4'!$B$12="66g",'Quantification Tool R4'!$B$12="66j",AND(OR('Quantification Tool R4'!$B$12="71f",'Quantification Tool R4'!$B$12="71g",'Quantification Tool R4'!$B$12="71h"),'Quantification Tool R4'!$B$13&lt;=2)),IF(E310&lt;0,0,IF(E310&gt;=60,0.69,ROUND('Reference Standards'!$AO$171*E310^2+'Reference Standards'!$AO$172*E310+'Reference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December")),IF(E310&lt;0,0,IF(E310&gt;=67.5,0.69,ROUND('Reference Standards'!$AP$171*E310^2+'Reference Standards'!$AP$172*E310+'Reference Standards'!$AP$173,2))),IF(AND('Quantification Tool R4'!$B$12="69de",'Quantification Tool R4'!$B$19="January - June"), IF(E310&lt;0,0,IF(E310&gt;=72,0.69,ROUND('Reference Standards'!$AQ$171*E310^2+'Reference Standards'!$AQ$172*E310+'Reference Standards'!$AQ$173,2))))   )))))))))))</f>
        <v/>
      </c>
      <c r="G310" s="531"/>
      <c r="H310" s="568"/>
      <c r="I310" s="519"/>
      <c r="J310" s="559"/>
      <c r="K310" s="555"/>
      <c r="L310" s="21"/>
    </row>
    <row r="311" spans="1:12" ht="15.6" x14ac:dyDescent="0.3">
      <c r="A311" s="556"/>
      <c r="B311" s="562"/>
      <c r="C311" s="127" t="s">
        <v>336</v>
      </c>
      <c r="D311" s="71"/>
      <c r="E311" s="167"/>
      <c r="F311" s="346" t="str">
        <f>IF(E311="","",IF(OR('Quantification Tool R4'!$B$12="67fhi",'Quantification Tool R4'!$B$12="67g",'Quantification Tool R4'!$B$12="71e",'Quantification Tool R4'!$B$12="73a",'Quantification Tool R4'!$B$12="73b",AND(OR('Quantification Tool R4'!$B$12="71f",'Quantification Tool R4'!$B$12="71g",'Quantification Tool R4'!$B$12="71h"),'Quantification Tool R4'!$B$13&gt;2)),IF(E311&gt;100,0,IF(E311&lt;15,0.69,ROUND('Reference Standards'!$AL$208*E311^2+'Reference Standards'!$AL$209*E311+'Reference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),IF(E311&gt;100,0,IF(E311&lt;19,0.69,ROUND('Reference Standards'!$AM$208*E311^2+'Reference Standards'!$AM$209*E311+'Reference Standards'!$AM$210,2))),    IF(OR(AND('Quantification Tool R4'!$B$12="69de",'Quantification Tool R4'!$B$19="January - June"),AND('Quantification Tool R4'!$B$12="71i",'Quantification Tool R4'!$B$13&gt;2,'Quantification Tool R4'!$B$20="SQKICK" )),IF(E311&gt;100,0,IF(E311&lt;22,0.69,ROUND('Reference Standards'!$AN$208*E311^2+'Reference Standards'!$AN$209*E311+'Reference Standards'!$AN$210,2))),    IF(OR('Quantification Tool R4'!$B$12="65j",AND('Quantification Tool R4'!$B$12="68b",'Quantification Tool R4'!$B$13&gt;2)),IF(E311&gt;100,0,IF(E311&lt;24,0.69,ROUND('Reference Standards'!$AO$208*E311^2+'Reference Standards'!$AO$209*E311+'Reference Standards'!$AO$210,2))),    IF(AND(OR('Quantification Tool R4'!$B$12="65abei",'Quantification Tool R4'!$B$12="71f",'Quantification Tool R4'!$B$12="71g",'Quantification Tool R4'!$B$12="71h"),'Quantification Tool R4'!$B$13&lt;=2),IF(E311&gt;95,0,IF(E311&lt;33,0.69,ROUND('Reference Standards'!$AL$246*E311^2+'Reference Standards'!$AL$247*E311+'Reference Standards'!$AL$248,2))),   IF(AND(OR('Quantification Tool R4'!$B$12="65abei",'Quantification Tool R4'!$B$12="74b"),'Quantification Tool R4'!$B$13&gt;2),IF(E311&gt;97,0,IF(E311&lt;36,0.69,ROUND('Reference Standards'!$AM$246*E311^2+'Reference Standards'!$AM$247*E311+'Reference Standards'!$AM$248,2))),  IF(AND('Quantification Tool R4'!$B$12="74a",'Quantification Tool R4'!$B$19="January - June",'Quantification Tool R4'!$B$13&gt;2),IF(E311&gt;93,0,IF(E311&lt;52,0.69,ROUND('Reference Standards'!$AN$246*E311^2+'Reference Standards'!$AN$247*E311+'Reference Standards'!$AN$248,2))),   IF(AND('Quantification Tool R4'!$B$12="74b",'Quantification Tool R4'!$B$13&lt;=2),IF(E311&gt;97,0,IF(E311&lt;62,0.69,ROUND('Reference Standards'!$AO$246*E311^2+'Reference Standards'!$AO$247*E311+'Reference Standards'!$AO$248,2)))  )))))))))</f>
        <v/>
      </c>
      <c r="G311" s="531"/>
      <c r="H311" s="568"/>
      <c r="I311" s="519"/>
      <c r="J311" s="559"/>
      <c r="K311" s="555"/>
      <c r="L311" s="21"/>
    </row>
    <row r="312" spans="1:12" ht="15.6" x14ac:dyDescent="0.3">
      <c r="A312" s="556"/>
      <c r="B312" s="563" t="s">
        <v>74</v>
      </c>
      <c r="C312" s="125" t="s">
        <v>211</v>
      </c>
      <c r="D312" s="126"/>
      <c r="E312" s="166"/>
      <c r="F312" s="345" t="str">
        <f>IF(E312="","",IF(E312=1,0.15,IF(E312=3,0.5,IF(E312=5,0.85,0))))</f>
        <v/>
      </c>
      <c r="G312" s="564" t="str">
        <f>IFERROR(AVERAGE(F312:F313),"")</f>
        <v/>
      </c>
      <c r="H312" s="568"/>
      <c r="I312" s="519"/>
      <c r="J312" s="559"/>
      <c r="K312" s="555"/>
      <c r="L312" s="21"/>
    </row>
    <row r="313" spans="1:12" ht="15.6" x14ac:dyDescent="0.3">
      <c r="A313" s="551"/>
      <c r="B313" s="563"/>
      <c r="C313" s="127" t="s">
        <v>332</v>
      </c>
      <c r="D313" s="71"/>
      <c r="E313" s="167"/>
      <c r="F313" s="347" t="str">
        <f>IF(E313="","",IF(E313=1,0.15,IF(E313=3,0.5,IF(E313=5,0.85,0))))</f>
        <v/>
      </c>
      <c r="G313" s="565"/>
      <c r="H313" s="568"/>
      <c r="I313" s="519"/>
      <c r="J313" s="559"/>
      <c r="K313" s="555"/>
      <c r="L313" s="21"/>
    </row>
    <row r="314" spans="1:12" x14ac:dyDescent="0.3">
      <c r="L314" s="21"/>
    </row>
    <row r="315" spans="1:12" x14ac:dyDescent="0.3">
      <c r="L315" s="21"/>
    </row>
    <row r="316" spans="1:12" ht="21" x14ac:dyDescent="0.4">
      <c r="A316" s="148" t="s">
        <v>135</v>
      </c>
      <c r="B316" s="246"/>
      <c r="C316" s="249" t="s">
        <v>324</v>
      </c>
      <c r="D316" s="246"/>
      <c r="E316" s="247"/>
      <c r="F316" s="248"/>
      <c r="G316" s="544" t="s">
        <v>18</v>
      </c>
      <c r="H316" s="545"/>
      <c r="I316" s="545"/>
      <c r="J316" s="545"/>
      <c r="K316" s="546"/>
      <c r="L316" s="21"/>
    </row>
    <row r="317" spans="1:12" ht="15.6" x14ac:dyDescent="0.3">
      <c r="A317" s="158" t="s">
        <v>1</v>
      </c>
      <c r="B317" s="158" t="s">
        <v>2</v>
      </c>
      <c r="C317" s="542" t="s">
        <v>3</v>
      </c>
      <c r="D317" s="644"/>
      <c r="E317" s="158" t="s">
        <v>15</v>
      </c>
      <c r="F317" s="158" t="s">
        <v>16</v>
      </c>
      <c r="G317" s="158" t="s">
        <v>19</v>
      </c>
      <c r="H317" s="158" t="s">
        <v>20</v>
      </c>
      <c r="I317" s="314" t="s">
        <v>20</v>
      </c>
      <c r="J317" s="158" t="s">
        <v>21</v>
      </c>
      <c r="K317" s="158" t="s">
        <v>21</v>
      </c>
    </row>
    <row r="318" spans="1:12" ht="15.6" x14ac:dyDescent="0.3">
      <c r="A318" s="540" t="s">
        <v>60</v>
      </c>
      <c r="B318" s="299" t="s">
        <v>86</v>
      </c>
      <c r="C318" s="52" t="s">
        <v>388</v>
      </c>
      <c r="D318" s="52"/>
      <c r="E318" s="162"/>
      <c r="F318" s="338" t="str">
        <f>IF(E318="","",IF(E318&lt;=0,0,IF(E318&gt;=0.95,1,ROUND('Reference Standards'!C$14*E318+'Reference Standards'!C$15,2))))</f>
        <v/>
      </c>
      <c r="G318" s="250" t="str">
        <f>IFERROR(AVERAGE(F318),"")</f>
        <v/>
      </c>
      <c r="H318" s="681" t="str">
        <f>IFERROR(ROUND(AVERAGE(G318:G319),2),"")</f>
        <v/>
      </c>
      <c r="I318" s="683" t="str">
        <f>IF(H318="","",IF(H318&gt;0.69,"Functioning",IF(H318&gt;0.29,"Functioning At Risk",IF(H318&gt;-1,"Not Functioning"))))</f>
        <v/>
      </c>
      <c r="J318" s="684" t="str">
        <f>IF(AND(H318="",H320="",H322="",H344="",H348=""),"",ROUND((IF(H318="",0,H318)*0.2)+(IF(H320="",0,H320)*0.2)+(IF(H322="",0,H322)*0.2)+(IF(H344="",0,H344)*0.2)+(IF(H348="",0,H348)*0.2),2))</f>
        <v/>
      </c>
      <c r="K318" s="680" t="str">
        <f>IF(J318="","",IF(J318&lt;0.3, "Not Functioning",IF(OR(H318&lt;0.7,H320&lt;0.7,H322&lt;0.7,H344&lt;0.7,H348&lt;0.7),"Functioning At Risk",IF(J318&lt;0.7,"Functioning At Risk","Functioning"))))</f>
        <v/>
      </c>
    </row>
    <row r="319" spans="1:12" ht="15.6" x14ac:dyDescent="0.3">
      <c r="A319" s="541"/>
      <c r="B319" s="371" t="s">
        <v>128</v>
      </c>
      <c r="C319" s="373" t="s">
        <v>161</v>
      </c>
      <c r="D319" s="374"/>
      <c r="E319" s="43"/>
      <c r="F319" s="372" t="str">
        <f>IF(E319="","",IF(E319&gt;=1,1,IF(E319&lt;=0,0,ROUND(E319,2))))</f>
        <v/>
      </c>
      <c r="G319" s="369" t="str">
        <f>IFERROR(AVERAGE(F319:F319),"")</f>
        <v/>
      </c>
      <c r="H319" s="682"/>
      <c r="I319" s="683"/>
      <c r="J319" s="684"/>
      <c r="K319" s="680"/>
    </row>
    <row r="320" spans="1:12" ht="15.6" x14ac:dyDescent="0.3">
      <c r="A320" s="524" t="s">
        <v>6</v>
      </c>
      <c r="B320" s="572" t="s">
        <v>7</v>
      </c>
      <c r="C320" s="54" t="s">
        <v>8</v>
      </c>
      <c r="D320" s="54"/>
      <c r="E320" s="162"/>
      <c r="F320" s="339" t="str">
        <f>IF(E320="","",ROUND(IF(E320&gt;1.6,0,IF(E320&lt;=1,1,E320^2*'Reference Standards'!K$14+E320*'Reference Standards'!K$15+'Reference Standards'!K$16)),2))</f>
        <v/>
      </c>
      <c r="G320" s="689" t="str">
        <f>IFERROR(AVERAGE(F320:F321),"")</f>
        <v/>
      </c>
      <c r="H320" s="689" t="str">
        <f>IFERROR(ROUND(AVERAGE(G320),2),"")</f>
        <v/>
      </c>
      <c r="I320" s="674" t="str">
        <f>IF(H320="","",IF(H320&gt;0.69,"Functioning",IF(H320&gt;0.29,"Functioning At Risk",IF(H320&gt;-1,"Not Functioning"))))</f>
        <v/>
      </c>
      <c r="J320" s="684"/>
      <c r="K320" s="680"/>
    </row>
    <row r="321" spans="1:13" ht="15.6" x14ac:dyDescent="0.3">
      <c r="A321" s="525"/>
      <c r="B321" s="572"/>
      <c r="C321" s="54" t="s">
        <v>9</v>
      </c>
      <c r="D321" s="54"/>
      <c r="E321" s="163"/>
      <c r="F321" s="339" t="str">
        <f>IF(E321="","",(IF(OR('Quantification Tool R4'!B$11="A",'Quantification Tool R4'!B$11="B",'Quantification Tool R4'!$B$11="Bc"),IF(E321&lt;1.2,0,IF(E321&gt;=2.2,1,ROUND(IF(E321&lt;1.4,E321*'Reference Standards'!$K$84+'Reference Standards'!$K$85,E321*'Reference Standards'!$L$84+'Reference Standards'!$L$85),2))),IF(OR('Quantification Tool R4'!B$11="C",'Quantification Tool R4'!B$11="E"),IF(E321&lt;2,0,IF(E321&gt;=5,1,ROUND(IF(E321&lt;2.4,E321*'Reference Standards'!$L$49+'Reference Standards'!$L$50,E321*'Reference Standards'!$K$49+'Reference Standards'!$K$50),2)))))))</f>
        <v/>
      </c>
      <c r="G321" s="690"/>
      <c r="H321" s="691"/>
      <c r="I321" s="675"/>
      <c r="J321" s="684"/>
      <c r="K321" s="680"/>
    </row>
    <row r="322" spans="1:13" ht="15.6" x14ac:dyDescent="0.3">
      <c r="A322" s="526" t="s">
        <v>26</v>
      </c>
      <c r="B322" s="557" t="s">
        <v>27</v>
      </c>
      <c r="C322" s="60" t="s">
        <v>333</v>
      </c>
      <c r="D322" s="244"/>
      <c r="E322" s="61"/>
      <c r="F322" s="340" t="str">
        <f>IF(E322="","",IF(OR(LEFT('Quantification Tool R4'!$B$12,2)="65",LEFT('Quantification Tool R4'!$B$12,2)="66",LEFT('Quantification Tool R4'!$B$12,2)="71"),IF(E322&gt;=850,1,IF(E322&lt;250,ROUND('Reference Standards'!$S$17*(E322)+'Reference Standards'!$S$18,2),ROUND('Reference Standards'!$T$17*E322+'Reference Standards'!$T$18,2))),  IF(E322&gt;=345,1,IF(E322&lt;=180,ROUND('Reference Standards'!$U$17*(E322)+'Reference Standards'!$U$18,2),ROUND('Reference Standards'!$V$17*E322+'Reference Standards'!$V$18,2))))    )</f>
        <v/>
      </c>
      <c r="G322" s="676" t="str">
        <f>IFERROR(AVERAGE(F322:F323),"")</f>
        <v/>
      </c>
      <c r="H322" s="678" t="str">
        <f>IFERROR(ROUND(AVERAGE(G322:G343),2),"")</f>
        <v/>
      </c>
      <c r="I322" s="680" t="str">
        <f>IF(H322="","",IF(H322&gt;0.69,"Functioning",IF(H322&gt;0.29,"Functioning At Risk",IF(H322&gt;-1,"Not Functioning"))))</f>
        <v/>
      </c>
      <c r="J322" s="684"/>
      <c r="K322" s="680"/>
    </row>
    <row r="323" spans="1:13" ht="15.6" x14ac:dyDescent="0.3">
      <c r="A323" s="520"/>
      <c r="B323" s="558"/>
      <c r="C323" s="63" t="s">
        <v>323</v>
      </c>
      <c r="D323" s="245"/>
      <c r="E323" s="53"/>
      <c r="F323" s="341" t="str">
        <f>IF(E323="","",IF(OR(LEFT('Quantification Tool R4'!$B$12,2)="65",LEFT('Quantification Tool R4'!$B$12,2)="66",LEFT('Quantification Tool R4'!$B$12,2)="71"),IF(E323&gt;=30,1,IF(E323&lt;13,ROUND('Reference Standards'!$S$53*(E323)+'Reference Standards'!$S$54,2),ROUND('Reference Standards'!$T$53*E323+'Reference Standards'!$T$54,2))),  IF(E323&gt;=16,1,IF(E323&lt;=9,ROUND('Reference Standards'!$U$53*(E323)+'Reference Standards'!$U$54,2),ROUND('Reference Standards'!$V$53*E323+'Reference Standards'!$V$54,2))))    )</f>
        <v/>
      </c>
      <c r="G323" s="677"/>
      <c r="H323" s="678"/>
      <c r="I323" s="680"/>
      <c r="J323" s="684"/>
      <c r="K323" s="680"/>
    </row>
    <row r="324" spans="1:13" ht="15.6" x14ac:dyDescent="0.3">
      <c r="A324" s="520"/>
      <c r="B324" s="520" t="s">
        <v>395</v>
      </c>
      <c r="C324" s="58" t="s">
        <v>80</v>
      </c>
      <c r="D324" s="58"/>
      <c r="E324" s="165"/>
      <c r="F324" s="340" t="str">
        <f>IF(E324="","",ROUND(IF(E324&gt;0.7,0,IF(E324&lt;=0.1,1,E324^3*'Reference Standards'!S$87+E324^2*'Reference Standards'!S$88+E324*'Reference Standards'!S$89+'Reference Standards'!S$90)),2))</f>
        <v/>
      </c>
      <c r="G324" s="528" t="str">
        <f>IFERROR(ROUND(AVERAGE(F324:F327),2),"")</f>
        <v/>
      </c>
      <c r="H324" s="679"/>
      <c r="I324" s="680"/>
      <c r="J324" s="684"/>
      <c r="K324" s="680"/>
    </row>
    <row r="325" spans="1:13" ht="15.6" x14ac:dyDescent="0.3">
      <c r="A325" s="520"/>
      <c r="B325" s="520"/>
      <c r="C325" s="58" t="s">
        <v>49</v>
      </c>
      <c r="D325" s="58"/>
      <c r="E325" s="165"/>
      <c r="F325" s="84"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529"/>
      <c r="H325" s="679"/>
      <c r="I325" s="680"/>
      <c r="J325" s="684"/>
      <c r="K325" s="680"/>
    </row>
    <row r="326" spans="1:13" ht="15.6" x14ac:dyDescent="0.3">
      <c r="A326" s="520"/>
      <c r="B326" s="520"/>
      <c r="C326" s="58" t="s">
        <v>87</v>
      </c>
      <c r="D326" s="58"/>
      <c r="E326" s="165"/>
      <c r="F326" s="84" t="str">
        <f>IF(E326="","",ROUND(IF(E326&gt;40,0,IF(E326&lt;5,1,E326^3*'Reference Standards'!S$122+E326^2*'Reference Standards'!S$123+E326*'Reference Standards'!S$124+'Reference Standards'!S$125)),2))</f>
        <v/>
      </c>
      <c r="G326" s="529"/>
      <c r="H326" s="679"/>
      <c r="I326" s="680"/>
      <c r="J326" s="684"/>
      <c r="K326" s="680"/>
    </row>
    <row r="327" spans="1:13" ht="15.6" x14ac:dyDescent="0.3">
      <c r="A327" s="520"/>
      <c r="B327" s="521"/>
      <c r="C327" s="59" t="s">
        <v>394</v>
      </c>
      <c r="D327" s="59"/>
      <c r="E327" s="167"/>
      <c r="F327" s="341" t="str">
        <f>IF(E327="","",ROUND(IF(E327&gt;=30,0,IF(E327&lt;=0,1,E327*'Reference Standards'!S$156+'Reference Standards'!S$157)),2))</f>
        <v/>
      </c>
      <c r="G327" s="530"/>
      <c r="H327" s="679"/>
      <c r="I327" s="680"/>
      <c r="J327" s="684"/>
      <c r="K327" s="680"/>
    </row>
    <row r="328" spans="1:13" ht="15.6" x14ac:dyDescent="0.3">
      <c r="A328" s="520"/>
      <c r="B328" s="520" t="s">
        <v>50</v>
      </c>
      <c r="C328" s="60" t="s">
        <v>377</v>
      </c>
      <c r="D328" s="64"/>
      <c r="E328" s="136"/>
      <c r="F328" s="294" t="str">
        <f>IF(E328="","",ROUND(IF(E328&gt;9.2,1,E328*'Reference Standards'!$S$189+'Reference Standards'!$S$190),2))</f>
        <v/>
      </c>
      <c r="G328" s="685" t="str">
        <f>IFERROR(ROUND(AVERAGE(F328:F337),2),"")</f>
        <v/>
      </c>
      <c r="H328" s="679"/>
      <c r="I328" s="680"/>
      <c r="J328" s="684"/>
      <c r="K328" s="680"/>
    </row>
    <row r="329" spans="1:13" ht="15.6" x14ac:dyDescent="0.3">
      <c r="A329" s="520"/>
      <c r="B329" s="520"/>
      <c r="C329" s="62" t="s">
        <v>378</v>
      </c>
      <c r="D329" s="58"/>
      <c r="E329" s="162"/>
      <c r="F329" s="294" t="str">
        <f>IF(E329="","",ROUND(IF(E329&gt;9.2,1,E329*'Reference Standards'!$S$189+'Reference Standards'!$S$190),2))</f>
        <v/>
      </c>
      <c r="G329" s="686"/>
      <c r="H329" s="679"/>
      <c r="I329" s="680"/>
      <c r="J329" s="684"/>
      <c r="K329" s="680"/>
    </row>
    <row r="330" spans="1:13" ht="15.6" x14ac:dyDescent="0.3">
      <c r="A330" s="520"/>
      <c r="B330" s="520"/>
      <c r="C330" s="62" t="s">
        <v>379</v>
      </c>
      <c r="D330" s="58"/>
      <c r="E330" s="162"/>
      <c r="F330" s="294" t="str">
        <f>IF(E330="","",ROUND( IF(E330&gt;=200,1,IF(E330&lt;50, E330^2*'Reference Standards'!S$224+E330*'Reference Standards'!S$225+'Reference Standards'!S$226, E330*'Reference Standards'!T$224+'Reference Standards'!T$225)),2))</f>
        <v/>
      </c>
      <c r="G330" s="686"/>
      <c r="H330" s="679"/>
      <c r="I330" s="680"/>
      <c r="J330" s="684"/>
      <c r="K330" s="680"/>
    </row>
    <row r="331" spans="1:13" ht="15.6" x14ac:dyDescent="0.3">
      <c r="A331" s="520"/>
      <c r="B331" s="520"/>
      <c r="C331" s="62" t="s">
        <v>380</v>
      </c>
      <c r="D331" s="58"/>
      <c r="E331" s="162"/>
      <c r="F331" s="294" t="str">
        <f>IF(E331="","",ROUND( IF(E331&gt;=200,1,IF(E331&lt;50, E331^2*'Reference Standards'!S$224+E331*'Reference Standards'!S$225+'Reference Standards'!S$226, E331*'Reference Standards'!T$224+'Reference Standards'!T$225)),2))</f>
        <v/>
      </c>
      <c r="G331" s="686"/>
      <c r="H331" s="679"/>
      <c r="I331" s="680"/>
      <c r="J331" s="684"/>
      <c r="K331" s="680"/>
    </row>
    <row r="332" spans="1:13" ht="15.6" x14ac:dyDescent="0.3">
      <c r="A332" s="520"/>
      <c r="B332" s="520"/>
      <c r="C332" s="58" t="s">
        <v>381</v>
      </c>
      <c r="D332" s="58"/>
      <c r="E332" s="162"/>
      <c r="F332" s="294" t="str">
        <f>IF(E332="","",ROUND(IF(AND(E332&gt;=135,E332&lt;=262),1,IF(  E332&gt;=366,0.5, IF(E332&lt;135,E332*'Reference Standards'!S$259+'Reference Standards'!S$260, E332*'Reference Standards'!T$259+'Reference Standards'!T$260))),2))</f>
        <v/>
      </c>
      <c r="G332" s="686"/>
      <c r="H332" s="679"/>
      <c r="I332" s="680"/>
      <c r="J332" s="684"/>
      <c r="K332" s="680"/>
    </row>
    <row r="333" spans="1:13" ht="15.6" x14ac:dyDescent="0.3">
      <c r="A333" s="520"/>
      <c r="B333" s="520"/>
      <c r="C333" s="58" t="s">
        <v>382</v>
      </c>
      <c r="D333" s="58"/>
      <c r="E333" s="162"/>
      <c r="F333" s="294" t="str">
        <f>IF(E333="","",ROUND(IF(AND(E333&gt;=135,E333&lt;=262),1,IF(  E333&gt;=366,0.5, IF(E333&lt;135,E333*'Reference Standards'!S$259+'Reference Standards'!S$260, E333*'Reference Standards'!T$259+'Reference Standards'!T$260))),2))</f>
        <v/>
      </c>
      <c r="G333" s="686"/>
      <c r="H333" s="679"/>
      <c r="I333" s="680"/>
      <c r="J333" s="684"/>
      <c r="K333" s="680"/>
    </row>
    <row r="334" spans="1:13" ht="15.6" x14ac:dyDescent="0.3">
      <c r="A334" s="520"/>
      <c r="B334" s="520"/>
      <c r="C334" s="58" t="s">
        <v>383</v>
      </c>
      <c r="D334" s="58"/>
      <c r="E334" s="162"/>
      <c r="F334" s="84" t="str">
        <f>IF(E334="","",ROUND(IF(E334&gt;=75,1,IF(E334&lt;=0,0,E334*'Reference Standards'!S$330)),2))</f>
        <v/>
      </c>
      <c r="G334" s="686"/>
      <c r="H334" s="679"/>
      <c r="I334" s="680"/>
      <c r="J334" s="684"/>
      <c r="K334" s="680"/>
    </row>
    <row r="335" spans="1:13" ht="15.6" x14ac:dyDescent="0.3">
      <c r="A335" s="520"/>
      <c r="B335" s="520"/>
      <c r="C335" s="58" t="s">
        <v>384</v>
      </c>
      <c r="D335" s="58"/>
      <c r="E335" s="162"/>
      <c r="F335" s="84" t="str">
        <f>IF(E335="","",ROUND(IF(E335&gt;=75,1,IF(E335&lt;=0,0,E335*'Reference Standards'!S$330)),2))</f>
        <v/>
      </c>
      <c r="G335" s="686"/>
      <c r="H335" s="679"/>
      <c r="I335" s="680"/>
      <c r="J335" s="684"/>
      <c r="K335" s="680"/>
    </row>
    <row r="336" spans="1:13" ht="15.6" x14ac:dyDescent="0.3">
      <c r="A336" s="520"/>
      <c r="B336" s="520"/>
      <c r="C336" s="58" t="s">
        <v>385</v>
      </c>
      <c r="D336" s="58"/>
      <c r="E336" s="162"/>
      <c r="F336" s="294" t="str">
        <f>IF(E336="","",ROUND(IF(AND(E336&gt;=36.3,E336&lt;=68),1,IF(E336&gt;100,0,IF(E336&lt;36.3,(('Reference Standards'!S$297*(E336^2))+('Reference Standards'!S$298*E336)+'Reference Standards'!S$299),IF(E336&gt;68,(('Reference Standards'!T$297*(E336^2))+('Reference Standards'!T$298*E336)+'Reference Standards'!T$299))))),2))</f>
        <v/>
      </c>
      <c r="G336" s="686"/>
      <c r="H336" s="679"/>
      <c r="I336" s="680"/>
      <c r="J336" s="684"/>
      <c r="K336" s="680"/>
      <c r="M336" s="21"/>
    </row>
    <row r="337" spans="1:12" ht="15.6" x14ac:dyDescent="0.3">
      <c r="A337" s="520"/>
      <c r="B337" s="521"/>
      <c r="C337" s="58" t="s">
        <v>386</v>
      </c>
      <c r="D337" s="65"/>
      <c r="E337" s="162"/>
      <c r="F337" s="294" t="str">
        <f>IF(E337="","",ROUND(IF(AND(E337&gt;=36.3,E337&lt;=68),1,IF(E337&gt;100,0,IF(E337&lt;36.3,(('Reference Standards'!S$297*(E337^2))+('Reference Standards'!S$298*E337)+'Reference Standards'!S$299),IF(E337&gt;68,(('Reference Standards'!T$297*(E337^2))+('Reference Standards'!T$298*E337)+'Reference Standards'!T$299))))),2))</f>
        <v/>
      </c>
      <c r="G337" s="687"/>
      <c r="H337" s="679"/>
      <c r="I337" s="680"/>
      <c r="J337" s="684"/>
      <c r="K337" s="680"/>
    </row>
    <row r="338" spans="1:12" ht="15.6" x14ac:dyDescent="0.3">
      <c r="A338" s="520"/>
      <c r="B338" s="56" t="s">
        <v>108</v>
      </c>
      <c r="C338" s="72" t="s">
        <v>130</v>
      </c>
      <c r="D338" s="58"/>
      <c r="E338" s="43"/>
      <c r="F338" s="82" t="str">
        <f>IF(E338="","",IF(OR('Quantification Tool R4'!B$14="Gravel",'Quantification Tool R4'!B$14="Cobble"),IF(E338&gt;0.1,1,IF(E338&lt;=0.01,0,ROUND(E338*'Reference Standards'!$S$362+'Reference Standards'!$S$363,2)))))</f>
        <v/>
      </c>
      <c r="G338" s="251" t="str">
        <f>IFERROR(AVERAGE(F338),"")</f>
        <v/>
      </c>
      <c r="H338" s="679"/>
      <c r="I338" s="680"/>
      <c r="J338" s="684"/>
      <c r="K338" s="680"/>
    </row>
    <row r="339" spans="1:12" ht="15.6" x14ac:dyDescent="0.3">
      <c r="A339" s="520"/>
      <c r="B339" s="526" t="s">
        <v>51</v>
      </c>
      <c r="C339" s="64" t="s">
        <v>52</v>
      </c>
      <c r="D339" s="64"/>
      <c r="E339" s="166"/>
      <c r="F339" s="337" t="str">
        <f>IF(E339="","",IF(ISNUMBER('Quantification Tool R4'!$B$17),IF('Quantification Tool R4'!$B$17&lt;=2,IF(AND(E339&gt;=3,E339&lt;=5),1,IF(OR(E339&lt;=1,E339&gt;=7),0,ROUND(IF(E339&lt;3,E339*'Reference Standards'!S$398+'Reference Standards'!S$399,E339*'Reference Standards'!T$398+'Reference Standards'!T$399),2))),IF(E339&lt;=2.5,1,IF(E339&gt;=5.8,0,ROUND(E339*'Reference Standards'!S$430+'Reference Standards'!S$431,2))))))</f>
        <v/>
      </c>
      <c r="G339" s="676" t="str">
        <f>IFERROR(AVERAGE(F339:F342),"")</f>
        <v/>
      </c>
      <c r="H339" s="679"/>
      <c r="I339" s="680"/>
      <c r="J339" s="684"/>
      <c r="K339" s="680"/>
    </row>
    <row r="340" spans="1:12" ht="15.6" x14ac:dyDescent="0.3">
      <c r="A340" s="520"/>
      <c r="B340" s="520"/>
      <c r="C340" s="58" t="s">
        <v>53</v>
      </c>
      <c r="D340" s="58"/>
      <c r="E340" s="165"/>
      <c r="F340" s="84" t="str">
        <f>IF(E340="","", IF( E340&gt;=2.4,1, IF(E340&lt;=1,0,  ROUND(IF(E340&lt;2.4, E340*'Reference Standards'!$S$464+'Reference Standards'!$S$465  ),2))))</f>
        <v/>
      </c>
      <c r="G340" s="688"/>
      <c r="H340" s="679"/>
      <c r="I340" s="680"/>
      <c r="J340" s="684"/>
      <c r="K340" s="680"/>
    </row>
    <row r="341" spans="1:12" ht="15.6" x14ac:dyDescent="0.3">
      <c r="A341" s="520"/>
      <c r="B341" s="520"/>
      <c r="C341" s="58" t="s">
        <v>334</v>
      </c>
      <c r="D341" s="58"/>
      <c r="E341" s="165"/>
      <c r="F341" s="390" t="str">
        <f>IF(E341="","", IF(LEFT('Quantification Tool R4'!$B$12,2)="67",  IF( AND(E341&gt;=45,E341&lt;=65),1, IF(OR(E341&lt;=20,E341&gt;=90),0, ROUND(  IF(E341&lt;45, E341*'Reference Standards'!$S$498+'Reference Standards'!$S$499,E341*'Reference Standards'!$T$498+'Reference Standards'!$T$499),2))), IF(OR(  LEFT('Quantification Tool R4'!$B$12,2)="68", LEFT('Quantification Tool R4'!$B$12,2)="69",LEFT('Quantification Tool R4'!$B$12,2)="71"),  IF( AND(E341&gt;=30,E341&lt;=50),1, IF(OR(E341&lt;=10,E341&gt;=70),0, ROUND(  IF(E341&lt;30, E341*'Reference Standards'!$S$533+'Reference Standards'!$S$534,E341*'Reference Standards'!$T$533+'Reference Standards'!$T$534),2))), IF(LEFT('Quantification Tool R4'!$B$12,2)="66",  IF( AND(E341&gt;=20,E341&lt;=45),1, IF(OR(E341&lt;=0,E341&gt;=90),0, ROUND(  IF(E341&lt;20, E341*'Reference Standards'!$S$567+'Reference Standards'!$S$568,E341*'Reference Standards'!$T$567+'Reference Standards'!$T$568),2))), IF(OR(  LEFT('Quantification Tool R4'!$B$12,2)="65", LEFT('Quantification Tool R4'!$B$12,2)="74", LEFT('Quantification Tool R4'!$B$12,2)="73"),  IF( AND(E341&gt;=20,E341&lt;=30),1, IF(OR(E341&lt;=0,E341&gt;=50),0, ROUND(  IF(E341&lt;20, E341*'Reference Standards'!$S$601+'Reference Standards'!$S$602,E341*'Reference Standards'!$T$601+'Reference Standards'!$T$602),2))))))))</f>
        <v/>
      </c>
      <c r="G341" s="688"/>
      <c r="H341" s="679"/>
      <c r="I341" s="680"/>
      <c r="J341" s="684"/>
      <c r="K341" s="680"/>
    </row>
    <row r="342" spans="1:12" ht="15.6" x14ac:dyDescent="0.3">
      <c r="A342" s="520"/>
      <c r="B342" s="521"/>
      <c r="C342" s="62" t="s">
        <v>210</v>
      </c>
      <c r="D342" s="58"/>
      <c r="E342" s="167"/>
      <c r="F342" s="391" t="str">
        <f>IF(E342="","",IF(E342&gt;=1.6,0,IF(E342&lt;=1,1,ROUND('Reference Standards'!$S$633*E342^3+'Reference Standards'!$S$634*E342^2+'Reference Standards'!$S$635*E342+'Reference Standards'!$S$636,2))))</f>
        <v/>
      </c>
      <c r="G342" s="677"/>
      <c r="H342" s="679"/>
      <c r="I342" s="680"/>
      <c r="J342" s="684"/>
      <c r="K342" s="680"/>
    </row>
    <row r="343" spans="1:12" ht="15.6" x14ac:dyDescent="0.3">
      <c r="A343" s="521"/>
      <c r="B343" s="296" t="s">
        <v>55</v>
      </c>
      <c r="C343" s="242" t="s">
        <v>54</v>
      </c>
      <c r="D343" s="243"/>
      <c r="E343" s="163"/>
      <c r="F343" s="342" t="str">
        <f>IF(E343="","",IF(AND('Quantification Tool R4'!B$11="E",'Quantification Tool R4'!$B$14="Sand",'Quantification Tool R4'!$B$21="Unconfined Alluvial"),ROUND(IF(OR(E343&gt;1.8,E343&lt;1.3),0,IF(E343&lt;=1.6,1,E343*'Reference Standards'!S$667+'Reference Standards'!S$668)),2),    IF('Quantification Tool R4'!$B$21="Unconfined Alluvial",ROUND(IF(OR(E343&lt;1.2, E343&gt;1.5),0,IF(E343&lt;=1.4,1,E343*'Reference Standards'!$S$700+'Reference Standards'!$S$701)),2), IF('Quantification Tool R4'!$B$21="Confined Alluvial",ROUND(IF(E343&lt;1.15,0,IF(E343&lt;=1.4,E343*'Reference Standards'!$S$729+'Reference Standards'!$S$730,1)),2),  IF('Quantification Tool R4'!$B$21="Colluvial",ROUND(IF(E343&gt;1.3,0,IF(E343&gt;1.2,E343*'Reference Standards'!$S$760+'Reference Standards'!$S$761,1)),2) )))))</f>
        <v/>
      </c>
      <c r="G343" s="252" t="str">
        <f>IFERROR(AVERAGE(F343),"")</f>
        <v/>
      </c>
      <c r="H343" s="679"/>
      <c r="I343" s="680"/>
      <c r="J343" s="684"/>
      <c r="K343" s="680"/>
      <c r="L343" s="13"/>
    </row>
    <row r="344" spans="1:12" ht="15.6" x14ac:dyDescent="0.3">
      <c r="A344" s="537" t="s">
        <v>58</v>
      </c>
      <c r="B344" s="67" t="s">
        <v>88</v>
      </c>
      <c r="C344" s="70" t="s">
        <v>338</v>
      </c>
      <c r="D344" s="70"/>
      <c r="E344" s="43"/>
      <c r="F344" s="343" t="str">
        <f>IF(E344="","",ROUND(IF(E344&gt;=942,0,IF(E344&lt;=487,E344*'Reference Standards'!AB$15+'Reference Standards'!AB$16,E344*'Reference Standards'!$AC$15+'Reference Standards'!$AC$16)),2))</f>
        <v/>
      </c>
      <c r="G344" s="253" t="str">
        <f>IFERROR(AVERAGE(F344),"")</f>
        <v/>
      </c>
      <c r="H344" s="692" t="str">
        <f>IFERROR(ROUND(AVERAGE(G344:G347),2),"")</f>
        <v/>
      </c>
      <c r="I344" s="695" t="str">
        <f>IF(H344="","",IF(H344&gt;0.69,"Functioning",IF(H344&gt;0.29,"Functioning At Risk",IF(H344&gt;-1,"Not Functioning"))))</f>
        <v/>
      </c>
      <c r="J344" s="684"/>
      <c r="K344" s="680"/>
      <c r="L344" s="13"/>
    </row>
    <row r="345" spans="1:12" ht="15.6" x14ac:dyDescent="0.3">
      <c r="A345" s="538"/>
      <c r="B345" s="297" t="s">
        <v>362</v>
      </c>
      <c r="C345" s="66" t="s">
        <v>354</v>
      </c>
      <c r="D345" s="66"/>
      <c r="E345" s="163"/>
      <c r="F345" s="344" t="str">
        <f>IF(E345="","",IF(OR('Quantification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June")),IF(E345&gt;93,0,IF(E345&lt;13,1,ROUND('Reference Standards'!$AB$53*E345^2+'Reference Standards'!$AB$54*E345+'Reference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R4'!$B$12="73b"),IF(E345&gt;94,0,IF(E345&lt;17,1,ROUND('Reference Standards'!$AC$53*E345^2+'Reference Standards'!$AC$54*E345+'Reference Standards'!$AC$55,2))),    IF(OR(AND(OR('Quantification Tool R4'!$B$12="68b",'Quantification Tool R4'!$B$12="71i"),'Quantification Tool R4'!$B$13&gt;2), 'Quantification Tool R4'!$B$12="71e"),IF(E345&gt;91,0,IF(E345&lt;24,1,ROUND('Reference Standards'!$AD$53*E345^2+'Reference Standards'!$AD$54*E345+'Reference Standards'!$AD$55,2))),  IF(OR(AND(OR('Quantification Tool R4'!$B$12="71f",'Quantification Tool R4'!$B$12="71g",'Quantification Tool R4'!$B$12="71h",'Quantification Tool R4'!$B$12="71i"),'Quantification Tool R4'!$B$13&lt;=2), AND('Quantification Tool R4'!$B$12="74a",'Quantification Tool R4'!$B$13&gt;2)),IF(E345&gt;95,0,IF(E345&lt;=36,1,ROUND('Reference Standards'!$AE$53*E345^2+'Reference Standards'!$AE$54*E345+'Reference Standards'!$AE$55,2))))))))</f>
        <v/>
      </c>
      <c r="G345" s="254" t="str">
        <f>IFERROR(AVERAGE(F345:F345),"")</f>
        <v/>
      </c>
      <c r="H345" s="693"/>
      <c r="I345" s="696"/>
      <c r="J345" s="684"/>
      <c r="K345" s="680"/>
      <c r="L345" s="21"/>
    </row>
    <row r="346" spans="1:12" ht="15.6" x14ac:dyDescent="0.3">
      <c r="A346" s="538"/>
      <c r="B346" s="67" t="s">
        <v>81</v>
      </c>
      <c r="C346" s="68" t="s">
        <v>281</v>
      </c>
      <c r="D346" s="68"/>
      <c r="E346" s="162"/>
      <c r="F346" s="344" t="str">
        <f>IF(E346="","",IF(ISNUMBER('Quantification Tool R4'!$B$13),IF(OR('Quantification Tool R4'!$B$12="66e",'Quantification Tool R4'!$B$12="66f",'Quantification Tool R4'!$B$12="66g"),ROUND(IF(E346&gt;=0.61,0,IF(E346&lt;=0.01,1,IF(E346&lt;=0.06,E346*'Reference Standards'!$AD$197+'Reference Standards'!$AD$198,E346^2*'Reference Standards'!$AB$196+E346*'Reference Standards'!$AB$197+'Reference Standards'!$AB$198))),2),IF('Quantification Tool R4'!$B$12="68b",ROUND(IF(E346&gt;=1.1,0,IF(E346&lt;=0.17,1,IF(E346&lt;=0.22,E346*'Reference Standards'!$AE$197+'Reference Standards'!$AE$198,E346^2*'Reference Standards'!$AC$196+E346*'Reference Standards'!$AC$197+'Reference Standards'!$AC$198))),2),IF('Quantification Tool R4'!$B$13&lt;=2.5,IF('Quantification Tool R4'!$B$12="69de",ROUND(IF(E346&gt;=0.22,0,IF(E346&lt;=0.01,1,E346^2*'Reference Standards'!$AB$90+E346*'Reference Standards'!$AB$91+'Reference Standards'!$AB$92)),2),IF('Quantification Tool R4'!$B$12="68c",ROUND(IF(E346&gt;=0.87,0,IF(E346&lt;=0.01,1,E346^2*'Reference Standards'!$AC$90+E346*'Reference Standards'!$AC$91+'Reference Standards'!$AC$92)),2),IF('Quantification Tool R4'!$B$12="68a",ROUND(IF(E346&gt;=0.81,0,IF(E346&lt;=0.01,1,E346^2*'Reference Standards'!$AD$90+E346*'Reference Standards'!$AD$91+'Reference Standards'!$AD$92)),2),IF('Quantification Tool R4'!$B$12="65abei",ROUND(IF(E346&gt;=0.67,0,IF(E346&lt;=0.01,1,IF(E346&lt;=0.18,E346*'Reference Standards'!$AG$91+'Reference Standards'!$AG$92,E346*'Reference Standards'!$AE$91+'Reference Standards'!$AE$92))),2),IF('Quantification Tool R4'!$B$12="65j",ROUND(IF(E346&gt;=0.32,0,IF(E346&lt;=0.01,1,IF(E346&lt;=0.25,E346*'Reference Standards'!$AH$91+'Reference Standards'!$AH$92,E346*'Reference Standards'!$AF$91+'Reference Standards'!$AF$92))),2),IF('Quantification Tool R4'!$B$12="71f",ROUND(IF(E346&gt;=3,0,IF(E346&lt;=0,1,IF(E346&lt;=0.01,0.7,E346^2*'Reference Standards'!$AB$126+E346*'Reference Standards'!$AB$127+'Reference Standards'!$AB$128))),2),IF('Quantification Tool R4'!$B$12="74a",ROUND(IF(E346&gt;=0.14,0,IF(E346&lt;=0.01,1,IF(E346&lt;=0.02,0.7,E346^2*'Reference Standards'!$AC$126+E346*'Reference Standards'!$AC$127+'Reference Standards'!$AC$128))),2),IF(OR('Quantification Tool R4'!$B$12="67fhi",'Quantification Tool R4'!$B$12="67g"),ROUND(IF(E346&gt;=1.9,0,IF(E346&lt;=0.01,1,IF(E346&lt;=0.05,E346*'Reference Standards'!$AF$127+'Reference Standards'!$AF$128,E346^2*'Reference Standards'!$AD$126+E346*'Reference Standards'!$AD$127+'Reference Standards'!$AD$128))),2),IF('Quantification Tool R4'!$B$12="73a",ROUND(IF(E346&gt;=1.44,0,IF(E346&lt;=0.01,1,IF(E346&lt;=0.12,E346*'Reference Standards'!$AG$127+'Reference Standards'!$AG$128,E346^2*'Reference Standards'!$AE$126+E346*'Reference Standards'!$AE$127+'Reference Standards'!$AE$128))),2),IF('Quantification Tool R4'!$B$12="66d",ROUND(IF(E346&gt;=0.46,0,IF(E346&lt;=0.02,1,IF(E346&lt;=0.08,E346*'Reference Standards'!$AF$163+'Reference Standards'!$AF$164,E346^2*'Reference Standards'!$AB$162+E346*'Reference Standards'!$AB$163+'Reference Standards'!$AB$164))),2),IF(OR('Quantification Tool R4'!$B$12="71g",'Quantification Tool R4'!$B$12="71h",'Quantification Tool R4'!$B$12="71i"),ROUND(IF(E346&gt;=3,0,IF(E346&lt;=0.06,1,IF(E346&lt;=0.24,E346*'Reference Standards'!$AG$163+'Reference Standards'!$AG$164,E346^2*'Reference Standards'!$AC$162+E346*'Reference Standards'!$AC$163+'Reference Standards'!$AC$164))),2),IF('Quantification Tool R4'!$B$12="74b",ROUND(IF(E346&gt;=1.3,0,IF(E346&lt;=0.29,1,IF(E346&lt;=0.48,E346*'Reference Standards'!$AH$163+'Reference Standards'!$AH$164,E346^2*'Reference Standards'!$AD$162+E346*'Reference Standards'!$AD$163+'Reference Standards'!$AD$164))),2),IF('Quantification Tool R4'!$B$12="71e",ROUND(IF(E346&gt;=4.3,0,IF(E346&lt;=0.53,1,IF(E346&lt;=0.67,E346*'Reference Standards'!$AI$163+'Reference Standards'!$AI$164,E346^2*'Reference Standards'!$AE$162+E346*'Reference Standards'!$AE$163+'Reference Standards'!$AE$164))),2)))))))))))))),IF('Quantification Tool R4'!$B$13&gt;2.5,IF('Quantification Tool R4'!$B$12="73a",ROUND(IF(E346&gt;=0.55,0,IF(E346&lt;=0,1,E346^2*'Reference Standards'!$AB$232+E346*'Reference Standards'!$AB$233+'Reference Standards'!$AB$234)),2),IF('Quantification Tool R4'!$B$12="68a",ROUND(IF(E346&gt;=0.54,0,IF(E346&lt;=0,1,IF(E346&lt;=0.01,0.85,E346^2*'Reference Standards'!$AC$232+E346*'Reference Standards'!$AC$233+'Reference Standards'!$AC$234))),2),IF('Quantification Tool R4'!$B$12="74a",ROUND(IF(E346&gt;=0.47,0,IF(E346&lt;=0.01,1,IF(E346&lt;=0.02,0.7,E346^2*'Reference Standards'!$AD$232+E346*'Reference Standards'!$AD$233+'Reference Standards'!$AD$234))),2),IF('Quantification Tool R4'!$B$12="69de",ROUND(IF(E346&gt;=0.26,0,IF(E346&lt;=0.01,1,IF(E346&lt;=0.02,0.85,E346^2*'Reference Standards'!$AE$232+E346*'Reference Standards'!$AE$233+'Reference Standards'!$AE$234))),2),IF('Quantification Tool R4'!$B$12="71f",ROUND(IF(E346&gt;=0.87,0,IF(E346&lt;=0.01,1,IF(E346&lt;=0.04,E346*'Reference Standards'!$AF$269+'Reference Standards'!$AF$270,E346^2*'Reference Standards'!$AB$268+E346*'Reference Standards'!$AB$269+'Reference Standards'!$AB$270))),2),IF('Quantification Tool R4'!$B$12="65abei",ROUND(IF(E346&gt;=0.82,0,IF(E346&lt;=0.01,1,IF(E346&lt;=0.06,E346*'Reference Standards'!$AG$269+'Reference Standards'!$AG$270,E346^2*'Reference Standards'!$AC$268+E346*'Reference Standards'!$AC$269+'Reference Standards'!$AC$270))),2),IF('Quantification Tool R4'!$B$12="65j",ROUND(IF(E346&gt;=0.33,0,IF(E346&lt;=0.03,1,IF(E346&lt;=0.09,E346*'Reference Standards'!$AH$269+'Reference Standards'!$AH$270,E346^2*'Reference Standards'!$AD$268+E346*'Reference Standards'!$AD$269+'Reference Standards'!$AD$270))),2),IF('Quantification Tool R4'!$B$12="68c",ROUND(IF(E346&gt;=0.7,0,IF(E346&lt;=0.07,1,IF(E346&lt;=0.12,E346*'Reference Standards'!$AI$269+'Reference Standards'!$AI$270,E346^2*'Reference Standards'!$AE$268+E346*'Reference Standards'!$AE$269+'Reference Standards'!$AE$270))),2),IF(OR('Quantification Tool R4'!$B$12="67fhi",'Quantification Tool R4'!$B$12="67g"),ROUND(IF(E346&gt;=1.8,0,IF(E346&lt;=0.08,1,IF(E346&lt;=0.2,E346*'Reference Standards'!$AF$306+'Reference Standards'!$AF$307,E346^2*'Reference Standards'!$AB$305+E346*'Reference Standards'!$AB$306+'Reference Standards'!$AB$307))),2),IF('Quantification Tool R4'!$B$12="74b",ROUND(IF(E346&gt;=0.96,0,IF(E346&lt;=0.12,1,IF(E346&lt;=0.16,E346*'Reference Standards'!$AG$306+'Reference Standards'!$AG$307,E346^2*'Reference Standards'!$AC$305+E346*'Reference Standards'!$AC$306+'Reference Standards'!$AC$307))),2),IF('Quantification Tool R4'!$B$12="66d",ROUND(IF(E346&gt;=0.75,0,IF(E346&lt;=0.13,1,IF(E346&lt;=0.2,E346*'Reference Standards'!$AH$306+'Reference Standards'!$AH$307,E346^2*'Reference Standards'!$AD$305+E346*'Reference Standards'!$AD$306+'Reference Standards'!$AD$307))),2),IF(OR('Quantification Tool R4'!$B$12="71g",'Quantification Tool R4'!$B$12="71h",'Quantification Tool R4'!$B$12="71i"),ROUND(IF(E346&gt;=1.68,0,IF(E346&lt;=0.08,1,IF(E346&lt;=0.23,E346*'Reference Standards'!$AI$306+'Reference Standards'!$AI$307,E346^2*'Reference Standards'!$AE$305+E346*'Reference Standards'!$AE$306+'Reference Standards'!$AE$307))),2),IF('Quantification Tool R4'!$B$12="71e",ROUND(IF(E346&gt;=5.3,0,IF(E346&lt;=0.94,1,IF(E346&lt;=1.4,E346*'Reference Standards'!$AF$310+'Reference Standards'!$AF$311,E346^2*'Reference Standards'!$AB$309+E346*'Reference Standards'!$AB$310+'Reference Standards'!$AB$311))),2))))))))))))))))))))</f>
        <v/>
      </c>
      <c r="G346" s="255" t="str">
        <f>IFERROR(AVERAGE(F346),"")</f>
        <v/>
      </c>
      <c r="H346" s="693"/>
      <c r="I346" s="696"/>
      <c r="J346" s="684"/>
      <c r="K346" s="680"/>
      <c r="L346" s="21"/>
    </row>
    <row r="347" spans="1:12" ht="15.6" x14ac:dyDescent="0.3">
      <c r="A347" s="539"/>
      <c r="B347" s="298" t="s">
        <v>82</v>
      </c>
      <c r="C347" s="66" t="s">
        <v>280</v>
      </c>
      <c r="D347" s="66"/>
      <c r="E347" s="136"/>
      <c r="F347" s="343" t="str">
        <f>IF(E347="","",IF(ISNUMBER('Quantification Tool R4'!$B$13),IF('Quantification Tool R4'!$B$13&gt;2.5,IF(OR('Quantification Tool R4'!$B$12="71h",'Quantification Tool R4'!$B$12="71i",'Quantification Tool R4'!$B$12="73a",'Quantification Tool R4'!$B$12="74a"),IF(E347&lt;=0.01,1,IF(OR('Quantification Tool R4'!$B$12="71h",'Quantification Tool R4'!$B$12="71i"),IF(E347&gt;0.37,0,ROUND(IF(E347&gt;0.03,'Reference Standards'!$AB$425*E347^2+'Reference Standards'!$AB$426*E347+'Reference Standards'!$AB$427,'Reference Standards'!$AF$426*E347+'Reference Standards'!$AF$427),2)),IF('Quantification Tool R4'!$B$12="73a",IF(E347&gt;0.405,0,ROUND(IF(E347&gt;0.046,'Reference Standards'!$AC$425*E347^2+'Reference Standards'!$AC$426*E347+'Reference Standards'!$AC$427,'Reference Standards'!$AG$426*E347+'Reference Standards'!$AG$427),2)),IF('Quantification Tool R4'!$B$12="74a",IF(E347&gt;0.3,0,ROUND(IF(E347&gt;0.052,'Reference Standards'!$AD$425*E347^2+'Reference Standards'!$AD$426*E347+'Reference Standards'!$AD$427,'Reference Standards'!$AH$426*E347+'Reference Standards'!$AH$427),2)))))),IF(E347&lt;=0.002,1,IF(OR('Quantification Tool R4'!$B$12="66d",'Quantification Tool R4'!$B$12="66e",'Quantification Tool R4'!$B$12="66g"),IF(E347&gt;0.053,0,ROUND(E347^2*'Reference Standards'!$AB$347+E347*'Reference Standards'!$AB$348+'Reference Standards'!$AB$349,2)),IF('Quantification Tool R4'!$B$12="68b",IF(E347&gt;0.05,0,ROUND(E347^2*'Reference Standards'!$AC$347+E347*'Reference Standards'!$AC$348+'Reference Standards'!$AC$349,2)),IF(OR('Quantification Tool R4'!$B$12="68a",'Quantification Tool R4'!$B$12="68c"),IF(E347&gt;0.07,0,ROUND(E347^2*'Reference Standards'!$AD$347+E347*'Reference Standards'!$AD$348+'Reference Standards'!$AD$349,2)),IF(OR('Quantification Tool R4'!$B$12="71f",'Quantification Tool R4'!$B$12="71g"),IF(E347&gt;0.13,0,ROUND(IF(E347&gt;0.042,E347*'Reference Standards'!$AE$348+'Reference Standards'!$AE$349,E347*'Reference Standards'!$AF$348+'Reference Standards'!$AF$349),2)),IF('Quantification Tool R4'!$B$12="67fhi",IF(E347&gt;0.16,0,ROUND(E347^2*'Reference Standards'!$AG$347+E347*'Reference Standards'!$AG$348+'Reference Standards'!$AG$349,2)),IF('Quantification Tool R4'!$B$12="65j",IF(E347&gt;0.035,0,ROUND(IF(E347&lt;=0.003,0.7,E347^2*'Reference Standards'!$AB$387+E347*'Reference Standards'!$AB$388+'Reference Standards'!$AB$389),2)),IF('Quantification Tool R4'!$B$12="69de",IF(E347&gt;0.037,0,ROUND(IF(E347&lt;=0.003,0.7,E347^2*'Reference Standards'!$AC$387+E347*'Reference Standards'!$AC$388+'Reference Standards'!$AC$389),2)),IF('Quantification Tool R4'!$B$12="71e",IF(E347&gt;0.23,0,ROUND(IF(E347&lt;=0.003,0.7,E347^2*'Reference Standards'!$AD$387+E347*'Reference Standards'!$AD$388+'Reference Standards'!$AD$389),2)),IF('Quantification Tool R4'!$B$12="66f",IF(E347&gt;0.06,0,ROUND(IF(E347&lt;=0.003,0.85,IF(E347&lt;=0.004,0.7,E347^2*'Reference Standards'!$AE$387+E347*'Reference Standards'!$AE$388+'Reference Standards'!$AE$389)),2)),IF('Quantification Tool R4'!$B$12="67g",IF(E347&gt;0.11,0,ROUND(IF(E347&lt;=0.01,E347*'Reference Standards'!$AH$388+'Reference Standards'!$AH$389,E347^2*'Reference Standards'!$AF$387+E347*'Reference Standards'!$AF$388+'Reference Standards'!$AF$389),2)),IF('Quantification Tool R4'!$B$12="74b",IF(E347&gt;0.49,0,ROUND(IF(E347&lt;=0.01,E347*'Reference Standards'!$AH$388+'Reference Standards'!$AH$389,E347^2*'Reference Standards'!$AG$387+E347*'Reference Standards'!$AG$388+'Reference Standards'!$AG$389),2)),IF('Quantification Tool R4'!$B$12="65abei",IF(E347&gt;0.199,0,ROUND(IF(E347&lt;=0.01,E347*'Reference Standards'!$AI$426+'Reference Standards'!$AI$427,E347^2*'Reference Standards'!$AE$425+E347*'Reference Standards'!$AE$426+'Reference Standards'!$AE$427),2)))))))))))))))),IF('Quantification Tool R4'!$B$13&lt;=2.5,IF(OR('Quantification Tool R4'!$B$12="66d",'Quantification Tool R4'!$B$12="66e",'Quantification Tool R4'!$B$12="66g"),IF(E347&gt;0.05,0,ROUND(IF(E347&lt;=0.002,1,IF(E347&lt;=0.005,E347*'Reference Standards'!$AF$464+'Reference Standards'!$AF$465,E347^2*'Reference Standards'!$AB$463+E347*'Reference Standards'!$AB$464+'Reference Standards'!$AB$465)),2)),IF('Quantification Tool R4'!$B$12="67fhi",IF(E347&gt;0.1,0,ROUND(IF(E347&lt;=0.002,1,IF(E347&lt;=0.006,E347*'Reference Standards'!$AG$464+'Reference Standards'!$AG$465,E347^2*'Reference Standards'!$AC$463+E347*'Reference Standards'!$AC$464+'Reference Standards'!$AC$465)),2)),IF('Quantification Tool R4'!$B$12="65abei",IF(E347&gt;0.13,0,ROUND(IF(E347&lt;=0.003,1,IF(E347&lt;=0.008,E347*'Reference Standards'!$AH$464+'Reference Standards'!$AH$465,E347^2*'Reference Standards'!$AD$463+E347*'Reference Standards'!$AD$464+'Reference Standards'!$AD$465)),2)),IF('Quantification Tool R4'!$B$12="68b",IF(E347&gt;0.043,0,ROUND(IF(E347&lt;=0.004,1,IF(E347&lt;=0.005,0.7,E347^2*'Reference Standards'!$AE$463+E347*'Reference Standards'!$AE$464+'Reference Standards'!$AE$465)),2)),IF('Quantification Tool R4'!$B$12="69de",IF(E347&gt;=0.034,0,ROUND(IF(E347&lt;=0.003,1,IF(E347&lt;=0.006,E347*'Reference Standards'!$AG$500+'Reference Standards'!$AG$501,E347*'Reference Standards'!$AB$500+'Reference Standards'!$AB$501)),2)),IF(OR('Quantification Tool R4'!$B$12="68a",'Quantification Tool R4'!$B$12="68c"),IF(E347&gt;0.202,0,ROUND(IF(E347&lt;=0.003,1,IF(E347&lt;=0.006,E347*'Reference Standards'!$AG$500+'Reference Standards'!$AG$501,IF(E347&gt;=0.04,E347*'Reference Standards'!$AC$500+'Reference Standards'!$AC$501,E347*'Reference Standards'!$AE$500+'Reference Standards'!$AE$501))),2)),IF(OR('Quantification Tool R4'!$B$12="71f",'Quantification Tool R4'!$B$12="71g"),IF(E347&gt;0.631,0,ROUND(IF(E347&lt;=0.003,1,IF(E347&lt;=0.006,E347*'Reference Standards'!$AG$500+'Reference Standards'!$AG$501,IF(E347&gt;=0.17,E347*'Reference Standards'!$AD$500+'Reference Standards'!$AD$501,E347*'Reference Standards'!$AF$500+'Reference Standards'!$AF$501))),2)),IF('Quantification Tool R4'!$B$12="71e",IF(E347&gt;1.23,0,ROUND(IF(E347&lt;=0.004,1,IF(E347&lt;=0.006,E347*'Reference Standards'!$AF$538+'Reference Standards'!$AF$539,E347^2*'Reference Standards'!$AB$537+E347*'Reference Standards'!$AB$538+'Reference Standards'!$AB$539)),2)),IF('Quantification Tool R4'!$B$12="67g",IF(E347&gt;0.11,0,ROUND(IF(E347&lt;=0.006,1,IF(E347&lt;=0.011,E347*'Reference Standards'!$AG$538+'Reference Standards'!$AG$539,E347^2*'Reference Standards'!$AC$537+E347*'Reference Standards'!$AC$538+'Reference Standards'!$AC$539)),2)),IF('Quantification Tool R4'!$B$12="65j",IF(E347&gt;0.046,0,ROUND(IF(E347&lt;=0.007,1,IF(E347&lt;=0.012,E347*'Reference Standards'!$AH$538+'Reference Standards'!$AH$539,E347^2*'Reference Standards'!$AD$537+E347*'Reference Standards'!$AD$538+'Reference Standards'!$AD$539)),2)),IF('Quantification Tool R4'!$B$12="66f",IF(E347&gt;0.081,0,ROUND(IF(E347&lt;=0.008,1,IF(E347&lt;=0.011,E347*'Reference Standards'!$AI$538+'Reference Standards'!$AI$539,E347^2*'Reference Standards'!$AE$537+E347*'Reference Standards'!$AE$538+'Reference Standards'!$AE$539)),2)),IF(OR('Quantification Tool R4'!$B$12="71h",'Quantification Tool R4'!$B$12="71i"),IF(E347&gt;0.37,0,ROUND(IF(E347&lt;=0.013,1,IF(E347&lt;=0.032,E347*'Reference Standards'!$AH$576+'Reference Standards'!$AH$577,IF(E347&lt;=0.3,E347*'Reference Standards'!$AF$576+'Reference Standards'!$AF$577,E347*'Reference Standards'!$AB$576+'Reference Standards'!$AB$577))),2)),IF('Quantification Tool R4'!$B$12="73a",IF(E347&gt;0.448,0,ROUND(IF(E347&lt;=0.071,1,IF(E347&lt;=0.086,E347*'Reference Standards'!$AJ$576+'Reference Standards'!$AJ$577,IF(E347&lt;=0.165,E347*'Reference Standards'!$AG$576+'Reference Standards'!$AG$577,E347*'Reference Standards'!$AE$576+'Reference Standards'!$AE$577))),2)),IF('Quantification Tool R4'!$B$12="74b",IF(E347&gt;0.43,0,ROUND(IF(E347&lt;=0.018,1,IF(E347&lt;=0.019,0.85,IF(E347&lt;=0.02,0.7,E347^2*'Reference Standards'!$AC$575+E347*'Reference Standards'!$AC$576+'Reference Standards'!$AC$577))),2)),IF('Quantification Tool R4'!$B$12="74a",IF(E347&gt;0.217,0,ROUND(IF(E347&lt;=0.02,1,IF(E347&lt;=0.033,E347*'Reference Standards'!$AI$576+'Reference Standards'!$AI$577,E347^2*'Reference Standards'!$AD$575+E347*'Reference Standards'!$AD$576+'Reference Standards'!$AD$577)),2)))))))))))))))))))))</f>
        <v/>
      </c>
      <c r="G347" s="256" t="str">
        <f>IFERROR(AVERAGE(F347),"")</f>
        <v/>
      </c>
      <c r="H347" s="694"/>
      <c r="I347" s="697"/>
      <c r="J347" s="684"/>
      <c r="K347" s="680"/>
      <c r="L347" s="21"/>
    </row>
    <row r="348" spans="1:12" ht="15.6" x14ac:dyDescent="0.3">
      <c r="A348" s="550" t="s">
        <v>59</v>
      </c>
      <c r="B348" s="560" t="s">
        <v>340</v>
      </c>
      <c r="C348" s="125" t="s">
        <v>331</v>
      </c>
      <c r="D348" s="126"/>
      <c r="E348" s="166"/>
      <c r="F348" s="345" t="str">
        <f>IF(E348="","",IF(OR('Quantification Tool R4'!B$12="73a",'Quantification Tool R4'!B$12="73b"),IF(E348&lt;1,0,IF(E348&gt;=30,1,ROUND(IF(E348&lt;22,'Reference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698" t="str">
        <f>IFERROR(AVERAGE(F348:F351),"")</f>
        <v/>
      </c>
      <c r="H348" s="699" t="str">
        <f>IFERROR(ROUND(AVERAGE(G348:G353),2),"")</f>
        <v/>
      </c>
      <c r="I348" s="683" t="str">
        <f>IF(H348="","",IF(H348&gt;0.69,"Functioning",IF(H348&gt;0.29,"Functioning At Risk",IF(H348&gt;-1,"Not Functioning"))))</f>
        <v/>
      </c>
      <c r="J348" s="684"/>
      <c r="K348" s="680"/>
      <c r="L348" s="21"/>
    </row>
    <row r="349" spans="1:12" ht="15.6" x14ac:dyDescent="0.3">
      <c r="A349" s="556"/>
      <c r="B349" s="561"/>
      <c r="C349" s="174" t="s">
        <v>335</v>
      </c>
      <c r="D349" s="175"/>
      <c r="E349" s="165"/>
      <c r="F349" s="346" t="str">
        <f>IF(E349="","",IF(AND('Quantification Tool R4'!$B$12="74b",'Quantification Tool R4'!$B$13&lt;=2),IF(E349&lt;0,0,IF(E349&gt;15.6,0.69,ROUND('Reference Standards'!$AL$54*E349^2+'Reference Standards'!$AL$55*E349+'Reference Standards'!$AL$56,2))),IF(AND('Quantification Tool R4'!$B$12="65abei",'Quantification Tool R4'!$B$13&lt;=2),IF(E349&lt;0,0,IF(E349&gt;=20,0.69,ROUND('Reference Standards'!$AM$54*E349^2+'Reference Standards'!$AM$55*E349+'Reference Standards'!$AM$56,2))),IF(OR(AND('Quantification Tool R4'!$B$12="74a",'Quantification Tool R4'!$B$13&gt;2,'Quantification Tool R4'!$B$19="January - June"),AND('Quantification Tool R4'!$B$12="71i",'Quantification Tool R4'!$B$13&gt;2,'Quantification Tool R4'!$B$20="SQBANK")),IF(E349&lt;0,0,IF(E349&gt;24.7,0.69,ROUND('Reference Standards'!$AN$54*E349^2+'Reference Standards'!$AN$55*E349+'Reference Standards'!$AN$56,2))),IF(OR('Quantification Tool R4'!$B$12="74b",'Quantification Tool R4'!$B$12="65abei"),IF(E349&lt;0,0,IF(E349&gt;32.7,0.69,ROUND('Reference Standards'!$AO$54*E349^2+'Reference Standards'!$AO$55*E349+'Reference Standards'!$AO$56,2))),IF(AND('Quantification Tool R4'!$B$12="68b",'Quantification Tool R4'!$B$13&gt;2),IF(E349&lt;0,0,IF(E349&gt;41.2,0.69,ROUND('Reference Standards'!$AP$54*E349^2+'Reference Standards'!$AP$55*E349+'Reference Standards'!$AP$56,2))),IF(OR(AND('Quantification Tool R4'!$B$12="71i",'Quantification Tool R4'!$B$13&lt;=2),AND(OR('Quantification Tool R4'!$B$12="68c",'Quantification Tool R4'!$B$12="68d"),'Quantification Tool R4'!$B$19="January - June")),IF(E349&lt;0,0,IF(E349&gt;49.2,0.69,ROUND('Reference Standards'!$AL$94*E349^2+'Reference Standards'!$AL$95*E349+'Reference Standards'!$AL$96,2))),IF(OR(AND('Quantification Tool R4'!$B$12="68a",'Quantification Tool R4'!$B$19="January - June"),AND(OR('Quantification Tool R4'!$B$12="68c",'Quantification Tool R4'!$B$12="68d"),'Quantification Tool R4'!$B$19="July - December")),IF(E349&lt;0,0,IF(E349&gt;53.4,0.69,ROUND('Reference Standards'!$AM$94*E349^2+'Reference Standards'!$AM$95*E349+'Reference Standards'!$AM$96,2))),IF(OR(AND('Quantification Tool R4'!$B$12="71i",'Quantification Tool R4'!$B$13&gt;2,'Quantification Tool R4'!$B$20="SQKICK"),AND(OR('Quantification Tool R4'!$B$12="67fhi",'Quantification Tool R4'!$B$12="67g"),'Quantification Tool R4'!$B$13&lt;=2),'Quantification Tool R4'!$B$12="65j"),IF(E349&lt;0,0,IF(E349&gt;57.8,0.69,ROUND('Reference Standards'!$AN$94*E349^2+'Reference Standards'!$AN$95*E349+'Reference Standards'!$AN$96,2))),IF(OR(AND('Quantification Tool R4'!$B$12="74a",'Quantification Tool R4'!$B$13&gt;2,'Quantification Tool R4'!$B$19="July - December"),AND(OR('Quantification Tool R4'!$B$12="67fhi",'Quantification Tool R4'!$B$12="67g"),'Quantification Tool R4'!$B$13&gt;2),'Quantification Tool R4'!$B$12="69de"),IF(E349&lt;0,0,IF(E349&gt;62.5,0.69,ROUND('Reference Standards'!$AO$94*E349^2+'Reference Standards'!$AO$95*E349+'Reference Standards'!$AO$96,2))),  IF(OR('Quantification Tool R4'!$B$12="66d",'Quantification Tool R4'!$B$12="66e",'Quantification Tool R4'!$B$12="66ik",'Quantification Tool R4'!$B$12="71e",'Quantification Tool R4'!$B$12="71f",'Quantification Tool R4'!$B$12="71g",'Quantification Tool R4'!$B$12="71h"),IF(E349&lt;0,0,IF(E349&gt;66.5,0.69,ROUND('Reference Standards'!$AP$94*E349^2+'Reference Standards'!$AP$95*E349+'Reference Standards'!$AP$96,2))),IF(OR('Quantification Tool R4'!$B$12="66f",'Quantification Tool R4'!$B$12="66g",'Quantification Tool R4'!$B$12="66j",AND('Quantification Tool R4'!$B$12="68a",'Quantification Tool R4'!$B$19="July - December")), IF(E349&lt;0,0,IF(E349&gt;69,0.69,ROUND('Reference Standards'!$AQ$94*E349^2+'Reference Standards'!$AQ$95*E349+'Reference Standards'!$AQ$96,2))))   )))))))))))</f>
        <v/>
      </c>
      <c r="G349" s="698"/>
      <c r="H349" s="699"/>
      <c r="I349" s="683"/>
      <c r="J349" s="684"/>
      <c r="K349" s="680"/>
      <c r="L349" s="21"/>
    </row>
    <row r="350" spans="1:12" ht="15.6" x14ac:dyDescent="0.3">
      <c r="A350" s="556"/>
      <c r="B350" s="561"/>
      <c r="C350" s="174" t="s">
        <v>339</v>
      </c>
      <c r="D350" s="175"/>
      <c r="E350" s="165"/>
      <c r="F350" s="346" t="str">
        <f>IF(E350="","",IF(AND('Quantification Tool R4'!$B$12="74b",'Quantification Tool R4'!$B$13&lt;=2),IF(E350&lt;0,0,IF(E350&gt;8.1,0.69,ROUND('Reference Standards'!$AL$131*E350^2+'Reference Standards'!$AL$132*E350+'Reference Standards'!$AL$133,2))),IF(OR('Quantification Tool R4'!$B$12="73a",'Quantification Tool R4'!$B$12="73b"),IF(E350&lt;0,0,IF(E350&gt;=28,0.69,ROUND('Reference Standards'!$AM$131*E350^2+'Reference Standards'!$AM$132*E350+'Reference Standards'!$AM$133,2))),IF(AND('Quantification Tool R4'!$B$12="74a",'Quantification Tool R4'!$B$13&gt;2,'Quantification Tool R4'!$B$19="January - June"),IF(E350&lt;0,0,IF(E350&gt;=32.5,0.69,ROUND('Reference Standards'!$AN$131*E350^2+'Reference Standards'!$AN$132*E350+'Reference Standards'!$AN$133,2))),IF(AND('Quantification Tool R4'!$B$12="71i",'Quantification Tool R4'!$B$13&gt;2,'Quantification Tool R4'!$B$20="SQBANK"),IF(E350&lt;0,0,IF(E350&gt;=37,0.69,ROUND('Reference Standards'!$AO$131*E350^2+'Reference Standards'!$AO$132*E350+'Reference Standards'!$AO$133,2))),IF(OR(AND(OR('Quantification Tool R4'!$B$12="65abei",'Quantification Tool R4'!$B$12="74b"),'Quantification Tool R4'!$B$13&gt;2),AND('Quantification Tool R4'!$B$12="71i",'Quantification Tool R4'!$B$13&gt;2,'Quantification Tool R4'!$B$20="SQKICK")),IF(E350&lt;0,0,IF(E350&gt;42.6,0.69,ROUND('Reference Standards'!$AP$131*E350^2+'Reference Standards'!$AP$132*E350+'Reference Standards'!$AP$133,2))),     IF(OR(AND('Quantification Tool R4'!$B$12="65abei",'Quantification Tool R4'!$B$13&lt;=2),AND(OR('Quantification Tool R4'!$B$12="68c",'Quantification Tool R4'!$B$12="68d"),'Quantification Tool R4'!$B$19="July - December"),'Quantification Tool R4'!$B$12="71e"),IF(E350&lt;0,0,IF(E350&gt;=48,0.69,ROUND('Reference Standards'!$AL$171*E350^2+'Reference Standards'!$AL$172*E350+'Reference Standards'!$AL$173,2))),IF(OR('Quantification Tool R4'!$B$12="65j",'Quantification Tool R4'!$B$12="67fhi",'Quantification Tool R4'!$B$12="67g",AND('Quantification Tool R4'!$B$12="74a",'Quantification Tool R4'!$B$19="July - December",'Quantification Tool R4'!$B$13&gt;2),AND('Quantification Tool R4'!$B$12="71i",'Quantification Tool R4'!$B$13&lt;=2)),IF(E350&lt;0,0,IF(E350&gt;=53,0.69,ROUND('Reference Standards'!$AM$171*E350^2+'Reference Standards'!$AM$172*E350+'Reference Standards'!$AM$173,2))),IF(OR(AND(OR('Quantification Tool R4'!$B$12="68b",'Quantification Tool R4'!$B$12="71f",'Quantification Tool R4'!$B$12="71g",'Quantification Tool R4'!$B$12="71h"),'Quantification Tool R4'!$B$13&gt;2),'Quantification Tool R4'!$B$12="68a"),IF(E350&lt;0,0,IF(E350&gt;=57,0.69,ROUND('Reference Standards'!$AN$171*E350^2+'Reference Standards'!$AN$172*E350+'Reference Standards'!$AN$173,2))),IF(OR('Quantification Tool R4'!$B$12="66f",'Quantification Tool R4'!$B$12="66g",'Quantification Tool R4'!$B$12="66j",AND(OR('Quantification Tool R4'!$B$12="71f",'Quantification Tool R4'!$B$12="71g",'Quantification Tool R4'!$B$12="71h"),'Quantification Tool R4'!$B$13&lt;=2)),IF(E350&lt;0,0,IF(E350&gt;=60,0.69,ROUND('Reference Standards'!$AO$171*E350^2+'Reference Standards'!$AO$172*E350+'Reference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December")),IF(E350&lt;0,0,IF(E350&gt;=67.5,0.69,ROUND('Reference Standards'!$AP$171*E350^2+'Reference Standards'!$AP$172*E350+'Reference Standards'!$AP$173,2))),IF(AND('Quantification Tool R4'!$B$12="69de",'Quantification Tool R4'!$B$19="January - June"), IF(E350&lt;0,0,IF(E350&gt;=72,0.69,ROUND('Reference Standards'!$AQ$171*E350^2+'Reference Standards'!$AQ$172*E350+'Reference Standards'!$AQ$173,2))))   )))))))))))</f>
        <v/>
      </c>
      <c r="G350" s="698"/>
      <c r="H350" s="699"/>
      <c r="I350" s="683"/>
      <c r="J350" s="684"/>
      <c r="K350" s="680"/>
      <c r="L350" s="21"/>
    </row>
    <row r="351" spans="1:12" ht="15.6" x14ac:dyDescent="0.3">
      <c r="A351" s="556"/>
      <c r="B351" s="562"/>
      <c r="C351" s="127" t="s">
        <v>336</v>
      </c>
      <c r="D351" s="71"/>
      <c r="E351" s="167"/>
      <c r="F351" s="346" t="str">
        <f>IF(E351="","",IF(OR('Quantification Tool R4'!$B$12="67fhi",'Quantification Tool R4'!$B$12="67g",'Quantification Tool R4'!$B$12="71e",'Quantification Tool R4'!$B$12="73a",'Quantification Tool R4'!$B$12="73b",AND(OR('Quantification Tool R4'!$B$12="71f",'Quantification Tool R4'!$B$12="71g",'Quantification Tool R4'!$B$12="71h"),'Quantification Tool R4'!$B$13&gt;2)),IF(E351&gt;100,0,IF(E351&lt;15,0.69,ROUND('Reference Standards'!$AL$208*E351^2+'Reference Standards'!$AL$209*E351+'Reference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),IF(E351&gt;100,0,IF(E351&lt;19,0.69,ROUND('Reference Standards'!$AM$208*E351^2+'Reference Standards'!$AM$209*E351+'Reference Standards'!$AM$210,2))),    IF(OR(AND('Quantification Tool R4'!$B$12="69de",'Quantification Tool R4'!$B$19="January - June"),AND('Quantification Tool R4'!$B$12="71i",'Quantification Tool R4'!$B$13&gt;2,'Quantification Tool R4'!$B$20="SQKICK" )),IF(E351&gt;100,0,IF(E351&lt;22,0.69,ROUND('Reference Standards'!$AN$208*E351^2+'Reference Standards'!$AN$209*E351+'Reference Standards'!$AN$210,2))),    IF(OR('Quantification Tool R4'!$B$12="65j",AND('Quantification Tool R4'!$B$12="68b",'Quantification Tool R4'!$B$13&gt;2)),IF(E351&gt;100,0,IF(E351&lt;24,0.69,ROUND('Reference Standards'!$AO$208*E351^2+'Reference Standards'!$AO$209*E351+'Reference Standards'!$AO$210,2))),    IF(AND(OR('Quantification Tool R4'!$B$12="65abei",'Quantification Tool R4'!$B$12="71f",'Quantification Tool R4'!$B$12="71g",'Quantification Tool R4'!$B$12="71h"),'Quantification Tool R4'!$B$13&lt;=2),IF(E351&gt;95,0,IF(E351&lt;33,0.69,ROUND('Reference Standards'!$AL$246*E351^2+'Reference Standards'!$AL$247*E351+'Reference Standards'!$AL$248,2))),   IF(AND(OR('Quantification Tool R4'!$B$12="65abei",'Quantification Tool R4'!$B$12="74b"),'Quantification Tool R4'!$B$13&gt;2),IF(E351&gt;97,0,IF(E351&lt;36,0.69,ROUND('Reference Standards'!$AM$246*E351^2+'Reference Standards'!$AM$247*E351+'Reference Standards'!$AM$248,2))),  IF(AND('Quantification Tool R4'!$B$12="74a",'Quantification Tool R4'!$B$19="January - June",'Quantification Tool R4'!$B$13&gt;2),IF(E351&gt;93,0,IF(E351&lt;52,0.69,ROUND('Reference Standards'!$AN$246*E351^2+'Reference Standards'!$AN$247*E351+'Reference Standards'!$AN$248,2))),   IF(AND('Quantification Tool R4'!$B$12="74b",'Quantification Tool R4'!$B$13&lt;=2),IF(E351&gt;97,0,IF(E351&lt;62,0.69,ROUND('Reference Standards'!$AO$246*E351^2+'Reference Standards'!$AO$247*E351+'Reference Standards'!$AO$248,2)))  )))))))))</f>
        <v/>
      </c>
      <c r="G351" s="698"/>
      <c r="H351" s="699"/>
      <c r="I351" s="683"/>
      <c r="J351" s="684"/>
      <c r="K351" s="680"/>
      <c r="L351" s="21"/>
    </row>
    <row r="352" spans="1:12" ht="15.6" x14ac:dyDescent="0.3">
      <c r="A352" s="556"/>
      <c r="B352" s="563" t="s">
        <v>74</v>
      </c>
      <c r="C352" s="125" t="s">
        <v>211</v>
      </c>
      <c r="D352" s="126"/>
      <c r="E352" s="166"/>
      <c r="F352" s="345" t="str">
        <f>IF(E352="","",IF(E352=1,0.15,IF(E352=3,0.5,IF(E352=5,0.85,0))))</f>
        <v/>
      </c>
      <c r="G352" s="672" t="str">
        <f>IFERROR(AVERAGE(F352:F353),"")</f>
        <v/>
      </c>
      <c r="H352" s="699"/>
      <c r="I352" s="683"/>
      <c r="J352" s="684"/>
      <c r="K352" s="680"/>
      <c r="L352" s="21"/>
    </row>
    <row r="353" spans="1:12" ht="15.6" x14ac:dyDescent="0.3">
      <c r="A353" s="551"/>
      <c r="B353" s="563"/>
      <c r="C353" s="127" t="s">
        <v>332</v>
      </c>
      <c r="D353" s="71"/>
      <c r="E353" s="167"/>
      <c r="F353" s="347" t="str">
        <f>IF(E353="","",IF(E353=1,0.15,IF(E353=3,0.5,IF(E353=5,0.85,0))))</f>
        <v/>
      </c>
      <c r="G353" s="673"/>
      <c r="H353" s="699"/>
      <c r="I353" s="683"/>
      <c r="J353" s="684"/>
      <c r="K353" s="680"/>
      <c r="L353" s="21"/>
    </row>
    <row r="354" spans="1:12" x14ac:dyDescent="0.3">
      <c r="L354" s="21"/>
    </row>
    <row r="355" spans="1:12" x14ac:dyDescent="0.3">
      <c r="L355" s="21"/>
    </row>
    <row r="356" spans="1:12" ht="21" x14ac:dyDescent="0.4">
      <c r="A356" s="148" t="s">
        <v>135</v>
      </c>
      <c r="B356" s="246"/>
      <c r="C356" s="249" t="s">
        <v>324</v>
      </c>
      <c r="D356" s="246"/>
      <c r="E356" s="247"/>
      <c r="F356" s="248"/>
      <c r="G356" s="544" t="s">
        <v>18</v>
      </c>
      <c r="H356" s="545"/>
      <c r="I356" s="545"/>
      <c r="J356" s="545"/>
      <c r="K356" s="546"/>
    </row>
    <row r="357" spans="1:12" ht="16.5" customHeight="1" x14ac:dyDescent="0.3">
      <c r="A357" s="158" t="s">
        <v>1</v>
      </c>
      <c r="B357" s="158" t="s">
        <v>2</v>
      </c>
      <c r="C357" s="542" t="s">
        <v>3</v>
      </c>
      <c r="D357" s="644"/>
      <c r="E357" s="158" t="s">
        <v>15</v>
      </c>
      <c r="F357" s="257" t="s">
        <v>16</v>
      </c>
      <c r="G357" s="257" t="s">
        <v>19</v>
      </c>
      <c r="H357" s="257" t="s">
        <v>20</v>
      </c>
      <c r="I357" s="325" t="s">
        <v>20</v>
      </c>
      <c r="J357" s="158" t="s">
        <v>21</v>
      </c>
      <c r="K357" s="158" t="s">
        <v>21</v>
      </c>
    </row>
    <row r="358" spans="1:12" ht="15.75" customHeight="1" x14ac:dyDescent="0.3">
      <c r="A358" s="540" t="s">
        <v>60</v>
      </c>
      <c r="B358" s="299" t="s">
        <v>86</v>
      </c>
      <c r="C358" s="52" t="s">
        <v>388</v>
      </c>
      <c r="D358" s="52"/>
      <c r="E358" s="162"/>
      <c r="F358" s="338" t="str">
        <f>IF(E358="","",IF(E358&lt;=0,0,IF(E358&gt;=0.95,1,ROUND('Reference Standards'!C$14*E358+'Reference Standards'!C$15,2))))</f>
        <v/>
      </c>
      <c r="G358" s="250" t="str">
        <f>IFERROR(AVERAGE(F358),"")</f>
        <v/>
      </c>
      <c r="H358" s="681" t="str">
        <f>IFERROR(ROUND(AVERAGE(G358:G359),2),"")</f>
        <v/>
      </c>
      <c r="I358" s="683" t="str">
        <f>IF(H358="","",IF(H358&gt;0.69,"Functioning",IF(H358&gt;0.29,"Functioning At Risk",IF(H358&gt;-1,"Not Functioning"))))</f>
        <v/>
      </c>
      <c r="J358" s="684" t="str">
        <f>IF(AND(H358="",H360="",H362="",H384="",H388=""),"",ROUND((IF(H358="",0,H358)*0.2)+(IF(H360="",0,H360)*0.2)+(IF(H362="",0,H362)*0.2)+(IF(H384="",0,H384)*0.2)+(IF(H388="",0,H388)*0.2),2))</f>
        <v/>
      </c>
      <c r="K358" s="680" t="str">
        <f>IF(J358="","",IF(J358&lt;0.3, "Not Functioning",IF(OR(H358&lt;0.7,H360&lt;0.7,H362&lt;0.7,H384&lt;0.7,H388&lt;0.7),"Functioning At Risk",IF(J358&lt;0.7,"Functioning At Risk","Functioning"))))</f>
        <v/>
      </c>
    </row>
    <row r="359" spans="1:12" ht="15.75" customHeight="1" x14ac:dyDescent="0.3">
      <c r="A359" s="541"/>
      <c r="B359" s="371" t="s">
        <v>128</v>
      </c>
      <c r="C359" s="373" t="s">
        <v>161</v>
      </c>
      <c r="D359" s="374"/>
      <c r="E359" s="43"/>
      <c r="F359" s="372" t="str">
        <f>IF(E359="","",IF(E359&gt;=1,1,IF(E359&lt;=0,0,ROUND(E359,2))))</f>
        <v/>
      </c>
      <c r="G359" s="369" t="str">
        <f>IFERROR(AVERAGE(F359:F359),"")</f>
        <v/>
      </c>
      <c r="H359" s="682"/>
      <c r="I359" s="683"/>
      <c r="J359" s="684"/>
      <c r="K359" s="680"/>
    </row>
    <row r="360" spans="1:12" ht="15" customHeight="1" x14ac:dyDescent="0.3">
      <c r="A360" s="524" t="s">
        <v>6</v>
      </c>
      <c r="B360" s="572" t="s">
        <v>7</v>
      </c>
      <c r="C360" s="54" t="s">
        <v>8</v>
      </c>
      <c r="D360" s="54"/>
      <c r="E360" s="162"/>
      <c r="F360" s="339" t="str">
        <f>IF(E360="","",ROUND(IF(E360&gt;1.6,0,IF(E360&lt;=1,1,E360^2*'Reference Standards'!K$14+E360*'Reference Standards'!K$15+'Reference Standards'!K$16)),2))</f>
        <v/>
      </c>
      <c r="G360" s="689" t="str">
        <f>IFERROR(AVERAGE(F360:F361),"")</f>
        <v/>
      </c>
      <c r="H360" s="689" t="str">
        <f>IFERROR(ROUND(AVERAGE(G360),2),"")</f>
        <v/>
      </c>
      <c r="I360" s="674" t="str">
        <f>IF(H360="","",IF(H360&gt;0.69,"Functioning",IF(H360&gt;0.29,"Functioning At Risk",IF(H360&gt;-1,"Not Functioning"))))</f>
        <v/>
      </c>
      <c r="J360" s="684"/>
      <c r="K360" s="680"/>
    </row>
    <row r="361" spans="1:12" ht="15" customHeight="1" x14ac:dyDescent="0.3">
      <c r="A361" s="525"/>
      <c r="B361" s="572"/>
      <c r="C361" s="54" t="s">
        <v>9</v>
      </c>
      <c r="D361" s="54"/>
      <c r="E361" s="163"/>
      <c r="F361" s="339" t="str">
        <f>IF(E361="","",(IF(OR('Quantification Tool R4'!B$11="A",'Quantification Tool R4'!B$11="B",'Quantification Tool R4'!$B$11="Bc"),IF(E361&lt;1.2,0,IF(E361&gt;=2.2,1,ROUND(IF(E361&lt;1.4,E361*'Reference Standards'!$K$84+'Reference Standards'!$K$85,E361*'Reference Standards'!$L$84+'Reference Standards'!$L$85),2))),IF(OR('Quantification Tool R4'!B$11="C",'Quantification Tool R4'!B$11="E"),IF(E361&lt;2,0,IF(E361&gt;=5,1,ROUND(IF(E361&lt;2.4,E361*'Reference Standards'!$L$49+'Reference Standards'!$L$50,E361*'Reference Standards'!$K$49+'Reference Standards'!$K$50),2)))))))</f>
        <v/>
      </c>
      <c r="G361" s="690"/>
      <c r="H361" s="691"/>
      <c r="I361" s="675"/>
      <c r="J361" s="684"/>
      <c r="K361" s="680"/>
    </row>
    <row r="362" spans="1:12" ht="15" customHeight="1" x14ac:dyDescent="0.3">
      <c r="A362" s="526" t="s">
        <v>26</v>
      </c>
      <c r="B362" s="557" t="s">
        <v>27</v>
      </c>
      <c r="C362" s="60" t="s">
        <v>333</v>
      </c>
      <c r="D362" s="244"/>
      <c r="E362" s="61"/>
      <c r="F362" s="340" t="str">
        <f>IF(E362="","",IF(OR(LEFT('Quantification Tool R4'!$B$12,2)="65",LEFT('Quantification Tool R4'!$B$12,2)="66",LEFT('Quantification Tool R4'!$B$12,2)="71"),IF(E362&gt;=850,1,IF(E362&lt;250,ROUND('Reference Standards'!$S$17*(E362)+'Reference Standards'!$S$18,2),ROUND('Reference Standards'!$T$17*E362+'Reference Standards'!$T$18,2))),  IF(E362&gt;=345,1,IF(E362&lt;=180,ROUND('Reference Standards'!$U$17*(E362)+'Reference Standards'!$U$18,2),ROUND('Reference Standards'!$V$17*E362+'Reference Standards'!$V$18,2))))    )</f>
        <v/>
      </c>
      <c r="G362" s="676" t="str">
        <f>IFERROR(AVERAGE(F362:F363),"")</f>
        <v/>
      </c>
      <c r="H362" s="678" t="str">
        <f>IFERROR(ROUND(AVERAGE(G362:G383),2),"")</f>
        <v/>
      </c>
      <c r="I362" s="680" t="str">
        <f>IF(H362="","",IF(H362&gt;0.69,"Functioning",IF(H362&gt;0.29,"Functioning At Risk",IF(H362&gt;-1,"Not Functioning"))))</f>
        <v/>
      </c>
      <c r="J362" s="684"/>
      <c r="K362" s="680"/>
    </row>
    <row r="363" spans="1:12" ht="15" customHeight="1" x14ac:dyDescent="0.3">
      <c r="A363" s="520"/>
      <c r="B363" s="558"/>
      <c r="C363" s="63" t="s">
        <v>323</v>
      </c>
      <c r="D363" s="245"/>
      <c r="E363" s="53"/>
      <c r="F363" s="341" t="str">
        <f>IF(E363="","",IF(OR(LEFT('Quantification Tool R4'!$B$12,2)="65",LEFT('Quantification Tool R4'!$B$12,2)="66",LEFT('Quantification Tool R4'!$B$12,2)="71"),IF(E363&gt;=30,1,IF(E363&lt;13,ROUND('Reference Standards'!$S$53*(E363)+'Reference Standards'!$S$54,2),ROUND('Reference Standards'!$T$53*E363+'Reference Standards'!$T$54,2))),  IF(E363&gt;=16,1,IF(E363&lt;=9,ROUND('Reference Standards'!$U$53*(E363)+'Reference Standards'!$U$54,2),ROUND('Reference Standards'!$V$53*E363+'Reference Standards'!$V$54,2))))    )</f>
        <v/>
      </c>
      <c r="G363" s="677"/>
      <c r="H363" s="678"/>
      <c r="I363" s="680"/>
      <c r="J363" s="684"/>
      <c r="K363" s="680"/>
    </row>
    <row r="364" spans="1:12" ht="15.6" x14ac:dyDescent="0.3">
      <c r="A364" s="520"/>
      <c r="B364" s="520" t="s">
        <v>395</v>
      </c>
      <c r="C364" s="58" t="s">
        <v>80</v>
      </c>
      <c r="D364" s="58"/>
      <c r="E364" s="165"/>
      <c r="F364" s="340" t="str">
        <f>IF(E364="","",ROUND(IF(E364&gt;0.7,0,IF(E364&lt;=0.1,1,E364^3*'Reference Standards'!S$87+E364^2*'Reference Standards'!S$88+E364*'Reference Standards'!S$89+'Reference Standards'!S$90)),2))</f>
        <v/>
      </c>
      <c r="G364" s="528" t="str">
        <f>IFERROR(ROUND(AVERAGE(F364:F367),2),"")</f>
        <v/>
      </c>
      <c r="H364" s="679"/>
      <c r="I364" s="680"/>
      <c r="J364" s="684"/>
      <c r="K364" s="680"/>
    </row>
    <row r="365" spans="1:12" ht="15.6" x14ac:dyDescent="0.3">
      <c r="A365" s="520"/>
      <c r="B365" s="520"/>
      <c r="C365" s="58" t="s">
        <v>49</v>
      </c>
      <c r="D365" s="58"/>
      <c r="E365" s="165"/>
      <c r="F365" s="84"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529"/>
      <c r="H365" s="679"/>
      <c r="I365" s="680"/>
      <c r="J365" s="684"/>
      <c r="K365" s="680"/>
    </row>
    <row r="366" spans="1:12" ht="15.6" x14ac:dyDescent="0.3">
      <c r="A366" s="520"/>
      <c r="B366" s="520"/>
      <c r="C366" s="58" t="s">
        <v>87</v>
      </c>
      <c r="D366" s="58"/>
      <c r="E366" s="165"/>
      <c r="F366" s="84" t="str">
        <f>IF(E366="","",ROUND(IF(E366&gt;40,0,IF(E366&lt;5,1,E366^3*'Reference Standards'!S$122+E366^2*'Reference Standards'!S$123+E366*'Reference Standards'!S$124+'Reference Standards'!S$125)),2))</f>
        <v/>
      </c>
      <c r="G366" s="529"/>
      <c r="H366" s="679"/>
      <c r="I366" s="680"/>
      <c r="J366" s="684"/>
      <c r="K366" s="680"/>
    </row>
    <row r="367" spans="1:12" ht="15.6" x14ac:dyDescent="0.3">
      <c r="A367" s="520"/>
      <c r="B367" s="521"/>
      <c r="C367" s="59" t="s">
        <v>394</v>
      </c>
      <c r="D367" s="59"/>
      <c r="E367" s="167"/>
      <c r="F367" s="341" t="str">
        <f>IF(E367="","",ROUND(IF(E367&gt;=30,0,IF(E367&lt;=0,1,E367*'Reference Standards'!S$156+'Reference Standards'!S$157)),2))</f>
        <v/>
      </c>
      <c r="G367" s="530"/>
      <c r="H367" s="679"/>
      <c r="I367" s="680"/>
      <c r="J367" s="684"/>
      <c r="K367" s="680"/>
    </row>
    <row r="368" spans="1:12" ht="15.6" x14ac:dyDescent="0.3">
      <c r="A368" s="520"/>
      <c r="B368" s="520" t="s">
        <v>50</v>
      </c>
      <c r="C368" s="60" t="s">
        <v>377</v>
      </c>
      <c r="D368" s="64"/>
      <c r="E368" s="136"/>
      <c r="F368" s="294" t="str">
        <f>IF(E368="","",ROUND(IF(E368&gt;9.2,1,E368*'Reference Standards'!$S$189+'Reference Standards'!$S$190),2))</f>
        <v/>
      </c>
      <c r="G368" s="685" t="str">
        <f>IFERROR(ROUND(AVERAGE(F368:F377),2),"")</f>
        <v/>
      </c>
      <c r="H368" s="679"/>
      <c r="I368" s="680"/>
      <c r="J368" s="684"/>
      <c r="K368" s="680"/>
    </row>
    <row r="369" spans="1:12" ht="15.6" x14ac:dyDescent="0.3">
      <c r="A369" s="520"/>
      <c r="B369" s="520"/>
      <c r="C369" s="62" t="s">
        <v>378</v>
      </c>
      <c r="D369" s="58"/>
      <c r="E369" s="162"/>
      <c r="F369" s="294" t="str">
        <f>IF(E369="","",ROUND(IF(E369&gt;9.2,1,E369*'Reference Standards'!$S$189+'Reference Standards'!$S$190),2))</f>
        <v/>
      </c>
      <c r="G369" s="686"/>
      <c r="H369" s="679"/>
      <c r="I369" s="680"/>
      <c r="J369" s="684"/>
      <c r="K369" s="680"/>
    </row>
    <row r="370" spans="1:12" ht="15.6" x14ac:dyDescent="0.3">
      <c r="A370" s="520"/>
      <c r="B370" s="520"/>
      <c r="C370" s="62" t="s">
        <v>379</v>
      </c>
      <c r="D370" s="58"/>
      <c r="E370" s="162"/>
      <c r="F370" s="294" t="str">
        <f>IF(E370="","",ROUND( IF(E370&gt;=200,1,IF(E370&lt;50, E370^2*'Reference Standards'!S$224+E370*'Reference Standards'!S$225+'Reference Standards'!S$226, E370*'Reference Standards'!T$224+'Reference Standards'!T$225)),2))</f>
        <v/>
      </c>
      <c r="G370" s="686"/>
      <c r="H370" s="679"/>
      <c r="I370" s="680"/>
      <c r="J370" s="684"/>
      <c r="K370" s="680"/>
    </row>
    <row r="371" spans="1:12" ht="15.6" x14ac:dyDescent="0.3">
      <c r="A371" s="520"/>
      <c r="B371" s="520"/>
      <c r="C371" s="62" t="s">
        <v>380</v>
      </c>
      <c r="D371" s="58"/>
      <c r="E371" s="162"/>
      <c r="F371" s="294" t="str">
        <f>IF(E371="","",ROUND( IF(E371&gt;=200,1,IF(E371&lt;50, E371^2*'Reference Standards'!S$224+E371*'Reference Standards'!S$225+'Reference Standards'!S$226, E371*'Reference Standards'!T$224+'Reference Standards'!T$225)),2))</f>
        <v/>
      </c>
      <c r="G371" s="686"/>
      <c r="H371" s="679"/>
      <c r="I371" s="680"/>
      <c r="J371" s="684"/>
      <c r="K371" s="680"/>
    </row>
    <row r="372" spans="1:12" ht="15.6" x14ac:dyDescent="0.3">
      <c r="A372" s="520"/>
      <c r="B372" s="520"/>
      <c r="C372" s="58" t="s">
        <v>381</v>
      </c>
      <c r="D372" s="58"/>
      <c r="E372" s="162"/>
      <c r="F372" s="294" t="str">
        <f>IF(E372="","",ROUND(IF(AND(E372&gt;=135,E372&lt;=262),1,IF(  E372&gt;=366,0.5, IF(E372&lt;135,E372*'Reference Standards'!S$259+'Reference Standards'!S$260, E372*'Reference Standards'!T$259+'Reference Standards'!T$260))),2))</f>
        <v/>
      </c>
      <c r="G372" s="686"/>
      <c r="H372" s="679"/>
      <c r="I372" s="680"/>
      <c r="J372" s="684"/>
      <c r="K372" s="680"/>
      <c r="L372" s="21"/>
    </row>
    <row r="373" spans="1:12" ht="15.6" x14ac:dyDescent="0.3">
      <c r="A373" s="520"/>
      <c r="B373" s="520"/>
      <c r="C373" s="58" t="s">
        <v>382</v>
      </c>
      <c r="D373" s="58"/>
      <c r="E373" s="162"/>
      <c r="F373" s="294" t="str">
        <f>IF(E373="","",ROUND(IF(AND(E373&gt;=135,E373&lt;=262),1,IF(  E373&gt;=366,0.5, IF(E373&lt;135,E373*'Reference Standards'!S$259+'Reference Standards'!S$260, E373*'Reference Standards'!T$259+'Reference Standards'!T$260))),2))</f>
        <v/>
      </c>
      <c r="G373" s="686"/>
      <c r="H373" s="679"/>
      <c r="I373" s="680"/>
      <c r="J373" s="684"/>
      <c r="K373" s="680"/>
      <c r="L373" s="21"/>
    </row>
    <row r="374" spans="1:12" ht="15.6" x14ac:dyDescent="0.3">
      <c r="A374" s="520"/>
      <c r="B374" s="520"/>
      <c r="C374" s="58" t="s">
        <v>383</v>
      </c>
      <c r="D374" s="58"/>
      <c r="E374" s="162"/>
      <c r="F374" s="84" t="str">
        <f>IF(E374="","",ROUND(IF(E374&gt;=75,1,IF(E374&lt;=0,0,E374*'Reference Standards'!S$330)),2))</f>
        <v/>
      </c>
      <c r="G374" s="686"/>
      <c r="H374" s="679"/>
      <c r="I374" s="680"/>
      <c r="J374" s="684"/>
      <c r="K374" s="680"/>
      <c r="L374" s="21"/>
    </row>
    <row r="375" spans="1:12" ht="15.6" x14ac:dyDescent="0.3">
      <c r="A375" s="520"/>
      <c r="B375" s="520"/>
      <c r="C375" s="58" t="s">
        <v>384</v>
      </c>
      <c r="D375" s="58"/>
      <c r="E375" s="162"/>
      <c r="F375" s="84" t="str">
        <f>IF(E375="","",ROUND(IF(E375&gt;=75,1,IF(E375&lt;=0,0,E375*'Reference Standards'!S$330)),2))</f>
        <v/>
      </c>
      <c r="G375" s="686"/>
      <c r="H375" s="679"/>
      <c r="I375" s="680"/>
      <c r="J375" s="684"/>
      <c r="K375" s="680"/>
      <c r="L375" s="21"/>
    </row>
    <row r="376" spans="1:12" ht="15.6" x14ac:dyDescent="0.3">
      <c r="A376" s="520"/>
      <c r="B376" s="520"/>
      <c r="C376" s="58" t="s">
        <v>385</v>
      </c>
      <c r="D376" s="58"/>
      <c r="E376" s="162"/>
      <c r="F376" s="294" t="str">
        <f>IF(E376="","",ROUND(IF(AND(E376&gt;=36.3,E376&lt;=68),1,IF(E376&gt;100,0,IF(E376&lt;36.3,(('Reference Standards'!S$297*(E376^2))+('Reference Standards'!S$298*E376)+'Reference Standards'!S$299),IF(E376&gt;68,(('Reference Standards'!T$297*(E376^2))+('Reference Standards'!T$298*E376)+'Reference Standards'!T$299))))),2))</f>
        <v/>
      </c>
      <c r="G376" s="686"/>
      <c r="H376" s="679"/>
      <c r="I376" s="680"/>
      <c r="J376" s="684"/>
      <c r="K376" s="680"/>
      <c r="L376" s="21"/>
    </row>
    <row r="377" spans="1:12" ht="15.6" x14ac:dyDescent="0.3">
      <c r="A377" s="520"/>
      <c r="B377" s="521"/>
      <c r="C377" s="58" t="s">
        <v>386</v>
      </c>
      <c r="D377" s="65"/>
      <c r="E377" s="162"/>
      <c r="F377" s="294" t="str">
        <f>IF(E377="","",ROUND(IF(AND(E377&gt;=36.3,E377&lt;=68),1,IF(E377&gt;100,0,IF(E377&lt;36.3,(('Reference Standards'!S$297*(E377^2))+('Reference Standards'!S$298*E377)+'Reference Standards'!S$299),IF(E377&gt;68,(('Reference Standards'!T$297*(E377^2))+('Reference Standards'!T$298*E377)+'Reference Standards'!T$299))))),2))</f>
        <v/>
      </c>
      <c r="G377" s="687"/>
      <c r="H377" s="679"/>
      <c r="I377" s="680"/>
      <c r="J377" s="684"/>
      <c r="K377" s="680"/>
      <c r="L377" s="21"/>
    </row>
    <row r="378" spans="1:12" ht="15.6" x14ac:dyDescent="0.3">
      <c r="A378" s="520"/>
      <c r="B378" s="56" t="s">
        <v>108</v>
      </c>
      <c r="C378" s="72" t="s">
        <v>130</v>
      </c>
      <c r="D378" s="58"/>
      <c r="E378" s="43"/>
      <c r="F378" s="82" t="str">
        <f>IF(E378="","",IF(OR('Quantification Tool R4'!B$14="Gravel",'Quantification Tool R4'!B$14="Cobble"),IF(E378&gt;0.1,1,IF(E378&lt;=0.01,0,ROUND(E378*'Reference Standards'!$S$362+'Reference Standards'!$S$363,2)))))</f>
        <v/>
      </c>
      <c r="G378" s="251" t="str">
        <f>IFERROR(AVERAGE(F378),"")</f>
        <v/>
      </c>
      <c r="H378" s="679"/>
      <c r="I378" s="680"/>
      <c r="J378" s="684"/>
      <c r="K378" s="680"/>
      <c r="L378" s="21"/>
    </row>
    <row r="379" spans="1:12" ht="15.6" x14ac:dyDescent="0.3">
      <c r="A379" s="520"/>
      <c r="B379" s="526" t="s">
        <v>51</v>
      </c>
      <c r="C379" s="64" t="s">
        <v>52</v>
      </c>
      <c r="D379" s="64"/>
      <c r="E379" s="166"/>
      <c r="F379" s="337" t="str">
        <f>IF(E379="","",IF(ISNUMBER('Quantification Tool R4'!$B$17),IF('Quantification Tool R4'!$B$17&lt;=2,IF(AND(E379&gt;=3,E379&lt;=5),1,IF(OR(E379&lt;=1,E379&gt;=7),0,ROUND(IF(E379&lt;3,E379*'Reference Standards'!S$398+'Reference Standards'!S$399,E379*'Reference Standards'!T$398+'Reference Standards'!T$399),2))),IF(E379&lt;=2.5,1,IF(E379&gt;=5.8,0,ROUND(E379*'Reference Standards'!S$430+'Reference Standards'!S$431,2))))))</f>
        <v/>
      </c>
      <c r="G379" s="676" t="str">
        <f>IFERROR(AVERAGE(F379:F382),"")</f>
        <v/>
      </c>
      <c r="H379" s="679"/>
      <c r="I379" s="680"/>
      <c r="J379" s="684"/>
      <c r="K379" s="680"/>
      <c r="L379" s="21"/>
    </row>
    <row r="380" spans="1:12" ht="15.6" x14ac:dyDescent="0.3">
      <c r="A380" s="520"/>
      <c r="B380" s="520"/>
      <c r="C380" s="58" t="s">
        <v>53</v>
      </c>
      <c r="D380" s="58"/>
      <c r="E380" s="165"/>
      <c r="F380" s="84" t="str">
        <f>IF(E380="","", IF( E380&gt;=2.4,1, IF(E380&lt;=1,0,  ROUND(IF(E380&lt;2.4, E380*'Reference Standards'!$S$464+'Reference Standards'!$S$465  ),2))))</f>
        <v/>
      </c>
      <c r="G380" s="688"/>
      <c r="H380" s="679"/>
      <c r="I380" s="680"/>
      <c r="J380" s="684"/>
      <c r="K380" s="680"/>
      <c r="L380" s="21"/>
    </row>
    <row r="381" spans="1:12" ht="15.6" x14ac:dyDescent="0.3">
      <c r="A381" s="520"/>
      <c r="B381" s="520"/>
      <c r="C381" s="58" t="s">
        <v>334</v>
      </c>
      <c r="D381" s="58"/>
      <c r="E381" s="165"/>
      <c r="F381" s="390" t="str">
        <f>IF(E381="","", IF(LEFT('Quantification Tool R4'!$B$12,2)="67",  IF( AND(E381&gt;=45,E381&lt;=65),1, IF(OR(E381&lt;=20,E381&gt;=90),0, ROUND(  IF(E381&lt;45, E381*'Reference Standards'!$S$498+'Reference Standards'!$S$499,E381*'Reference Standards'!$T$498+'Reference Standards'!$T$499),2))), IF(OR(  LEFT('Quantification Tool R4'!$B$12,2)="68", LEFT('Quantification Tool R4'!$B$12,2)="69",LEFT('Quantification Tool R4'!$B$12,2)="71"),  IF( AND(E381&gt;=30,E381&lt;=50),1, IF(OR(E381&lt;=10,E381&gt;=70),0, ROUND(  IF(E381&lt;30, E381*'Reference Standards'!$S$533+'Reference Standards'!$S$534,E381*'Reference Standards'!$T$533+'Reference Standards'!$T$534),2))), IF(LEFT('Quantification Tool R4'!$B$12,2)="66",  IF( AND(E381&gt;=20,E381&lt;=45),1, IF(OR(E381&lt;=0,E381&gt;=90),0, ROUND(  IF(E381&lt;20, E381*'Reference Standards'!$S$567+'Reference Standards'!$S$568,E381*'Reference Standards'!$T$567+'Reference Standards'!$T$568),2))), IF(OR(  LEFT('Quantification Tool R4'!$B$12,2)="65", LEFT('Quantification Tool R4'!$B$12,2)="74", LEFT('Quantification Tool R4'!$B$12,2)="73"),  IF( AND(E381&gt;=20,E381&lt;=30),1, IF(OR(E381&lt;=0,E381&gt;=50),0, ROUND(  IF(E381&lt;20, E381*'Reference Standards'!$S$601+'Reference Standards'!$S$602,E381*'Reference Standards'!$T$601+'Reference Standards'!$T$602),2))))))))</f>
        <v/>
      </c>
      <c r="G381" s="688"/>
      <c r="H381" s="679"/>
      <c r="I381" s="680"/>
      <c r="J381" s="684"/>
      <c r="K381" s="680"/>
      <c r="L381" s="21"/>
    </row>
    <row r="382" spans="1:12" ht="15.6" x14ac:dyDescent="0.3">
      <c r="A382" s="520"/>
      <c r="B382" s="521"/>
      <c r="C382" s="62" t="s">
        <v>210</v>
      </c>
      <c r="D382" s="58"/>
      <c r="E382" s="167"/>
      <c r="F382" s="391" t="str">
        <f>IF(E382="","",IF(E382&gt;=1.6,0,IF(E382&lt;=1,1,ROUND('Reference Standards'!$S$633*E382^3+'Reference Standards'!$S$634*E382^2+'Reference Standards'!$S$635*E382+'Reference Standards'!$S$636,2))))</f>
        <v/>
      </c>
      <c r="G382" s="677"/>
      <c r="H382" s="679"/>
      <c r="I382" s="680"/>
      <c r="J382" s="684"/>
      <c r="K382" s="680"/>
      <c r="L382" s="21"/>
    </row>
    <row r="383" spans="1:12" ht="15.6" x14ac:dyDescent="0.3">
      <c r="A383" s="521"/>
      <c r="B383" s="296" t="s">
        <v>55</v>
      </c>
      <c r="C383" s="242" t="s">
        <v>54</v>
      </c>
      <c r="D383" s="243"/>
      <c r="E383" s="163"/>
      <c r="F383" s="342" t="str">
        <f>IF(E383="","",IF(AND('Quantification Tool R4'!B$11="E",'Quantification Tool R4'!$B$14="Sand",'Quantification Tool R4'!$B$21="Unconfined Alluvial"),ROUND(IF(OR(E383&gt;1.8,E383&lt;1.3),0,IF(E383&lt;=1.6,1,E383*'Reference Standards'!S$667+'Reference Standards'!S$668)),2),    IF('Quantification Tool R4'!$B$21="Unconfined Alluvial",ROUND(IF(OR(E383&lt;1.2, E383&gt;1.5),0,IF(E383&lt;=1.4,1,E383*'Reference Standards'!$S$700+'Reference Standards'!$S$701)),2), IF('Quantification Tool R4'!$B$21="Confined Alluvial",ROUND(IF(E383&lt;1.15,0,IF(E383&lt;=1.4,E383*'Reference Standards'!$S$729+'Reference Standards'!$S$730,1)),2),  IF('Quantification Tool R4'!$B$21="Colluvial",ROUND(IF(E383&gt;1.3,0,IF(E383&gt;1.2,E383*'Reference Standards'!$S$760+'Reference Standards'!$S$761,1)),2) )))))</f>
        <v/>
      </c>
      <c r="G383" s="252" t="str">
        <f>IFERROR(AVERAGE(F383),"")</f>
        <v/>
      </c>
      <c r="H383" s="679"/>
      <c r="I383" s="680"/>
      <c r="J383" s="684"/>
      <c r="K383" s="680"/>
      <c r="L383" s="21"/>
    </row>
    <row r="384" spans="1:12" ht="15.6" x14ac:dyDescent="0.3">
      <c r="A384" s="537" t="s">
        <v>58</v>
      </c>
      <c r="B384" s="67" t="s">
        <v>88</v>
      </c>
      <c r="C384" s="70" t="s">
        <v>338</v>
      </c>
      <c r="D384" s="70"/>
      <c r="E384" s="43"/>
      <c r="F384" s="343" t="str">
        <f>IF(E384="","",ROUND(IF(E384&gt;=942,0,IF(E384&lt;=487,E384*'Reference Standards'!AB$15+'Reference Standards'!AB$16,E384*'Reference Standards'!$AC$15+'Reference Standards'!$AC$16)),2))</f>
        <v/>
      </c>
      <c r="G384" s="253" t="str">
        <f>IFERROR(AVERAGE(F384),"")</f>
        <v/>
      </c>
      <c r="H384" s="692" t="str">
        <f>IFERROR(ROUND(AVERAGE(G384:G387),2),"")</f>
        <v/>
      </c>
      <c r="I384" s="695" t="str">
        <f>IF(H384="","",IF(H384&gt;0.69,"Functioning",IF(H384&gt;0.29,"Functioning At Risk",IF(H384&gt;-1,"Not Functioning"))))</f>
        <v/>
      </c>
      <c r="J384" s="684"/>
      <c r="K384" s="680"/>
      <c r="L384" s="21"/>
    </row>
    <row r="385" spans="1:12" ht="15.75" customHeight="1" x14ac:dyDescent="0.3">
      <c r="A385" s="538"/>
      <c r="B385" s="297" t="s">
        <v>362</v>
      </c>
      <c r="C385" s="66" t="s">
        <v>354</v>
      </c>
      <c r="D385" s="66"/>
      <c r="E385" s="163"/>
      <c r="F385" s="344" t="str">
        <f>IF(E385="","",IF(OR('Quantification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June")),IF(E385&gt;93,0,IF(E385&lt;13,1,ROUND('Reference Standards'!$AB$53*E385^2+'Reference Standards'!$AB$54*E385+'Reference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R4'!$B$12="73b"),IF(E385&gt;94,0,IF(E385&lt;17,1,ROUND('Reference Standards'!$AC$53*E385^2+'Reference Standards'!$AC$54*E385+'Reference Standards'!$AC$55,2))),    IF(OR(AND(OR('Quantification Tool R4'!$B$12="68b",'Quantification Tool R4'!$B$12="71i"),'Quantification Tool R4'!$B$13&gt;2), 'Quantification Tool R4'!$B$12="71e"),IF(E385&gt;91,0,IF(E385&lt;24,1,ROUND('Reference Standards'!$AD$53*E385^2+'Reference Standards'!$AD$54*E385+'Reference Standards'!$AD$55,2))),  IF(OR(AND(OR('Quantification Tool R4'!$B$12="71f",'Quantification Tool R4'!$B$12="71g",'Quantification Tool R4'!$B$12="71h",'Quantification Tool R4'!$B$12="71i"),'Quantification Tool R4'!$B$13&lt;=2), AND('Quantification Tool R4'!$B$12="74a",'Quantification Tool R4'!$B$13&gt;2)),IF(E385&gt;95,0,IF(E385&lt;=36,1,ROUND('Reference Standards'!$AE$53*E385^2+'Reference Standards'!$AE$54*E385+'Reference Standards'!$AE$55,2))))))))</f>
        <v/>
      </c>
      <c r="G385" s="254" t="str">
        <f>IFERROR(AVERAGE(F385:F385),"")</f>
        <v/>
      </c>
      <c r="H385" s="693"/>
      <c r="I385" s="696"/>
      <c r="J385" s="684"/>
      <c r="K385" s="680"/>
    </row>
    <row r="386" spans="1:12" ht="15.75" customHeight="1" x14ac:dyDescent="0.3">
      <c r="A386" s="538"/>
      <c r="B386" s="67" t="s">
        <v>81</v>
      </c>
      <c r="C386" s="68" t="s">
        <v>281</v>
      </c>
      <c r="D386" s="68"/>
      <c r="E386" s="162"/>
      <c r="F386" s="344" t="str">
        <f>IF(E386="","",IF(ISNUMBER('Quantification Tool R4'!$B$13),IF(OR('Quantification Tool R4'!$B$12="66e",'Quantification Tool R4'!$B$12="66f",'Quantification Tool R4'!$B$12="66g"),ROUND(IF(E386&gt;=0.61,0,IF(E386&lt;=0.01,1,IF(E386&lt;=0.06,E386*'Reference Standards'!$AD$197+'Reference Standards'!$AD$198,E386^2*'Reference Standards'!$AB$196+E386*'Reference Standards'!$AB$197+'Reference Standards'!$AB$198))),2),IF('Quantification Tool R4'!$B$12="68b",ROUND(IF(E386&gt;=1.1,0,IF(E386&lt;=0.17,1,IF(E386&lt;=0.22,E386*'Reference Standards'!$AE$197+'Reference Standards'!$AE$198,E386^2*'Reference Standards'!$AC$196+E386*'Reference Standards'!$AC$197+'Reference Standards'!$AC$198))),2),IF('Quantification Tool R4'!$B$13&lt;=2.5,IF('Quantification Tool R4'!$B$12="69de",ROUND(IF(E386&gt;=0.22,0,IF(E386&lt;=0.01,1,E386^2*'Reference Standards'!$AB$90+E386*'Reference Standards'!$AB$91+'Reference Standards'!$AB$92)),2),IF('Quantification Tool R4'!$B$12="68c",ROUND(IF(E386&gt;=0.87,0,IF(E386&lt;=0.01,1,E386^2*'Reference Standards'!$AC$90+E386*'Reference Standards'!$AC$91+'Reference Standards'!$AC$92)),2),IF('Quantification Tool R4'!$B$12="68a",ROUND(IF(E386&gt;=0.81,0,IF(E386&lt;=0.01,1,E386^2*'Reference Standards'!$AD$90+E386*'Reference Standards'!$AD$91+'Reference Standards'!$AD$92)),2),IF('Quantification Tool R4'!$B$12="65abei",ROUND(IF(E386&gt;=0.67,0,IF(E386&lt;=0.01,1,IF(E386&lt;=0.18,E386*'Reference Standards'!$AG$91+'Reference Standards'!$AG$92,E386*'Reference Standards'!$AE$91+'Reference Standards'!$AE$92))),2),IF('Quantification Tool R4'!$B$12="65j",ROUND(IF(E386&gt;=0.32,0,IF(E386&lt;=0.01,1,IF(E386&lt;=0.25,E386*'Reference Standards'!$AH$91+'Reference Standards'!$AH$92,E386*'Reference Standards'!$AF$91+'Reference Standards'!$AF$92))),2),IF('Quantification Tool R4'!$B$12="71f",ROUND(IF(E386&gt;=3,0,IF(E386&lt;=0,1,IF(E386&lt;=0.01,0.7,E386^2*'Reference Standards'!$AB$126+E386*'Reference Standards'!$AB$127+'Reference Standards'!$AB$128))),2),IF('Quantification Tool R4'!$B$12="74a",ROUND(IF(E386&gt;=0.14,0,IF(E386&lt;=0.01,1,IF(E386&lt;=0.02,0.7,E386^2*'Reference Standards'!$AC$126+E386*'Reference Standards'!$AC$127+'Reference Standards'!$AC$128))),2),IF(OR('Quantification Tool R4'!$B$12="67fhi",'Quantification Tool R4'!$B$12="67g"),ROUND(IF(E386&gt;=1.9,0,IF(E386&lt;=0.01,1,IF(E386&lt;=0.05,E386*'Reference Standards'!$AF$127+'Reference Standards'!$AF$128,E386^2*'Reference Standards'!$AD$126+E386*'Reference Standards'!$AD$127+'Reference Standards'!$AD$128))),2),IF('Quantification Tool R4'!$B$12="73a",ROUND(IF(E386&gt;=1.44,0,IF(E386&lt;=0.01,1,IF(E386&lt;=0.12,E386*'Reference Standards'!$AG$127+'Reference Standards'!$AG$128,E386^2*'Reference Standards'!$AE$126+E386*'Reference Standards'!$AE$127+'Reference Standards'!$AE$128))),2),IF('Quantification Tool R4'!$B$12="66d",ROUND(IF(E386&gt;=0.46,0,IF(E386&lt;=0.02,1,IF(E386&lt;=0.08,E386*'Reference Standards'!$AF$163+'Reference Standards'!$AF$164,E386^2*'Reference Standards'!$AB$162+E386*'Reference Standards'!$AB$163+'Reference Standards'!$AB$164))),2),IF(OR('Quantification Tool R4'!$B$12="71g",'Quantification Tool R4'!$B$12="71h",'Quantification Tool R4'!$B$12="71i"),ROUND(IF(E386&gt;=3,0,IF(E386&lt;=0.06,1,IF(E386&lt;=0.24,E386*'Reference Standards'!$AG$163+'Reference Standards'!$AG$164,E386^2*'Reference Standards'!$AC$162+E386*'Reference Standards'!$AC$163+'Reference Standards'!$AC$164))),2),IF('Quantification Tool R4'!$B$12="74b",ROUND(IF(E386&gt;=1.3,0,IF(E386&lt;=0.29,1,IF(E386&lt;=0.48,E386*'Reference Standards'!$AH$163+'Reference Standards'!$AH$164,E386^2*'Reference Standards'!$AD$162+E386*'Reference Standards'!$AD$163+'Reference Standards'!$AD$164))),2),IF('Quantification Tool R4'!$B$12="71e",ROUND(IF(E386&gt;=4.3,0,IF(E386&lt;=0.53,1,IF(E386&lt;=0.67,E386*'Reference Standards'!$AI$163+'Reference Standards'!$AI$164,E386^2*'Reference Standards'!$AE$162+E386*'Reference Standards'!$AE$163+'Reference Standards'!$AE$164))),2)))))))))))))),IF('Quantification Tool R4'!$B$13&gt;2.5,IF('Quantification Tool R4'!$B$12="73a",ROUND(IF(E386&gt;=0.55,0,IF(E386&lt;=0,1,E386^2*'Reference Standards'!$AB$232+E386*'Reference Standards'!$AB$233+'Reference Standards'!$AB$234)),2),IF('Quantification Tool R4'!$B$12="68a",ROUND(IF(E386&gt;=0.54,0,IF(E386&lt;=0,1,IF(E386&lt;=0.01,0.85,E386^2*'Reference Standards'!$AC$232+E386*'Reference Standards'!$AC$233+'Reference Standards'!$AC$234))),2),IF('Quantification Tool R4'!$B$12="74a",ROUND(IF(E386&gt;=0.47,0,IF(E386&lt;=0.01,1,IF(E386&lt;=0.02,0.7,E386^2*'Reference Standards'!$AD$232+E386*'Reference Standards'!$AD$233+'Reference Standards'!$AD$234))),2),IF('Quantification Tool R4'!$B$12="69de",ROUND(IF(E386&gt;=0.26,0,IF(E386&lt;=0.01,1,IF(E386&lt;=0.02,0.85,E386^2*'Reference Standards'!$AE$232+E386*'Reference Standards'!$AE$233+'Reference Standards'!$AE$234))),2),IF('Quantification Tool R4'!$B$12="71f",ROUND(IF(E386&gt;=0.87,0,IF(E386&lt;=0.01,1,IF(E386&lt;=0.04,E386*'Reference Standards'!$AF$269+'Reference Standards'!$AF$270,E386^2*'Reference Standards'!$AB$268+E386*'Reference Standards'!$AB$269+'Reference Standards'!$AB$270))),2),IF('Quantification Tool R4'!$B$12="65abei",ROUND(IF(E386&gt;=0.82,0,IF(E386&lt;=0.01,1,IF(E386&lt;=0.06,E386*'Reference Standards'!$AG$269+'Reference Standards'!$AG$270,E386^2*'Reference Standards'!$AC$268+E386*'Reference Standards'!$AC$269+'Reference Standards'!$AC$270))),2),IF('Quantification Tool R4'!$B$12="65j",ROUND(IF(E386&gt;=0.33,0,IF(E386&lt;=0.03,1,IF(E386&lt;=0.09,E386*'Reference Standards'!$AH$269+'Reference Standards'!$AH$270,E386^2*'Reference Standards'!$AD$268+E386*'Reference Standards'!$AD$269+'Reference Standards'!$AD$270))),2),IF('Quantification Tool R4'!$B$12="68c",ROUND(IF(E386&gt;=0.7,0,IF(E386&lt;=0.07,1,IF(E386&lt;=0.12,E386*'Reference Standards'!$AI$269+'Reference Standards'!$AI$270,E386^2*'Reference Standards'!$AE$268+E386*'Reference Standards'!$AE$269+'Reference Standards'!$AE$270))),2),IF(OR('Quantification Tool R4'!$B$12="67fhi",'Quantification Tool R4'!$B$12="67g"),ROUND(IF(E386&gt;=1.8,0,IF(E386&lt;=0.08,1,IF(E386&lt;=0.2,E386*'Reference Standards'!$AF$306+'Reference Standards'!$AF$307,E386^2*'Reference Standards'!$AB$305+E386*'Reference Standards'!$AB$306+'Reference Standards'!$AB$307))),2),IF('Quantification Tool R4'!$B$12="74b",ROUND(IF(E386&gt;=0.96,0,IF(E386&lt;=0.12,1,IF(E386&lt;=0.16,E386*'Reference Standards'!$AG$306+'Reference Standards'!$AG$307,E386^2*'Reference Standards'!$AC$305+E386*'Reference Standards'!$AC$306+'Reference Standards'!$AC$307))),2),IF('Quantification Tool R4'!$B$12="66d",ROUND(IF(E386&gt;=0.75,0,IF(E386&lt;=0.13,1,IF(E386&lt;=0.2,E386*'Reference Standards'!$AH$306+'Reference Standards'!$AH$307,E386^2*'Reference Standards'!$AD$305+E386*'Reference Standards'!$AD$306+'Reference Standards'!$AD$307))),2),IF(OR('Quantification Tool R4'!$B$12="71g",'Quantification Tool R4'!$B$12="71h",'Quantification Tool R4'!$B$12="71i"),ROUND(IF(E386&gt;=1.68,0,IF(E386&lt;=0.08,1,IF(E386&lt;=0.23,E386*'Reference Standards'!$AI$306+'Reference Standards'!$AI$307,E386^2*'Reference Standards'!$AE$305+E386*'Reference Standards'!$AE$306+'Reference Standards'!$AE$307))),2),IF('Quantification Tool R4'!$B$12="71e",ROUND(IF(E386&gt;=5.3,0,IF(E386&lt;=0.94,1,IF(E386&lt;=1.4,E386*'Reference Standards'!$AF$310+'Reference Standards'!$AF$311,E386^2*'Reference Standards'!$AB$309+E386*'Reference Standards'!$AB$310+'Reference Standards'!$AB$311))),2))))))))))))))))))))</f>
        <v/>
      </c>
      <c r="G386" s="255" t="str">
        <f>IFERROR(AVERAGE(F386),"")</f>
        <v/>
      </c>
      <c r="H386" s="693"/>
      <c r="I386" s="696"/>
      <c r="J386" s="684"/>
      <c r="K386" s="680"/>
    </row>
    <row r="387" spans="1:12" ht="15.75" customHeight="1" x14ac:dyDescent="0.3">
      <c r="A387" s="539"/>
      <c r="B387" s="298" t="s">
        <v>82</v>
      </c>
      <c r="C387" s="66" t="s">
        <v>280</v>
      </c>
      <c r="D387" s="66"/>
      <c r="E387" s="136"/>
      <c r="F387" s="343" t="str">
        <f>IF(E387="","",IF(ISNUMBER('Quantification Tool R4'!$B$13),IF('Quantification Tool R4'!$B$13&gt;2.5,IF(OR('Quantification Tool R4'!$B$12="71h",'Quantification Tool R4'!$B$12="71i",'Quantification Tool R4'!$B$12="73a",'Quantification Tool R4'!$B$12="74a"),IF(E387&lt;=0.01,1,IF(OR('Quantification Tool R4'!$B$12="71h",'Quantification Tool R4'!$B$12="71i"),IF(E387&gt;0.37,0,ROUND(IF(E387&gt;0.03,'Reference Standards'!$AB$425*E387^2+'Reference Standards'!$AB$426*E387+'Reference Standards'!$AB$427,'Reference Standards'!$AF$426*E387+'Reference Standards'!$AF$427),2)),IF('Quantification Tool R4'!$B$12="73a",IF(E387&gt;0.405,0,ROUND(IF(E387&gt;0.046,'Reference Standards'!$AC$425*E387^2+'Reference Standards'!$AC$426*E387+'Reference Standards'!$AC$427,'Reference Standards'!$AG$426*E387+'Reference Standards'!$AG$427),2)),IF('Quantification Tool R4'!$B$12="74a",IF(E387&gt;0.3,0,ROUND(IF(E387&gt;0.052,'Reference Standards'!$AD$425*E387^2+'Reference Standards'!$AD$426*E387+'Reference Standards'!$AD$427,'Reference Standards'!$AH$426*E387+'Reference Standards'!$AH$427),2)))))),IF(E387&lt;=0.002,1,IF(OR('Quantification Tool R4'!$B$12="66d",'Quantification Tool R4'!$B$12="66e",'Quantification Tool R4'!$B$12="66g"),IF(E387&gt;0.053,0,ROUND(E387^2*'Reference Standards'!$AB$347+E387*'Reference Standards'!$AB$348+'Reference Standards'!$AB$349,2)),IF('Quantification Tool R4'!$B$12="68b",IF(E387&gt;0.05,0,ROUND(E387^2*'Reference Standards'!$AC$347+E387*'Reference Standards'!$AC$348+'Reference Standards'!$AC$349,2)),IF(OR('Quantification Tool R4'!$B$12="68a",'Quantification Tool R4'!$B$12="68c"),IF(E387&gt;0.07,0,ROUND(E387^2*'Reference Standards'!$AD$347+E387*'Reference Standards'!$AD$348+'Reference Standards'!$AD$349,2)),IF(OR('Quantification Tool R4'!$B$12="71f",'Quantification Tool R4'!$B$12="71g"),IF(E387&gt;0.13,0,ROUND(IF(E387&gt;0.042,E387*'Reference Standards'!$AE$348+'Reference Standards'!$AE$349,E387*'Reference Standards'!$AF$348+'Reference Standards'!$AF$349),2)),IF('Quantification Tool R4'!$B$12="67fhi",IF(E387&gt;0.16,0,ROUND(E387^2*'Reference Standards'!$AG$347+E387*'Reference Standards'!$AG$348+'Reference Standards'!$AG$349,2)),IF('Quantification Tool R4'!$B$12="65j",IF(E387&gt;0.035,0,ROUND(IF(E387&lt;=0.003,0.7,E387^2*'Reference Standards'!$AB$387+E387*'Reference Standards'!$AB$388+'Reference Standards'!$AB$389),2)),IF('Quantification Tool R4'!$B$12="69de",IF(E387&gt;0.037,0,ROUND(IF(E387&lt;=0.003,0.7,E387^2*'Reference Standards'!$AC$387+E387*'Reference Standards'!$AC$388+'Reference Standards'!$AC$389),2)),IF('Quantification Tool R4'!$B$12="71e",IF(E387&gt;0.23,0,ROUND(IF(E387&lt;=0.003,0.7,E387^2*'Reference Standards'!$AD$387+E387*'Reference Standards'!$AD$388+'Reference Standards'!$AD$389),2)),IF('Quantification Tool R4'!$B$12="66f",IF(E387&gt;0.06,0,ROUND(IF(E387&lt;=0.003,0.85,IF(E387&lt;=0.004,0.7,E387^2*'Reference Standards'!$AE$387+E387*'Reference Standards'!$AE$388+'Reference Standards'!$AE$389)),2)),IF('Quantification Tool R4'!$B$12="67g",IF(E387&gt;0.11,0,ROUND(IF(E387&lt;=0.01,E387*'Reference Standards'!$AH$388+'Reference Standards'!$AH$389,E387^2*'Reference Standards'!$AF$387+E387*'Reference Standards'!$AF$388+'Reference Standards'!$AF$389),2)),IF('Quantification Tool R4'!$B$12="74b",IF(E387&gt;0.49,0,ROUND(IF(E387&lt;=0.01,E387*'Reference Standards'!$AH$388+'Reference Standards'!$AH$389,E387^2*'Reference Standards'!$AG$387+E387*'Reference Standards'!$AG$388+'Reference Standards'!$AG$389),2)),IF('Quantification Tool R4'!$B$12="65abei",IF(E387&gt;0.199,0,ROUND(IF(E387&lt;=0.01,E387*'Reference Standards'!$AI$426+'Reference Standards'!$AI$427,E387^2*'Reference Standards'!$AE$425+E387*'Reference Standards'!$AE$426+'Reference Standards'!$AE$427),2)))))))))))))))),IF('Quantification Tool R4'!$B$13&lt;=2.5,IF(OR('Quantification Tool R4'!$B$12="66d",'Quantification Tool R4'!$B$12="66e",'Quantification Tool R4'!$B$12="66g"),IF(E387&gt;0.05,0,ROUND(IF(E387&lt;=0.002,1,IF(E387&lt;=0.005,E387*'Reference Standards'!$AF$464+'Reference Standards'!$AF$465,E387^2*'Reference Standards'!$AB$463+E387*'Reference Standards'!$AB$464+'Reference Standards'!$AB$465)),2)),IF('Quantification Tool R4'!$B$12="67fhi",IF(E387&gt;0.1,0,ROUND(IF(E387&lt;=0.002,1,IF(E387&lt;=0.006,E387*'Reference Standards'!$AG$464+'Reference Standards'!$AG$465,E387^2*'Reference Standards'!$AC$463+E387*'Reference Standards'!$AC$464+'Reference Standards'!$AC$465)),2)),IF('Quantification Tool R4'!$B$12="65abei",IF(E387&gt;0.13,0,ROUND(IF(E387&lt;=0.003,1,IF(E387&lt;=0.008,E387*'Reference Standards'!$AH$464+'Reference Standards'!$AH$465,E387^2*'Reference Standards'!$AD$463+E387*'Reference Standards'!$AD$464+'Reference Standards'!$AD$465)),2)),IF('Quantification Tool R4'!$B$12="68b",IF(E387&gt;0.043,0,ROUND(IF(E387&lt;=0.004,1,IF(E387&lt;=0.005,0.7,E387^2*'Reference Standards'!$AE$463+E387*'Reference Standards'!$AE$464+'Reference Standards'!$AE$465)),2)),IF('Quantification Tool R4'!$B$12="69de",IF(E387&gt;=0.034,0,ROUND(IF(E387&lt;=0.003,1,IF(E387&lt;=0.006,E387*'Reference Standards'!$AG$500+'Reference Standards'!$AG$501,E387*'Reference Standards'!$AB$500+'Reference Standards'!$AB$501)),2)),IF(OR('Quantification Tool R4'!$B$12="68a",'Quantification Tool R4'!$B$12="68c"),IF(E387&gt;0.202,0,ROUND(IF(E387&lt;=0.003,1,IF(E387&lt;=0.006,E387*'Reference Standards'!$AG$500+'Reference Standards'!$AG$501,IF(E387&gt;=0.04,E387*'Reference Standards'!$AC$500+'Reference Standards'!$AC$501,E387*'Reference Standards'!$AE$500+'Reference Standards'!$AE$501))),2)),IF(OR('Quantification Tool R4'!$B$12="71f",'Quantification Tool R4'!$B$12="71g"),IF(E387&gt;0.631,0,ROUND(IF(E387&lt;=0.003,1,IF(E387&lt;=0.006,E387*'Reference Standards'!$AG$500+'Reference Standards'!$AG$501,IF(E387&gt;=0.17,E387*'Reference Standards'!$AD$500+'Reference Standards'!$AD$501,E387*'Reference Standards'!$AF$500+'Reference Standards'!$AF$501))),2)),IF('Quantification Tool R4'!$B$12="71e",IF(E387&gt;1.23,0,ROUND(IF(E387&lt;=0.004,1,IF(E387&lt;=0.006,E387*'Reference Standards'!$AF$538+'Reference Standards'!$AF$539,E387^2*'Reference Standards'!$AB$537+E387*'Reference Standards'!$AB$538+'Reference Standards'!$AB$539)),2)),IF('Quantification Tool R4'!$B$12="67g",IF(E387&gt;0.11,0,ROUND(IF(E387&lt;=0.006,1,IF(E387&lt;=0.011,E387*'Reference Standards'!$AG$538+'Reference Standards'!$AG$539,E387^2*'Reference Standards'!$AC$537+E387*'Reference Standards'!$AC$538+'Reference Standards'!$AC$539)),2)),IF('Quantification Tool R4'!$B$12="65j",IF(E387&gt;0.046,0,ROUND(IF(E387&lt;=0.007,1,IF(E387&lt;=0.012,E387*'Reference Standards'!$AH$538+'Reference Standards'!$AH$539,E387^2*'Reference Standards'!$AD$537+E387*'Reference Standards'!$AD$538+'Reference Standards'!$AD$539)),2)),IF('Quantification Tool R4'!$B$12="66f",IF(E387&gt;0.081,0,ROUND(IF(E387&lt;=0.008,1,IF(E387&lt;=0.011,E387*'Reference Standards'!$AI$538+'Reference Standards'!$AI$539,E387^2*'Reference Standards'!$AE$537+E387*'Reference Standards'!$AE$538+'Reference Standards'!$AE$539)),2)),IF(OR('Quantification Tool R4'!$B$12="71h",'Quantification Tool R4'!$B$12="71i"),IF(E387&gt;0.37,0,ROUND(IF(E387&lt;=0.013,1,IF(E387&lt;=0.032,E387*'Reference Standards'!$AH$576+'Reference Standards'!$AH$577,IF(E387&lt;=0.3,E387*'Reference Standards'!$AF$576+'Reference Standards'!$AF$577,E387*'Reference Standards'!$AB$576+'Reference Standards'!$AB$577))),2)),IF('Quantification Tool R4'!$B$12="73a",IF(E387&gt;0.448,0,ROUND(IF(E387&lt;=0.071,1,IF(E387&lt;=0.086,E387*'Reference Standards'!$AJ$576+'Reference Standards'!$AJ$577,IF(E387&lt;=0.165,E387*'Reference Standards'!$AG$576+'Reference Standards'!$AG$577,E387*'Reference Standards'!$AE$576+'Reference Standards'!$AE$577))),2)),IF('Quantification Tool R4'!$B$12="74b",IF(E387&gt;0.43,0,ROUND(IF(E387&lt;=0.018,1,IF(E387&lt;=0.019,0.85,IF(E387&lt;=0.02,0.7,E387^2*'Reference Standards'!$AC$575+E387*'Reference Standards'!$AC$576+'Reference Standards'!$AC$577))),2)),IF('Quantification Tool R4'!$B$12="74a",IF(E387&gt;0.217,0,ROUND(IF(E387&lt;=0.02,1,IF(E387&lt;=0.033,E387*'Reference Standards'!$AI$576+'Reference Standards'!$AI$577,E387^2*'Reference Standards'!$AD$575+E387*'Reference Standards'!$AD$576+'Reference Standards'!$AD$577)),2)))))))))))))))))))))</f>
        <v/>
      </c>
      <c r="G387" s="256" t="str">
        <f>IFERROR(AVERAGE(F387),"")</f>
        <v/>
      </c>
      <c r="H387" s="694"/>
      <c r="I387" s="697"/>
      <c r="J387" s="684"/>
      <c r="K387" s="680"/>
    </row>
    <row r="388" spans="1:12" ht="15.6" x14ac:dyDescent="0.3">
      <c r="A388" s="550" t="s">
        <v>59</v>
      </c>
      <c r="B388" s="560" t="s">
        <v>340</v>
      </c>
      <c r="C388" s="125" t="s">
        <v>331</v>
      </c>
      <c r="D388" s="126"/>
      <c r="E388" s="166"/>
      <c r="F388" s="345" t="str">
        <f>IF(E388="","",IF(OR('Quantification Tool R4'!B$12="73a",'Quantification Tool R4'!B$12="73b"),IF(E388&lt;1,0,IF(E388&gt;=30,1,ROUND(IF(E388&lt;22,'Reference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698" t="str">
        <f>IFERROR(AVERAGE(F388:F391),"")</f>
        <v/>
      </c>
      <c r="H388" s="699" t="str">
        <f>IFERROR(ROUND(AVERAGE(G388:G393),2),"")</f>
        <v/>
      </c>
      <c r="I388" s="683" t="str">
        <f>IF(H388="","",IF(H388&gt;0.69,"Functioning",IF(H388&gt;0.29,"Functioning At Risk",IF(H388&gt;-1,"Not Functioning"))))</f>
        <v/>
      </c>
      <c r="J388" s="684"/>
      <c r="K388" s="680"/>
    </row>
    <row r="389" spans="1:12" ht="15.6" x14ac:dyDescent="0.3">
      <c r="A389" s="556"/>
      <c r="B389" s="561"/>
      <c r="C389" s="174" t="s">
        <v>335</v>
      </c>
      <c r="D389" s="175"/>
      <c r="E389" s="165"/>
      <c r="F389" s="346" t="str">
        <f>IF(E389="","",IF(AND('Quantification Tool R4'!$B$12="74b",'Quantification Tool R4'!$B$13&lt;=2),IF(E389&lt;0,0,IF(E389&gt;15.6,0.69,ROUND('Reference Standards'!$AL$54*E389^2+'Reference Standards'!$AL$55*E389+'Reference Standards'!$AL$56,2))),IF(AND('Quantification Tool R4'!$B$12="65abei",'Quantification Tool R4'!$B$13&lt;=2),IF(E389&lt;0,0,IF(E389&gt;=20,0.69,ROUND('Reference Standards'!$AM$54*E389^2+'Reference Standards'!$AM$55*E389+'Reference Standards'!$AM$56,2))),IF(OR(AND('Quantification Tool R4'!$B$12="74a",'Quantification Tool R4'!$B$13&gt;2,'Quantification Tool R4'!$B$19="January - June"),AND('Quantification Tool R4'!$B$12="71i",'Quantification Tool R4'!$B$13&gt;2,'Quantification Tool R4'!$B$20="SQBANK")),IF(E389&lt;0,0,IF(E389&gt;24.7,0.69,ROUND('Reference Standards'!$AN$54*E389^2+'Reference Standards'!$AN$55*E389+'Reference Standards'!$AN$56,2))),IF(OR('Quantification Tool R4'!$B$12="74b",'Quantification Tool R4'!$B$12="65abei"),IF(E389&lt;0,0,IF(E389&gt;32.7,0.69,ROUND('Reference Standards'!$AO$54*E389^2+'Reference Standards'!$AO$55*E389+'Reference Standards'!$AO$56,2))),IF(AND('Quantification Tool R4'!$B$12="68b",'Quantification Tool R4'!$B$13&gt;2),IF(E389&lt;0,0,IF(E389&gt;41.2,0.69,ROUND('Reference Standards'!$AP$54*E389^2+'Reference Standards'!$AP$55*E389+'Reference Standards'!$AP$56,2))),IF(OR(AND('Quantification Tool R4'!$B$12="71i",'Quantification Tool R4'!$B$13&lt;=2),AND(OR('Quantification Tool R4'!$B$12="68c",'Quantification Tool R4'!$B$12="68d"),'Quantification Tool R4'!$B$19="January - June")),IF(E389&lt;0,0,IF(E389&gt;49.2,0.69,ROUND('Reference Standards'!$AL$94*E389^2+'Reference Standards'!$AL$95*E389+'Reference Standards'!$AL$96,2))),IF(OR(AND('Quantification Tool R4'!$B$12="68a",'Quantification Tool R4'!$B$19="January - June"),AND(OR('Quantification Tool R4'!$B$12="68c",'Quantification Tool R4'!$B$12="68d"),'Quantification Tool R4'!$B$19="July - December")),IF(E389&lt;0,0,IF(E389&gt;53.4,0.69,ROUND('Reference Standards'!$AM$94*E389^2+'Reference Standards'!$AM$95*E389+'Reference Standards'!$AM$96,2))),IF(OR(AND('Quantification Tool R4'!$B$12="71i",'Quantification Tool R4'!$B$13&gt;2,'Quantification Tool R4'!$B$20="SQKICK"),AND(OR('Quantification Tool R4'!$B$12="67fhi",'Quantification Tool R4'!$B$12="67g"),'Quantification Tool R4'!$B$13&lt;=2),'Quantification Tool R4'!$B$12="65j"),IF(E389&lt;0,0,IF(E389&gt;57.8,0.69,ROUND('Reference Standards'!$AN$94*E389^2+'Reference Standards'!$AN$95*E389+'Reference Standards'!$AN$96,2))),IF(OR(AND('Quantification Tool R4'!$B$12="74a",'Quantification Tool R4'!$B$13&gt;2,'Quantification Tool R4'!$B$19="July - December"),AND(OR('Quantification Tool R4'!$B$12="67fhi",'Quantification Tool R4'!$B$12="67g"),'Quantification Tool R4'!$B$13&gt;2),'Quantification Tool R4'!$B$12="69de"),IF(E389&lt;0,0,IF(E389&gt;62.5,0.69,ROUND('Reference Standards'!$AO$94*E389^2+'Reference Standards'!$AO$95*E389+'Reference Standards'!$AO$96,2))),  IF(OR('Quantification Tool R4'!$B$12="66d",'Quantification Tool R4'!$B$12="66e",'Quantification Tool R4'!$B$12="66ik",'Quantification Tool R4'!$B$12="71e",'Quantification Tool R4'!$B$12="71f",'Quantification Tool R4'!$B$12="71g",'Quantification Tool R4'!$B$12="71h"),IF(E389&lt;0,0,IF(E389&gt;66.5,0.69,ROUND('Reference Standards'!$AP$94*E389^2+'Reference Standards'!$AP$95*E389+'Reference Standards'!$AP$96,2))),IF(OR('Quantification Tool R4'!$B$12="66f",'Quantification Tool R4'!$B$12="66g",'Quantification Tool R4'!$B$12="66j",AND('Quantification Tool R4'!$B$12="68a",'Quantification Tool R4'!$B$19="July - December")), IF(E389&lt;0,0,IF(E389&gt;69,0.69,ROUND('Reference Standards'!$AQ$94*E389^2+'Reference Standards'!$AQ$95*E389+'Reference Standards'!$AQ$96,2))))   )))))))))))</f>
        <v/>
      </c>
      <c r="G389" s="698"/>
      <c r="H389" s="699"/>
      <c r="I389" s="683"/>
      <c r="J389" s="684"/>
      <c r="K389" s="680"/>
    </row>
    <row r="390" spans="1:12" ht="15.6" x14ac:dyDescent="0.3">
      <c r="A390" s="556"/>
      <c r="B390" s="561"/>
      <c r="C390" s="174" t="s">
        <v>339</v>
      </c>
      <c r="D390" s="175"/>
      <c r="E390" s="165"/>
      <c r="F390" s="346" t="str">
        <f>IF(E390="","",IF(AND('Quantification Tool R4'!$B$12="74b",'Quantification Tool R4'!$B$13&lt;=2),IF(E390&lt;0,0,IF(E390&gt;8.1,0.69,ROUND('Reference Standards'!$AL$131*E390^2+'Reference Standards'!$AL$132*E390+'Reference Standards'!$AL$133,2))),IF(OR('Quantification Tool R4'!$B$12="73a",'Quantification Tool R4'!$B$12="73b"),IF(E390&lt;0,0,IF(E390&gt;=28,0.69,ROUND('Reference Standards'!$AM$131*E390^2+'Reference Standards'!$AM$132*E390+'Reference Standards'!$AM$133,2))),IF(AND('Quantification Tool R4'!$B$12="74a",'Quantification Tool R4'!$B$13&gt;2,'Quantification Tool R4'!$B$19="January - June"),IF(E390&lt;0,0,IF(E390&gt;=32.5,0.69,ROUND('Reference Standards'!$AN$131*E390^2+'Reference Standards'!$AN$132*E390+'Reference Standards'!$AN$133,2))),IF(AND('Quantification Tool R4'!$B$12="71i",'Quantification Tool R4'!$B$13&gt;2,'Quantification Tool R4'!$B$20="SQBANK"),IF(E390&lt;0,0,IF(E390&gt;=37,0.69,ROUND('Reference Standards'!$AO$131*E390^2+'Reference Standards'!$AO$132*E390+'Reference Standards'!$AO$133,2))),IF(OR(AND(OR('Quantification Tool R4'!$B$12="65abei",'Quantification Tool R4'!$B$12="74b"),'Quantification Tool R4'!$B$13&gt;2),AND('Quantification Tool R4'!$B$12="71i",'Quantification Tool R4'!$B$13&gt;2,'Quantification Tool R4'!$B$20="SQKICK")),IF(E390&lt;0,0,IF(E390&gt;42.6,0.69,ROUND('Reference Standards'!$AP$131*E390^2+'Reference Standards'!$AP$132*E390+'Reference Standards'!$AP$133,2))),     IF(OR(AND('Quantification Tool R4'!$B$12="65abei",'Quantification Tool R4'!$B$13&lt;=2),AND(OR('Quantification Tool R4'!$B$12="68c",'Quantification Tool R4'!$B$12="68d"),'Quantification Tool R4'!$B$19="July - December"),'Quantification Tool R4'!$B$12="71e"),IF(E390&lt;0,0,IF(E390&gt;=48,0.69,ROUND('Reference Standards'!$AL$171*E390^2+'Reference Standards'!$AL$172*E390+'Reference Standards'!$AL$173,2))),IF(OR('Quantification Tool R4'!$B$12="65j",'Quantification Tool R4'!$B$12="67fhi",'Quantification Tool R4'!$B$12="67g",AND('Quantification Tool R4'!$B$12="74a",'Quantification Tool R4'!$B$19="July - December",'Quantification Tool R4'!$B$13&gt;2),AND('Quantification Tool R4'!$B$12="71i",'Quantification Tool R4'!$B$13&lt;=2)),IF(E390&lt;0,0,IF(E390&gt;=53,0.69,ROUND('Reference Standards'!$AM$171*E390^2+'Reference Standards'!$AM$172*E390+'Reference Standards'!$AM$173,2))),IF(OR(AND(OR('Quantification Tool R4'!$B$12="68b",'Quantification Tool R4'!$B$12="71f",'Quantification Tool R4'!$B$12="71g",'Quantification Tool R4'!$B$12="71h"),'Quantification Tool R4'!$B$13&gt;2),'Quantification Tool R4'!$B$12="68a"),IF(E390&lt;0,0,IF(E390&gt;=57,0.69,ROUND('Reference Standards'!$AN$171*E390^2+'Reference Standards'!$AN$172*E390+'Reference Standards'!$AN$173,2))),IF(OR('Quantification Tool R4'!$B$12="66f",'Quantification Tool R4'!$B$12="66g",'Quantification Tool R4'!$B$12="66j",AND(OR('Quantification Tool R4'!$B$12="71f",'Quantification Tool R4'!$B$12="71g",'Quantification Tool R4'!$B$12="71h"),'Quantification Tool R4'!$B$13&lt;=2)),IF(E390&lt;0,0,IF(E390&gt;=60,0.69,ROUND('Reference Standards'!$AO$171*E390^2+'Reference Standards'!$AO$172*E390+'Reference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December")),IF(E390&lt;0,0,IF(E390&gt;=67.5,0.69,ROUND('Reference Standards'!$AP$171*E390^2+'Reference Standards'!$AP$172*E390+'Reference Standards'!$AP$173,2))),IF(AND('Quantification Tool R4'!$B$12="69de",'Quantification Tool R4'!$B$19="January - June"), IF(E390&lt;0,0,IF(E390&gt;=72,0.69,ROUND('Reference Standards'!$AQ$171*E390^2+'Reference Standards'!$AQ$172*E390+'Reference Standards'!$AQ$173,2))))   )))))))))))</f>
        <v/>
      </c>
      <c r="G390" s="698"/>
      <c r="H390" s="699"/>
      <c r="I390" s="683"/>
      <c r="J390" s="684"/>
      <c r="K390" s="680"/>
    </row>
    <row r="391" spans="1:12" ht="15.6" x14ac:dyDescent="0.3">
      <c r="A391" s="556"/>
      <c r="B391" s="562"/>
      <c r="C391" s="127" t="s">
        <v>336</v>
      </c>
      <c r="D391" s="71"/>
      <c r="E391" s="167"/>
      <c r="F391" s="346" t="str">
        <f>IF(E391="","",IF(OR('Quantification Tool R4'!$B$12="67fhi",'Quantification Tool R4'!$B$12="67g",'Quantification Tool R4'!$B$12="71e",'Quantification Tool R4'!$B$12="73a",'Quantification Tool R4'!$B$12="73b",AND(OR('Quantification Tool R4'!$B$12="71f",'Quantification Tool R4'!$B$12="71g",'Quantification Tool R4'!$B$12="71h"),'Quantification Tool R4'!$B$13&gt;2)),IF(E391&gt;100,0,IF(E391&lt;15,0.69,ROUND('Reference Standards'!$AL$208*E391^2+'Reference Standards'!$AL$209*E391+'Reference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),IF(E391&gt;100,0,IF(E391&lt;19,0.69,ROUND('Reference Standards'!$AM$208*E391^2+'Reference Standards'!$AM$209*E391+'Reference Standards'!$AM$210,2))),    IF(OR(AND('Quantification Tool R4'!$B$12="69de",'Quantification Tool R4'!$B$19="January - June"),AND('Quantification Tool R4'!$B$12="71i",'Quantification Tool R4'!$B$13&gt;2,'Quantification Tool R4'!$B$20="SQKICK" )),IF(E391&gt;100,0,IF(E391&lt;22,0.69,ROUND('Reference Standards'!$AN$208*E391^2+'Reference Standards'!$AN$209*E391+'Reference Standards'!$AN$210,2))),    IF(OR('Quantification Tool R4'!$B$12="65j",AND('Quantification Tool R4'!$B$12="68b",'Quantification Tool R4'!$B$13&gt;2)),IF(E391&gt;100,0,IF(E391&lt;24,0.69,ROUND('Reference Standards'!$AO$208*E391^2+'Reference Standards'!$AO$209*E391+'Reference Standards'!$AO$210,2))),    IF(AND(OR('Quantification Tool R4'!$B$12="65abei",'Quantification Tool R4'!$B$12="71f",'Quantification Tool R4'!$B$12="71g",'Quantification Tool R4'!$B$12="71h"),'Quantification Tool R4'!$B$13&lt;=2),IF(E391&gt;95,0,IF(E391&lt;33,0.69,ROUND('Reference Standards'!$AL$246*E391^2+'Reference Standards'!$AL$247*E391+'Reference Standards'!$AL$248,2))),   IF(AND(OR('Quantification Tool R4'!$B$12="65abei",'Quantification Tool R4'!$B$12="74b"),'Quantification Tool R4'!$B$13&gt;2),IF(E391&gt;97,0,IF(E391&lt;36,0.69,ROUND('Reference Standards'!$AM$246*E391^2+'Reference Standards'!$AM$247*E391+'Reference Standards'!$AM$248,2))),  IF(AND('Quantification Tool R4'!$B$12="74a",'Quantification Tool R4'!$B$19="January - June",'Quantification Tool R4'!$B$13&gt;2),IF(E391&gt;93,0,IF(E391&lt;52,0.69,ROUND('Reference Standards'!$AN$246*E391^2+'Reference Standards'!$AN$247*E391+'Reference Standards'!$AN$248,2))),   IF(AND('Quantification Tool R4'!$B$12="74b",'Quantification Tool R4'!$B$13&lt;=2),IF(E391&gt;97,0,IF(E391&lt;62,0.69,ROUND('Reference Standards'!$AO$246*E391^2+'Reference Standards'!$AO$247*E391+'Reference Standards'!$AO$248,2)))  )))))))))</f>
        <v/>
      </c>
      <c r="G391" s="698"/>
      <c r="H391" s="699"/>
      <c r="I391" s="683"/>
      <c r="J391" s="684"/>
      <c r="K391" s="680"/>
    </row>
    <row r="392" spans="1:12" ht="15.6" x14ac:dyDescent="0.3">
      <c r="A392" s="556"/>
      <c r="B392" s="563" t="s">
        <v>74</v>
      </c>
      <c r="C392" s="125" t="s">
        <v>211</v>
      </c>
      <c r="D392" s="126"/>
      <c r="E392" s="166"/>
      <c r="F392" s="345" t="str">
        <f>IF(E392="","",IF(E392=1,0.15,IF(E392=3,0.5,IF(E392=5,0.85,0))))</f>
        <v/>
      </c>
      <c r="G392" s="672" t="str">
        <f>IFERROR(AVERAGE(F392:F393),"")</f>
        <v/>
      </c>
      <c r="H392" s="699"/>
      <c r="I392" s="683"/>
      <c r="J392" s="684"/>
      <c r="K392" s="680"/>
    </row>
    <row r="393" spans="1:12" ht="15.6" x14ac:dyDescent="0.3">
      <c r="A393" s="551"/>
      <c r="B393" s="563"/>
      <c r="C393" s="127" t="s">
        <v>332</v>
      </c>
      <c r="D393" s="71"/>
      <c r="E393" s="167"/>
      <c r="F393" s="347" t="str">
        <f>IF(E393="","",IF(E393=1,0.15,IF(E393=3,0.5,IF(E393=5,0.85,0))))</f>
        <v/>
      </c>
      <c r="G393" s="673"/>
      <c r="H393" s="699"/>
      <c r="I393" s="683"/>
      <c r="J393" s="684"/>
      <c r="K393" s="680"/>
    </row>
    <row r="394" spans="1:12" x14ac:dyDescent="0.3">
      <c r="L394" s="21"/>
    </row>
    <row r="395" spans="1:12" x14ac:dyDescent="0.3">
      <c r="L395" s="21"/>
    </row>
    <row r="396" spans="1:12" ht="21" x14ac:dyDescent="0.4">
      <c r="A396" s="148" t="s">
        <v>135</v>
      </c>
      <c r="B396" s="246"/>
      <c r="C396" s="249" t="s">
        <v>324</v>
      </c>
      <c r="D396" s="246"/>
      <c r="E396" s="247"/>
      <c r="F396" s="248"/>
      <c r="G396" s="544" t="s">
        <v>18</v>
      </c>
      <c r="H396" s="545"/>
      <c r="I396" s="545"/>
      <c r="J396" s="545"/>
      <c r="K396" s="546"/>
    </row>
    <row r="397" spans="1:12" ht="16.5" customHeight="1" x14ac:dyDescent="0.3">
      <c r="A397" s="158" t="s">
        <v>1</v>
      </c>
      <c r="B397" s="158" t="s">
        <v>2</v>
      </c>
      <c r="C397" s="542" t="s">
        <v>3</v>
      </c>
      <c r="D397" s="644"/>
      <c r="E397" s="158" t="s">
        <v>15</v>
      </c>
      <c r="F397" s="158" t="s">
        <v>16</v>
      </c>
      <c r="G397" s="158" t="s">
        <v>19</v>
      </c>
      <c r="H397" s="158" t="s">
        <v>20</v>
      </c>
      <c r="I397" s="314" t="s">
        <v>20</v>
      </c>
      <c r="J397" s="158" t="s">
        <v>21</v>
      </c>
      <c r="K397" s="158" t="s">
        <v>21</v>
      </c>
    </row>
    <row r="398" spans="1:12" ht="15.75" customHeight="1" x14ac:dyDescent="0.3">
      <c r="A398" s="540" t="s">
        <v>60</v>
      </c>
      <c r="B398" s="299" t="s">
        <v>86</v>
      </c>
      <c r="C398" s="52" t="s">
        <v>388</v>
      </c>
      <c r="D398" s="52"/>
      <c r="E398" s="162"/>
      <c r="F398" s="338" t="str">
        <f>IF(E398="","",IF(E398&lt;=0,0,IF(E398&gt;=0.95,1,ROUND('Reference Standards'!C$14*E398+'Reference Standards'!C$15,2))))</f>
        <v/>
      </c>
      <c r="G398" s="250" t="str">
        <f>IFERROR(AVERAGE(F398),"")</f>
        <v/>
      </c>
      <c r="H398" s="681" t="str">
        <f>IFERROR(ROUND(AVERAGE(G398:G399),2),"")</f>
        <v/>
      </c>
      <c r="I398" s="683" t="str">
        <f>IF(H398="","",IF(H398&gt;0.69,"Functioning",IF(H398&gt;0.29,"Functioning At Risk",IF(H398&gt;-1,"Not Functioning"))))</f>
        <v/>
      </c>
      <c r="J398" s="684" t="str">
        <f>IF(AND(H398="",H400="",H402="",H424="",H428=""),"",ROUND((IF(H398="",0,H398)*0.2)+(IF(H400="",0,H400)*0.2)+(IF(H402="",0,H402)*0.2)+(IF(H424="",0,H424)*0.2)+(IF(H428="",0,H428)*0.2),2))</f>
        <v/>
      </c>
      <c r="K398" s="680" t="str">
        <f>IF(J398="","",IF(J398&lt;0.3, "Not Functioning",IF(OR(H398&lt;0.7,H400&lt;0.7,H402&lt;0.7,H424&lt;0.7,H428&lt;0.7),"Functioning At Risk",IF(J398&lt;0.7,"Functioning At Risk","Functioning"))))</f>
        <v/>
      </c>
    </row>
    <row r="399" spans="1:12" ht="15.75" customHeight="1" x14ac:dyDescent="0.3">
      <c r="A399" s="541"/>
      <c r="B399" s="371" t="s">
        <v>128</v>
      </c>
      <c r="C399" s="373" t="s">
        <v>161</v>
      </c>
      <c r="D399" s="374"/>
      <c r="E399" s="43"/>
      <c r="F399" s="372" t="str">
        <f>IF(E399="","",IF(E399&gt;=1,1,IF(E399&lt;=0,0,ROUND(E399,2))))</f>
        <v/>
      </c>
      <c r="G399" s="369" t="str">
        <f>IFERROR(AVERAGE(F399:F399),"")</f>
        <v/>
      </c>
      <c r="H399" s="682"/>
      <c r="I399" s="683"/>
      <c r="J399" s="684"/>
      <c r="K399" s="680"/>
    </row>
    <row r="400" spans="1:12" ht="15" customHeight="1" x14ac:dyDescent="0.3">
      <c r="A400" s="524" t="s">
        <v>6</v>
      </c>
      <c r="B400" s="572" t="s">
        <v>7</v>
      </c>
      <c r="C400" s="54" t="s">
        <v>8</v>
      </c>
      <c r="D400" s="54"/>
      <c r="E400" s="162"/>
      <c r="F400" s="339" t="str">
        <f>IF(E400="","",ROUND(IF(E400&gt;1.6,0,IF(E400&lt;=1,1,E400^2*'Reference Standards'!K$14+E400*'Reference Standards'!K$15+'Reference Standards'!K$16)),2))</f>
        <v/>
      </c>
      <c r="G400" s="689" t="str">
        <f>IFERROR(AVERAGE(F400:F401),"")</f>
        <v/>
      </c>
      <c r="H400" s="689" t="str">
        <f>IFERROR(ROUND(AVERAGE(G400),2),"")</f>
        <v/>
      </c>
      <c r="I400" s="674" t="str">
        <f>IF(H400="","",IF(H400&gt;0.69,"Functioning",IF(H400&gt;0.29,"Functioning At Risk",IF(H400&gt;-1,"Not Functioning"))))</f>
        <v/>
      </c>
      <c r="J400" s="684"/>
      <c r="K400" s="680"/>
    </row>
    <row r="401" spans="1:12" ht="15" customHeight="1" x14ac:dyDescent="0.3">
      <c r="A401" s="525"/>
      <c r="B401" s="572"/>
      <c r="C401" s="54" t="s">
        <v>9</v>
      </c>
      <c r="D401" s="54"/>
      <c r="E401" s="163"/>
      <c r="F401" s="339" t="str">
        <f>IF(E401="","",(IF(OR('Quantification Tool R4'!B$11="A",'Quantification Tool R4'!B$11="B",'Quantification Tool R4'!$B$11="Bc"),IF(E401&lt;1.2,0,IF(E401&gt;=2.2,1,ROUND(IF(E401&lt;1.4,E401*'Reference Standards'!$K$84+'Reference Standards'!$K$85,E401*'Reference Standards'!$L$84+'Reference Standards'!$L$85),2))),IF(OR('Quantification Tool R4'!B$11="C",'Quantification Tool R4'!B$11="E"),IF(E401&lt;2,0,IF(E401&gt;=5,1,ROUND(IF(E401&lt;2.4,E401*'Reference Standards'!$L$49+'Reference Standards'!$L$50,E401*'Reference Standards'!$K$49+'Reference Standards'!$K$50),2)))))))</f>
        <v/>
      </c>
      <c r="G401" s="690"/>
      <c r="H401" s="691"/>
      <c r="I401" s="675"/>
      <c r="J401" s="684"/>
      <c r="K401" s="680"/>
    </row>
    <row r="402" spans="1:12" ht="15" customHeight="1" x14ac:dyDescent="0.3">
      <c r="A402" s="526" t="s">
        <v>26</v>
      </c>
      <c r="B402" s="557" t="s">
        <v>27</v>
      </c>
      <c r="C402" s="60" t="s">
        <v>333</v>
      </c>
      <c r="D402" s="244"/>
      <c r="E402" s="61"/>
      <c r="F402" s="340" t="str">
        <f>IF(E402="","",IF(OR(LEFT('Quantification Tool R4'!$B$12,2)="65",LEFT('Quantification Tool R4'!$B$12,2)="66",LEFT('Quantification Tool R4'!$B$12,2)="71"),IF(E402&gt;=850,1,IF(E402&lt;250,ROUND('Reference Standards'!$S$17*(E402)+'Reference Standards'!$S$18,2),ROUND('Reference Standards'!$T$17*E402+'Reference Standards'!$T$18,2))),  IF(E402&gt;=345,1,IF(E402&lt;=180,ROUND('Reference Standards'!$U$17*(E402)+'Reference Standards'!$U$18,2),ROUND('Reference Standards'!$V$17*E402+'Reference Standards'!$V$18,2))))    )</f>
        <v/>
      </c>
      <c r="G402" s="676" t="str">
        <f>IFERROR(AVERAGE(F402:F403),"")</f>
        <v/>
      </c>
      <c r="H402" s="678" t="str">
        <f>IFERROR(ROUND(AVERAGE(G402:G423),2),"")</f>
        <v/>
      </c>
      <c r="I402" s="680" t="str">
        <f>IF(H402="","",IF(H402&gt;0.69,"Functioning",IF(H402&gt;0.29,"Functioning At Risk",IF(H402&gt;-1,"Not Functioning"))))</f>
        <v/>
      </c>
      <c r="J402" s="684"/>
      <c r="K402" s="680"/>
    </row>
    <row r="403" spans="1:12" ht="15" customHeight="1" x14ac:dyDescent="0.3">
      <c r="A403" s="520"/>
      <c r="B403" s="558"/>
      <c r="C403" s="63" t="s">
        <v>323</v>
      </c>
      <c r="D403" s="245"/>
      <c r="E403" s="53"/>
      <c r="F403" s="341" t="str">
        <f>IF(E403="","",IF(OR(LEFT('Quantification Tool R4'!$B$12,2)="65",LEFT('Quantification Tool R4'!$B$12,2)="66",LEFT('Quantification Tool R4'!$B$12,2)="71"),IF(E403&gt;=30,1,IF(E403&lt;13,ROUND('Reference Standards'!$S$53*(E403)+'Reference Standards'!$S$54,2),ROUND('Reference Standards'!$T$53*E403+'Reference Standards'!$T$54,2))),  IF(E403&gt;=16,1,IF(E403&lt;=9,ROUND('Reference Standards'!$U$53*(E403)+'Reference Standards'!$U$54,2),ROUND('Reference Standards'!$V$53*E403+'Reference Standards'!$V$54,2))))    )</f>
        <v/>
      </c>
      <c r="G403" s="677"/>
      <c r="H403" s="678"/>
      <c r="I403" s="680"/>
      <c r="J403" s="684"/>
      <c r="K403" s="680"/>
    </row>
    <row r="404" spans="1:12" ht="15.6" x14ac:dyDescent="0.3">
      <c r="A404" s="520"/>
      <c r="B404" s="520" t="s">
        <v>395</v>
      </c>
      <c r="C404" s="58" t="s">
        <v>80</v>
      </c>
      <c r="D404" s="58"/>
      <c r="E404" s="165"/>
      <c r="F404" s="340" t="str">
        <f>IF(E404="","",ROUND(IF(E404&gt;0.7,0,IF(E404&lt;=0.1,1,E404^3*'Reference Standards'!S$87+E404^2*'Reference Standards'!S$88+E404*'Reference Standards'!S$89+'Reference Standards'!S$90)),2))</f>
        <v/>
      </c>
      <c r="G404" s="528" t="str">
        <f>IFERROR(ROUND(AVERAGE(F404:F407),2),"")</f>
        <v/>
      </c>
      <c r="H404" s="679"/>
      <c r="I404" s="680"/>
      <c r="J404" s="684"/>
      <c r="K404" s="680"/>
    </row>
    <row r="405" spans="1:12" ht="15.6" x14ac:dyDescent="0.3">
      <c r="A405" s="520"/>
      <c r="B405" s="520"/>
      <c r="C405" s="58" t="s">
        <v>49</v>
      </c>
      <c r="D405" s="58"/>
      <c r="E405" s="165"/>
      <c r="F405" s="84"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529"/>
      <c r="H405" s="679"/>
      <c r="I405" s="680"/>
      <c r="J405" s="684"/>
      <c r="K405" s="680"/>
    </row>
    <row r="406" spans="1:12" ht="15.6" x14ac:dyDescent="0.3">
      <c r="A406" s="520"/>
      <c r="B406" s="520"/>
      <c r="C406" s="58" t="s">
        <v>87</v>
      </c>
      <c r="D406" s="58"/>
      <c r="E406" s="165"/>
      <c r="F406" s="84" t="str">
        <f>IF(E406="","",ROUND(IF(E406&gt;40,0,IF(E406&lt;5,1,E406^3*'Reference Standards'!S$122+E406^2*'Reference Standards'!S$123+E406*'Reference Standards'!S$124+'Reference Standards'!S$125)),2))</f>
        <v/>
      </c>
      <c r="G406" s="529"/>
      <c r="H406" s="679"/>
      <c r="I406" s="680"/>
      <c r="J406" s="684"/>
      <c r="K406" s="680"/>
    </row>
    <row r="407" spans="1:12" ht="15.6" x14ac:dyDescent="0.3">
      <c r="A407" s="520"/>
      <c r="B407" s="521"/>
      <c r="C407" s="59" t="s">
        <v>394</v>
      </c>
      <c r="D407" s="59"/>
      <c r="E407" s="167"/>
      <c r="F407" s="341" t="str">
        <f>IF(E407="","",ROUND(IF(E407&gt;=30,0,IF(E407&lt;=0,1,E407*'Reference Standards'!S$156+'Reference Standards'!S$157)),2))</f>
        <v/>
      </c>
      <c r="G407" s="530"/>
      <c r="H407" s="679"/>
      <c r="I407" s="680"/>
      <c r="J407" s="684"/>
      <c r="K407" s="680"/>
    </row>
    <row r="408" spans="1:12" ht="15.6" x14ac:dyDescent="0.3">
      <c r="A408" s="520"/>
      <c r="B408" s="520" t="s">
        <v>50</v>
      </c>
      <c r="C408" s="60" t="s">
        <v>377</v>
      </c>
      <c r="D408" s="64"/>
      <c r="E408" s="136"/>
      <c r="F408" s="294" t="str">
        <f>IF(E408="","",ROUND(IF(E408&gt;9.2,1,E408*'Reference Standards'!$S$189+'Reference Standards'!$S$190),2))</f>
        <v/>
      </c>
      <c r="G408" s="685" t="str">
        <f>IFERROR(ROUND(AVERAGE(F408:F417),2),"")</f>
        <v/>
      </c>
      <c r="H408" s="679"/>
      <c r="I408" s="680"/>
      <c r="J408" s="684"/>
      <c r="K408" s="680"/>
    </row>
    <row r="409" spans="1:12" ht="15.6" x14ac:dyDescent="0.3">
      <c r="A409" s="520"/>
      <c r="B409" s="520"/>
      <c r="C409" s="62" t="s">
        <v>378</v>
      </c>
      <c r="D409" s="58"/>
      <c r="E409" s="162"/>
      <c r="F409" s="294" t="str">
        <f>IF(E409="","",ROUND(IF(E409&gt;9.2,1,E409*'Reference Standards'!$S$189+'Reference Standards'!$S$190),2))</f>
        <v/>
      </c>
      <c r="G409" s="686"/>
      <c r="H409" s="679"/>
      <c r="I409" s="680"/>
      <c r="J409" s="684"/>
      <c r="K409" s="680"/>
    </row>
    <row r="410" spans="1:12" ht="15.6" x14ac:dyDescent="0.3">
      <c r="A410" s="520"/>
      <c r="B410" s="520"/>
      <c r="C410" s="62" t="s">
        <v>379</v>
      </c>
      <c r="D410" s="58"/>
      <c r="E410" s="162"/>
      <c r="F410" s="294" t="str">
        <f>IF(E410="","",ROUND( IF(E410&gt;=200,1,IF(E410&lt;50, E410^2*'Reference Standards'!S$224+E410*'Reference Standards'!S$225+'Reference Standards'!S$226, E410*'Reference Standards'!T$224+'Reference Standards'!T$225)),2))</f>
        <v/>
      </c>
      <c r="G410" s="686"/>
      <c r="H410" s="679"/>
      <c r="I410" s="680"/>
      <c r="J410" s="684"/>
      <c r="K410" s="680"/>
    </row>
    <row r="411" spans="1:12" ht="15.6" x14ac:dyDescent="0.3">
      <c r="A411" s="520"/>
      <c r="B411" s="520"/>
      <c r="C411" s="62" t="s">
        <v>380</v>
      </c>
      <c r="D411" s="58"/>
      <c r="E411" s="162"/>
      <c r="F411" s="294" t="str">
        <f>IF(E411="","",ROUND( IF(E411&gt;=200,1,IF(E411&lt;50, E411^2*'Reference Standards'!S$224+E411*'Reference Standards'!S$225+'Reference Standards'!S$226, E411*'Reference Standards'!T$224+'Reference Standards'!T$225)),2))</f>
        <v/>
      </c>
      <c r="G411" s="686"/>
      <c r="H411" s="679"/>
      <c r="I411" s="680"/>
      <c r="J411" s="684"/>
      <c r="K411" s="680"/>
    </row>
    <row r="412" spans="1:12" ht="15.6" x14ac:dyDescent="0.3">
      <c r="A412" s="520"/>
      <c r="B412" s="520"/>
      <c r="C412" s="58" t="s">
        <v>381</v>
      </c>
      <c r="D412" s="58"/>
      <c r="E412" s="162"/>
      <c r="F412" s="294" t="str">
        <f>IF(E412="","",ROUND(IF(AND(E412&gt;=135,E412&lt;=262),1,IF(  E412&gt;=366,0.5, IF(E412&lt;135,E412*'Reference Standards'!S$259+'Reference Standards'!S$260, E412*'Reference Standards'!T$259+'Reference Standards'!T$260))),2))</f>
        <v/>
      </c>
      <c r="G412" s="686"/>
      <c r="H412" s="679"/>
      <c r="I412" s="680"/>
      <c r="J412" s="684"/>
      <c r="K412" s="680"/>
      <c r="L412" s="21"/>
    </row>
    <row r="413" spans="1:12" ht="15.6" x14ac:dyDescent="0.3">
      <c r="A413" s="520"/>
      <c r="B413" s="520"/>
      <c r="C413" s="58" t="s">
        <v>382</v>
      </c>
      <c r="D413" s="58"/>
      <c r="E413" s="162"/>
      <c r="F413" s="294" t="str">
        <f>IF(E413="","",ROUND(IF(AND(E413&gt;=135,E413&lt;=262),1,IF(  E413&gt;=366,0.5, IF(E413&lt;135,E413*'Reference Standards'!S$259+'Reference Standards'!S$260, E413*'Reference Standards'!T$259+'Reference Standards'!T$260))),2))</f>
        <v/>
      </c>
      <c r="G413" s="686"/>
      <c r="H413" s="679"/>
      <c r="I413" s="680"/>
      <c r="J413" s="684"/>
      <c r="K413" s="680"/>
      <c r="L413" s="21"/>
    </row>
    <row r="414" spans="1:12" ht="15.6" x14ac:dyDescent="0.3">
      <c r="A414" s="520"/>
      <c r="B414" s="520"/>
      <c r="C414" s="58" t="s">
        <v>383</v>
      </c>
      <c r="D414" s="58"/>
      <c r="E414" s="162"/>
      <c r="F414" s="84" t="str">
        <f>IF(E414="","",ROUND(IF(E414&gt;=75,1,IF(E414&lt;=0,0,E414*'Reference Standards'!S$330)),2))</f>
        <v/>
      </c>
      <c r="G414" s="686"/>
      <c r="H414" s="679"/>
      <c r="I414" s="680"/>
      <c r="J414" s="684"/>
      <c r="K414" s="680"/>
      <c r="L414" s="21"/>
    </row>
    <row r="415" spans="1:12" ht="15.6" x14ac:dyDescent="0.3">
      <c r="A415" s="520"/>
      <c r="B415" s="520"/>
      <c r="C415" s="58" t="s">
        <v>384</v>
      </c>
      <c r="D415" s="58"/>
      <c r="E415" s="162"/>
      <c r="F415" s="84" t="str">
        <f>IF(E415="","",ROUND(IF(E415&gt;=75,1,IF(E415&lt;=0,0,E415*'Reference Standards'!S$330)),2))</f>
        <v/>
      </c>
      <c r="G415" s="686"/>
      <c r="H415" s="679"/>
      <c r="I415" s="680"/>
      <c r="J415" s="684"/>
      <c r="K415" s="680"/>
      <c r="L415" s="21"/>
    </row>
    <row r="416" spans="1:12" ht="15.6" x14ac:dyDescent="0.3">
      <c r="A416" s="520"/>
      <c r="B416" s="520"/>
      <c r="C416" s="58" t="s">
        <v>385</v>
      </c>
      <c r="D416" s="58"/>
      <c r="E416" s="162"/>
      <c r="F416" s="294" t="str">
        <f>IF(E416="","",ROUND(IF(AND(E416&gt;=36.3,E416&lt;=68),1,IF(E416&gt;100,0,IF(E416&lt;36.3,(('Reference Standards'!S$297*(E416^2))+('Reference Standards'!S$298*E416)+'Reference Standards'!S$299),IF(E416&gt;68,(('Reference Standards'!T$297*(E416^2))+('Reference Standards'!T$298*E416)+'Reference Standards'!T$299))))),2))</f>
        <v/>
      </c>
      <c r="G416" s="686"/>
      <c r="H416" s="679"/>
      <c r="I416" s="680"/>
      <c r="J416" s="684"/>
      <c r="K416" s="680"/>
      <c r="L416" s="21"/>
    </row>
    <row r="417" spans="1:12" ht="15.6" x14ac:dyDescent="0.3">
      <c r="A417" s="520"/>
      <c r="B417" s="521"/>
      <c r="C417" s="58" t="s">
        <v>386</v>
      </c>
      <c r="D417" s="65"/>
      <c r="E417" s="162"/>
      <c r="F417" s="294" t="str">
        <f>IF(E417="","",ROUND(IF(AND(E417&gt;=36.3,E417&lt;=68),1,IF(E417&gt;100,0,IF(E417&lt;36.3,(('Reference Standards'!S$297*(E417^2))+('Reference Standards'!S$298*E417)+'Reference Standards'!S$299),IF(E417&gt;68,(('Reference Standards'!T$297*(E417^2))+('Reference Standards'!T$298*E417)+'Reference Standards'!T$299))))),2))</f>
        <v/>
      </c>
      <c r="G417" s="687"/>
      <c r="H417" s="679"/>
      <c r="I417" s="680"/>
      <c r="J417" s="684"/>
      <c r="K417" s="680"/>
      <c r="L417" s="21"/>
    </row>
    <row r="418" spans="1:12" ht="15.6" x14ac:dyDescent="0.3">
      <c r="A418" s="520"/>
      <c r="B418" s="56" t="s">
        <v>108</v>
      </c>
      <c r="C418" s="72" t="s">
        <v>130</v>
      </c>
      <c r="D418" s="58"/>
      <c r="E418" s="43"/>
      <c r="F418" s="82" t="str">
        <f>IF(E418="","",IF(OR('Quantification Tool R4'!B$14="Gravel",'Quantification Tool R4'!B$14="Cobble"),IF(E418&gt;0.1,1,IF(E418&lt;=0.01,0,ROUND(E418*'Reference Standards'!$S$362+'Reference Standards'!$S$363,2)))))</f>
        <v/>
      </c>
      <c r="G418" s="251" t="str">
        <f>IFERROR(AVERAGE(F418),"")</f>
        <v/>
      </c>
      <c r="H418" s="679"/>
      <c r="I418" s="680"/>
      <c r="J418" s="684"/>
      <c r="K418" s="680"/>
      <c r="L418" s="21"/>
    </row>
    <row r="419" spans="1:12" ht="15.6" x14ac:dyDescent="0.3">
      <c r="A419" s="520"/>
      <c r="B419" s="526" t="s">
        <v>51</v>
      </c>
      <c r="C419" s="64" t="s">
        <v>52</v>
      </c>
      <c r="D419" s="64"/>
      <c r="E419" s="166"/>
      <c r="F419" s="337" t="str">
        <f>IF(E419="","",IF(ISNUMBER('Quantification Tool R4'!$B$17),IF('Quantification Tool R4'!$B$17&lt;=2,IF(AND(E419&gt;=3,E419&lt;=5),1,IF(OR(E419&lt;=1,E419&gt;=7),0,ROUND(IF(E419&lt;3,E419*'Reference Standards'!S$398+'Reference Standards'!S$399,E419*'Reference Standards'!T$398+'Reference Standards'!T$399),2))),IF(E419&lt;=2.5,1,IF(E419&gt;=5.8,0,ROUND(E419*'Reference Standards'!S$430+'Reference Standards'!S$431,2))))))</f>
        <v/>
      </c>
      <c r="G419" s="676" t="str">
        <f>IFERROR(AVERAGE(F419:F422),"")</f>
        <v/>
      </c>
      <c r="H419" s="679"/>
      <c r="I419" s="680"/>
      <c r="J419" s="684"/>
      <c r="K419" s="680"/>
      <c r="L419" s="21"/>
    </row>
    <row r="420" spans="1:12" ht="15.6" x14ac:dyDescent="0.3">
      <c r="A420" s="520"/>
      <c r="B420" s="520"/>
      <c r="C420" s="58" t="s">
        <v>53</v>
      </c>
      <c r="D420" s="58"/>
      <c r="E420" s="165"/>
      <c r="F420" s="84" t="str">
        <f>IF(E420="","", IF( E420&gt;=2.4,1, IF(E420&lt;=1,0,  ROUND(IF(E420&lt;2.4, E420*'Reference Standards'!$S$464+'Reference Standards'!$S$465  ),2))))</f>
        <v/>
      </c>
      <c r="G420" s="688"/>
      <c r="H420" s="679"/>
      <c r="I420" s="680"/>
      <c r="J420" s="684"/>
      <c r="K420" s="680"/>
      <c r="L420" s="21"/>
    </row>
    <row r="421" spans="1:12" ht="15.6" x14ac:dyDescent="0.3">
      <c r="A421" s="520"/>
      <c r="B421" s="520"/>
      <c r="C421" s="58" t="s">
        <v>334</v>
      </c>
      <c r="D421" s="58"/>
      <c r="E421" s="165"/>
      <c r="F421" s="390" t="str">
        <f>IF(E421="","", IF(LEFT('Quantification Tool R4'!$B$12,2)="67",  IF( AND(E421&gt;=45,E421&lt;=65),1, IF(OR(E421&lt;=20,E421&gt;=90),0, ROUND(  IF(E421&lt;45, E421*'Reference Standards'!$S$498+'Reference Standards'!$S$499,E421*'Reference Standards'!$T$498+'Reference Standards'!$T$499),2))), IF(OR(  LEFT('Quantification Tool R4'!$B$12,2)="68", LEFT('Quantification Tool R4'!$B$12,2)="69",LEFT('Quantification Tool R4'!$B$12,2)="71"),  IF( AND(E421&gt;=30,E421&lt;=50),1, IF(OR(E421&lt;=10,E421&gt;=70),0, ROUND(  IF(E421&lt;30, E421*'Reference Standards'!$S$533+'Reference Standards'!$S$534,E421*'Reference Standards'!$T$533+'Reference Standards'!$T$534),2))), IF(LEFT('Quantification Tool R4'!$B$12,2)="66",  IF( AND(E421&gt;=20,E421&lt;=45),1, IF(OR(E421&lt;=0,E421&gt;=90),0, ROUND(  IF(E421&lt;20, E421*'Reference Standards'!$S$567+'Reference Standards'!$S$568,E421*'Reference Standards'!$T$567+'Reference Standards'!$T$568),2))), IF(OR(  LEFT('Quantification Tool R4'!$B$12,2)="65", LEFT('Quantification Tool R4'!$B$12,2)="74", LEFT('Quantification Tool R4'!$B$12,2)="73"),  IF( AND(E421&gt;=20,E421&lt;=30),1, IF(OR(E421&lt;=0,E421&gt;=50),0, ROUND(  IF(E421&lt;20, E421*'Reference Standards'!$S$601+'Reference Standards'!$S$602,E421*'Reference Standards'!$T$601+'Reference Standards'!$T$602),2))))))))</f>
        <v/>
      </c>
      <c r="G421" s="688"/>
      <c r="H421" s="679"/>
      <c r="I421" s="680"/>
      <c r="J421" s="684"/>
      <c r="K421" s="680"/>
      <c r="L421" s="21"/>
    </row>
    <row r="422" spans="1:12" ht="15.6" x14ac:dyDescent="0.3">
      <c r="A422" s="520"/>
      <c r="B422" s="521"/>
      <c r="C422" s="62" t="s">
        <v>210</v>
      </c>
      <c r="D422" s="58"/>
      <c r="E422" s="167"/>
      <c r="F422" s="391" t="str">
        <f>IF(E422="","",IF(E422&gt;=1.6,0,IF(E422&lt;=1,1,ROUND('Reference Standards'!$S$633*E422^3+'Reference Standards'!$S$634*E422^2+'Reference Standards'!$S$635*E422+'Reference Standards'!$S$636,2))))</f>
        <v/>
      </c>
      <c r="G422" s="677"/>
      <c r="H422" s="679"/>
      <c r="I422" s="680"/>
      <c r="J422" s="684"/>
      <c r="K422" s="680"/>
      <c r="L422" s="21"/>
    </row>
    <row r="423" spans="1:12" ht="15.6" x14ac:dyDescent="0.3">
      <c r="A423" s="521"/>
      <c r="B423" s="296" t="s">
        <v>55</v>
      </c>
      <c r="C423" s="242" t="s">
        <v>54</v>
      </c>
      <c r="D423" s="243"/>
      <c r="E423" s="163"/>
      <c r="F423" s="342" t="str">
        <f>IF(E423="","",IF(AND('Quantification Tool R4'!B$11="E",'Quantification Tool R4'!$B$14="Sand",'Quantification Tool R4'!$B$21="Unconfined Alluvial"),ROUND(IF(OR(E423&gt;1.8,E423&lt;1.3),0,IF(E423&lt;=1.6,1,E423*'Reference Standards'!S$667+'Reference Standards'!S$668)),2),    IF('Quantification Tool R4'!$B$21="Unconfined Alluvial",ROUND(IF(OR(E423&lt;1.2, E423&gt;1.5),0,IF(E423&lt;=1.4,1,E423*'Reference Standards'!$S$700+'Reference Standards'!$S$701)),2), IF('Quantification Tool R4'!$B$21="Confined Alluvial",ROUND(IF(E423&lt;1.15,0,IF(E423&lt;=1.4,E423*'Reference Standards'!$S$729+'Reference Standards'!$S$730,1)),2),  IF('Quantification Tool R4'!$B$21="Colluvial",ROUND(IF(E423&gt;1.3,0,IF(E423&gt;1.2,E423*'Reference Standards'!$S$760+'Reference Standards'!$S$761,1)),2) )))))</f>
        <v/>
      </c>
      <c r="G423" s="252" t="str">
        <f>IFERROR(AVERAGE(F423),"")</f>
        <v/>
      </c>
      <c r="H423" s="679"/>
      <c r="I423" s="680"/>
      <c r="J423" s="684"/>
      <c r="K423" s="680"/>
      <c r="L423" s="21"/>
    </row>
    <row r="424" spans="1:12" ht="15.6" x14ac:dyDescent="0.3">
      <c r="A424" s="537" t="s">
        <v>58</v>
      </c>
      <c r="B424" s="67" t="s">
        <v>88</v>
      </c>
      <c r="C424" s="70" t="s">
        <v>338</v>
      </c>
      <c r="D424" s="70"/>
      <c r="E424" s="43"/>
      <c r="F424" s="343" t="str">
        <f>IF(E424="","",ROUND(IF(E424&gt;=942,0,IF(E424&lt;=487,E424*'Reference Standards'!AB$15+'Reference Standards'!AB$16,E424*'Reference Standards'!$AC$15+'Reference Standards'!$AC$16)),2))</f>
        <v/>
      </c>
      <c r="G424" s="253" t="str">
        <f>IFERROR(AVERAGE(F424),"")</f>
        <v/>
      </c>
      <c r="H424" s="692" t="str">
        <f>IFERROR(ROUND(AVERAGE(G424:G427),2),"")</f>
        <v/>
      </c>
      <c r="I424" s="695" t="str">
        <f>IF(H424="","",IF(H424&gt;0.69,"Functioning",IF(H424&gt;0.29,"Functioning At Risk",IF(H424&gt;-1,"Not Functioning"))))</f>
        <v/>
      </c>
      <c r="J424" s="684"/>
      <c r="K424" s="680"/>
      <c r="L424" s="21"/>
    </row>
    <row r="425" spans="1:12" ht="15.75" customHeight="1" x14ac:dyDescent="0.3">
      <c r="A425" s="538"/>
      <c r="B425" s="297" t="s">
        <v>362</v>
      </c>
      <c r="C425" s="66" t="s">
        <v>354</v>
      </c>
      <c r="D425" s="66"/>
      <c r="E425" s="163"/>
      <c r="F425" s="344" t="str">
        <f>IF(E425="","",IF(OR('Quantification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June")),IF(E425&gt;93,0,IF(E425&lt;13,1,ROUND('Reference Standards'!$AB$53*E425^2+'Reference Standards'!$AB$54*E425+'Reference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R4'!$B$12="73b"),IF(E425&gt;94,0,IF(E425&lt;17,1,ROUND('Reference Standards'!$AC$53*E425^2+'Reference Standards'!$AC$54*E425+'Reference Standards'!$AC$55,2))),    IF(OR(AND(OR('Quantification Tool R4'!$B$12="68b",'Quantification Tool R4'!$B$12="71i"),'Quantification Tool R4'!$B$13&gt;2), 'Quantification Tool R4'!$B$12="71e"),IF(E425&gt;91,0,IF(E425&lt;24,1,ROUND('Reference Standards'!$AD$53*E425^2+'Reference Standards'!$AD$54*E425+'Reference Standards'!$AD$55,2))),  IF(OR(AND(OR('Quantification Tool R4'!$B$12="71f",'Quantification Tool R4'!$B$12="71g",'Quantification Tool R4'!$B$12="71h",'Quantification Tool R4'!$B$12="71i"),'Quantification Tool R4'!$B$13&lt;=2), AND('Quantification Tool R4'!$B$12="74a",'Quantification Tool R4'!$B$13&gt;2)),IF(E425&gt;95,0,IF(E425&lt;=36,1,ROUND('Reference Standards'!$AE$53*E425^2+'Reference Standards'!$AE$54*E425+'Reference Standards'!$AE$55,2))))))))</f>
        <v/>
      </c>
      <c r="G425" s="254" t="str">
        <f>IFERROR(AVERAGE(F425:F425),"")</f>
        <v/>
      </c>
      <c r="H425" s="693"/>
      <c r="I425" s="696"/>
      <c r="J425" s="684"/>
      <c r="K425" s="680"/>
    </row>
    <row r="426" spans="1:12" ht="15.75" customHeight="1" x14ac:dyDescent="0.3">
      <c r="A426" s="538"/>
      <c r="B426" s="67" t="s">
        <v>81</v>
      </c>
      <c r="C426" s="68" t="s">
        <v>281</v>
      </c>
      <c r="D426" s="68"/>
      <c r="E426" s="162"/>
      <c r="F426" s="344" t="str">
        <f>IF(E426="","",IF(ISNUMBER('Quantification Tool R4'!$B$13),IF(OR('Quantification Tool R4'!$B$12="66e",'Quantification Tool R4'!$B$12="66f",'Quantification Tool R4'!$B$12="66g"),ROUND(IF(E426&gt;=0.61,0,IF(E426&lt;=0.01,1,IF(E426&lt;=0.06,E426*'Reference Standards'!$AD$197+'Reference Standards'!$AD$198,E426^2*'Reference Standards'!$AB$196+E426*'Reference Standards'!$AB$197+'Reference Standards'!$AB$198))),2),IF('Quantification Tool R4'!$B$12="68b",ROUND(IF(E426&gt;=1.1,0,IF(E426&lt;=0.17,1,IF(E426&lt;=0.22,E426*'Reference Standards'!$AE$197+'Reference Standards'!$AE$198,E426^2*'Reference Standards'!$AC$196+E426*'Reference Standards'!$AC$197+'Reference Standards'!$AC$198))),2),IF('Quantification Tool R4'!$B$13&lt;=2.5,IF('Quantification Tool R4'!$B$12="69de",ROUND(IF(E426&gt;=0.22,0,IF(E426&lt;=0.01,1,E426^2*'Reference Standards'!$AB$90+E426*'Reference Standards'!$AB$91+'Reference Standards'!$AB$92)),2),IF('Quantification Tool R4'!$B$12="68c",ROUND(IF(E426&gt;=0.87,0,IF(E426&lt;=0.01,1,E426^2*'Reference Standards'!$AC$90+E426*'Reference Standards'!$AC$91+'Reference Standards'!$AC$92)),2),IF('Quantification Tool R4'!$B$12="68a",ROUND(IF(E426&gt;=0.81,0,IF(E426&lt;=0.01,1,E426^2*'Reference Standards'!$AD$90+E426*'Reference Standards'!$AD$91+'Reference Standards'!$AD$92)),2),IF('Quantification Tool R4'!$B$12="65abei",ROUND(IF(E426&gt;=0.67,0,IF(E426&lt;=0.01,1,IF(E426&lt;=0.18,E426*'Reference Standards'!$AG$91+'Reference Standards'!$AG$92,E426*'Reference Standards'!$AE$91+'Reference Standards'!$AE$92))),2),IF('Quantification Tool R4'!$B$12="65j",ROUND(IF(E426&gt;=0.32,0,IF(E426&lt;=0.01,1,IF(E426&lt;=0.25,E426*'Reference Standards'!$AH$91+'Reference Standards'!$AH$92,E426*'Reference Standards'!$AF$91+'Reference Standards'!$AF$92))),2),IF('Quantification Tool R4'!$B$12="71f",ROUND(IF(E426&gt;=3,0,IF(E426&lt;=0,1,IF(E426&lt;=0.01,0.7,E426^2*'Reference Standards'!$AB$126+E426*'Reference Standards'!$AB$127+'Reference Standards'!$AB$128))),2),IF('Quantification Tool R4'!$B$12="74a",ROUND(IF(E426&gt;=0.14,0,IF(E426&lt;=0.01,1,IF(E426&lt;=0.02,0.7,E426^2*'Reference Standards'!$AC$126+E426*'Reference Standards'!$AC$127+'Reference Standards'!$AC$128))),2),IF(OR('Quantification Tool R4'!$B$12="67fhi",'Quantification Tool R4'!$B$12="67g"),ROUND(IF(E426&gt;=1.9,0,IF(E426&lt;=0.01,1,IF(E426&lt;=0.05,E426*'Reference Standards'!$AF$127+'Reference Standards'!$AF$128,E426^2*'Reference Standards'!$AD$126+E426*'Reference Standards'!$AD$127+'Reference Standards'!$AD$128))),2),IF('Quantification Tool R4'!$B$12="73a",ROUND(IF(E426&gt;=1.44,0,IF(E426&lt;=0.01,1,IF(E426&lt;=0.12,E426*'Reference Standards'!$AG$127+'Reference Standards'!$AG$128,E426^2*'Reference Standards'!$AE$126+E426*'Reference Standards'!$AE$127+'Reference Standards'!$AE$128))),2),IF('Quantification Tool R4'!$B$12="66d",ROUND(IF(E426&gt;=0.46,0,IF(E426&lt;=0.02,1,IF(E426&lt;=0.08,E426*'Reference Standards'!$AF$163+'Reference Standards'!$AF$164,E426^2*'Reference Standards'!$AB$162+E426*'Reference Standards'!$AB$163+'Reference Standards'!$AB$164))),2),IF(OR('Quantification Tool R4'!$B$12="71g",'Quantification Tool R4'!$B$12="71h",'Quantification Tool R4'!$B$12="71i"),ROUND(IF(E426&gt;=3,0,IF(E426&lt;=0.06,1,IF(E426&lt;=0.24,E426*'Reference Standards'!$AG$163+'Reference Standards'!$AG$164,E426^2*'Reference Standards'!$AC$162+E426*'Reference Standards'!$AC$163+'Reference Standards'!$AC$164))),2),IF('Quantification Tool R4'!$B$12="74b",ROUND(IF(E426&gt;=1.3,0,IF(E426&lt;=0.29,1,IF(E426&lt;=0.48,E426*'Reference Standards'!$AH$163+'Reference Standards'!$AH$164,E426^2*'Reference Standards'!$AD$162+E426*'Reference Standards'!$AD$163+'Reference Standards'!$AD$164))),2),IF('Quantification Tool R4'!$B$12="71e",ROUND(IF(E426&gt;=4.3,0,IF(E426&lt;=0.53,1,IF(E426&lt;=0.67,E426*'Reference Standards'!$AI$163+'Reference Standards'!$AI$164,E426^2*'Reference Standards'!$AE$162+E426*'Reference Standards'!$AE$163+'Reference Standards'!$AE$164))),2)))))))))))))),IF('Quantification Tool R4'!$B$13&gt;2.5,IF('Quantification Tool R4'!$B$12="73a",ROUND(IF(E426&gt;=0.55,0,IF(E426&lt;=0,1,E426^2*'Reference Standards'!$AB$232+E426*'Reference Standards'!$AB$233+'Reference Standards'!$AB$234)),2),IF('Quantification Tool R4'!$B$12="68a",ROUND(IF(E426&gt;=0.54,0,IF(E426&lt;=0,1,IF(E426&lt;=0.01,0.85,E426^2*'Reference Standards'!$AC$232+E426*'Reference Standards'!$AC$233+'Reference Standards'!$AC$234))),2),IF('Quantification Tool R4'!$B$12="74a",ROUND(IF(E426&gt;=0.47,0,IF(E426&lt;=0.01,1,IF(E426&lt;=0.02,0.7,E426^2*'Reference Standards'!$AD$232+E426*'Reference Standards'!$AD$233+'Reference Standards'!$AD$234))),2),IF('Quantification Tool R4'!$B$12="69de",ROUND(IF(E426&gt;=0.26,0,IF(E426&lt;=0.01,1,IF(E426&lt;=0.02,0.85,E426^2*'Reference Standards'!$AE$232+E426*'Reference Standards'!$AE$233+'Reference Standards'!$AE$234))),2),IF('Quantification Tool R4'!$B$12="71f",ROUND(IF(E426&gt;=0.87,0,IF(E426&lt;=0.01,1,IF(E426&lt;=0.04,E426*'Reference Standards'!$AF$269+'Reference Standards'!$AF$270,E426^2*'Reference Standards'!$AB$268+E426*'Reference Standards'!$AB$269+'Reference Standards'!$AB$270))),2),IF('Quantification Tool R4'!$B$12="65abei",ROUND(IF(E426&gt;=0.82,0,IF(E426&lt;=0.01,1,IF(E426&lt;=0.06,E426*'Reference Standards'!$AG$269+'Reference Standards'!$AG$270,E426^2*'Reference Standards'!$AC$268+E426*'Reference Standards'!$AC$269+'Reference Standards'!$AC$270))),2),IF('Quantification Tool R4'!$B$12="65j",ROUND(IF(E426&gt;=0.33,0,IF(E426&lt;=0.03,1,IF(E426&lt;=0.09,E426*'Reference Standards'!$AH$269+'Reference Standards'!$AH$270,E426^2*'Reference Standards'!$AD$268+E426*'Reference Standards'!$AD$269+'Reference Standards'!$AD$270))),2),IF('Quantification Tool R4'!$B$12="68c",ROUND(IF(E426&gt;=0.7,0,IF(E426&lt;=0.07,1,IF(E426&lt;=0.12,E426*'Reference Standards'!$AI$269+'Reference Standards'!$AI$270,E426^2*'Reference Standards'!$AE$268+E426*'Reference Standards'!$AE$269+'Reference Standards'!$AE$270))),2),IF(OR('Quantification Tool R4'!$B$12="67fhi",'Quantification Tool R4'!$B$12="67g"),ROUND(IF(E426&gt;=1.8,0,IF(E426&lt;=0.08,1,IF(E426&lt;=0.2,E426*'Reference Standards'!$AF$306+'Reference Standards'!$AF$307,E426^2*'Reference Standards'!$AB$305+E426*'Reference Standards'!$AB$306+'Reference Standards'!$AB$307))),2),IF('Quantification Tool R4'!$B$12="74b",ROUND(IF(E426&gt;=0.96,0,IF(E426&lt;=0.12,1,IF(E426&lt;=0.16,E426*'Reference Standards'!$AG$306+'Reference Standards'!$AG$307,E426^2*'Reference Standards'!$AC$305+E426*'Reference Standards'!$AC$306+'Reference Standards'!$AC$307))),2),IF('Quantification Tool R4'!$B$12="66d",ROUND(IF(E426&gt;=0.75,0,IF(E426&lt;=0.13,1,IF(E426&lt;=0.2,E426*'Reference Standards'!$AH$306+'Reference Standards'!$AH$307,E426^2*'Reference Standards'!$AD$305+E426*'Reference Standards'!$AD$306+'Reference Standards'!$AD$307))),2),IF(OR('Quantification Tool R4'!$B$12="71g",'Quantification Tool R4'!$B$12="71h",'Quantification Tool R4'!$B$12="71i"),ROUND(IF(E426&gt;=1.68,0,IF(E426&lt;=0.08,1,IF(E426&lt;=0.23,E426*'Reference Standards'!$AI$306+'Reference Standards'!$AI$307,E426^2*'Reference Standards'!$AE$305+E426*'Reference Standards'!$AE$306+'Reference Standards'!$AE$307))),2),IF('Quantification Tool R4'!$B$12="71e",ROUND(IF(E426&gt;=5.3,0,IF(E426&lt;=0.94,1,IF(E426&lt;=1.4,E426*'Reference Standards'!$AF$310+'Reference Standards'!$AF$311,E426^2*'Reference Standards'!$AB$309+E426*'Reference Standards'!$AB$310+'Reference Standards'!$AB$311))),2))))))))))))))))))))</f>
        <v/>
      </c>
      <c r="G426" s="255" t="str">
        <f>IFERROR(AVERAGE(F426),"")</f>
        <v/>
      </c>
      <c r="H426" s="693"/>
      <c r="I426" s="696"/>
      <c r="J426" s="684"/>
      <c r="K426" s="680"/>
    </row>
    <row r="427" spans="1:12" ht="15.75" customHeight="1" x14ac:dyDescent="0.3">
      <c r="A427" s="539"/>
      <c r="B427" s="298" t="s">
        <v>82</v>
      </c>
      <c r="C427" s="66" t="s">
        <v>280</v>
      </c>
      <c r="D427" s="66"/>
      <c r="E427" s="136"/>
      <c r="F427" s="343" t="str">
        <f>IF(E427="","",IF(ISNUMBER('Quantification Tool R4'!$B$13),IF('Quantification Tool R4'!$B$13&gt;2.5,IF(OR('Quantification Tool R4'!$B$12="71h",'Quantification Tool R4'!$B$12="71i",'Quantification Tool R4'!$B$12="73a",'Quantification Tool R4'!$B$12="74a"),IF(E427&lt;=0.01,1,IF(OR('Quantification Tool R4'!$B$12="71h",'Quantification Tool R4'!$B$12="71i"),IF(E427&gt;0.37,0,ROUND(IF(E427&gt;0.03,'Reference Standards'!$AB$425*E427^2+'Reference Standards'!$AB$426*E427+'Reference Standards'!$AB$427,'Reference Standards'!$AF$426*E427+'Reference Standards'!$AF$427),2)),IF('Quantification Tool R4'!$B$12="73a",IF(E427&gt;0.405,0,ROUND(IF(E427&gt;0.046,'Reference Standards'!$AC$425*E427^2+'Reference Standards'!$AC$426*E427+'Reference Standards'!$AC$427,'Reference Standards'!$AG$426*E427+'Reference Standards'!$AG$427),2)),IF('Quantification Tool R4'!$B$12="74a",IF(E427&gt;0.3,0,ROUND(IF(E427&gt;0.052,'Reference Standards'!$AD$425*E427^2+'Reference Standards'!$AD$426*E427+'Reference Standards'!$AD$427,'Reference Standards'!$AH$426*E427+'Reference Standards'!$AH$427),2)))))),IF(E427&lt;=0.002,1,IF(OR('Quantification Tool R4'!$B$12="66d",'Quantification Tool R4'!$B$12="66e",'Quantification Tool R4'!$B$12="66g"),IF(E427&gt;0.053,0,ROUND(E427^2*'Reference Standards'!$AB$347+E427*'Reference Standards'!$AB$348+'Reference Standards'!$AB$349,2)),IF('Quantification Tool R4'!$B$12="68b",IF(E427&gt;0.05,0,ROUND(E427^2*'Reference Standards'!$AC$347+E427*'Reference Standards'!$AC$348+'Reference Standards'!$AC$349,2)),IF(OR('Quantification Tool R4'!$B$12="68a",'Quantification Tool R4'!$B$12="68c"),IF(E427&gt;0.07,0,ROUND(E427^2*'Reference Standards'!$AD$347+E427*'Reference Standards'!$AD$348+'Reference Standards'!$AD$349,2)),IF(OR('Quantification Tool R4'!$B$12="71f",'Quantification Tool R4'!$B$12="71g"),IF(E427&gt;0.13,0,ROUND(IF(E427&gt;0.042,E427*'Reference Standards'!$AE$348+'Reference Standards'!$AE$349,E427*'Reference Standards'!$AF$348+'Reference Standards'!$AF$349),2)),IF('Quantification Tool R4'!$B$12="67fhi",IF(E427&gt;0.16,0,ROUND(E427^2*'Reference Standards'!$AG$347+E427*'Reference Standards'!$AG$348+'Reference Standards'!$AG$349,2)),IF('Quantification Tool R4'!$B$12="65j",IF(E427&gt;0.035,0,ROUND(IF(E427&lt;=0.003,0.7,E427^2*'Reference Standards'!$AB$387+E427*'Reference Standards'!$AB$388+'Reference Standards'!$AB$389),2)),IF('Quantification Tool R4'!$B$12="69de",IF(E427&gt;0.037,0,ROUND(IF(E427&lt;=0.003,0.7,E427^2*'Reference Standards'!$AC$387+E427*'Reference Standards'!$AC$388+'Reference Standards'!$AC$389),2)),IF('Quantification Tool R4'!$B$12="71e",IF(E427&gt;0.23,0,ROUND(IF(E427&lt;=0.003,0.7,E427^2*'Reference Standards'!$AD$387+E427*'Reference Standards'!$AD$388+'Reference Standards'!$AD$389),2)),IF('Quantification Tool R4'!$B$12="66f",IF(E427&gt;0.06,0,ROUND(IF(E427&lt;=0.003,0.85,IF(E427&lt;=0.004,0.7,E427^2*'Reference Standards'!$AE$387+E427*'Reference Standards'!$AE$388+'Reference Standards'!$AE$389)),2)),IF('Quantification Tool R4'!$B$12="67g",IF(E427&gt;0.11,0,ROUND(IF(E427&lt;=0.01,E427*'Reference Standards'!$AH$388+'Reference Standards'!$AH$389,E427^2*'Reference Standards'!$AF$387+E427*'Reference Standards'!$AF$388+'Reference Standards'!$AF$389),2)),IF('Quantification Tool R4'!$B$12="74b",IF(E427&gt;0.49,0,ROUND(IF(E427&lt;=0.01,E427*'Reference Standards'!$AH$388+'Reference Standards'!$AH$389,E427^2*'Reference Standards'!$AG$387+E427*'Reference Standards'!$AG$388+'Reference Standards'!$AG$389),2)),IF('Quantification Tool R4'!$B$12="65abei",IF(E427&gt;0.199,0,ROUND(IF(E427&lt;=0.01,E427*'Reference Standards'!$AI$426+'Reference Standards'!$AI$427,E427^2*'Reference Standards'!$AE$425+E427*'Reference Standards'!$AE$426+'Reference Standards'!$AE$427),2)))))))))))))))),IF('Quantification Tool R4'!$B$13&lt;=2.5,IF(OR('Quantification Tool R4'!$B$12="66d",'Quantification Tool R4'!$B$12="66e",'Quantification Tool R4'!$B$12="66g"),IF(E427&gt;0.05,0,ROUND(IF(E427&lt;=0.002,1,IF(E427&lt;=0.005,E427*'Reference Standards'!$AF$464+'Reference Standards'!$AF$465,E427^2*'Reference Standards'!$AB$463+E427*'Reference Standards'!$AB$464+'Reference Standards'!$AB$465)),2)),IF('Quantification Tool R4'!$B$12="67fhi",IF(E427&gt;0.1,0,ROUND(IF(E427&lt;=0.002,1,IF(E427&lt;=0.006,E427*'Reference Standards'!$AG$464+'Reference Standards'!$AG$465,E427^2*'Reference Standards'!$AC$463+E427*'Reference Standards'!$AC$464+'Reference Standards'!$AC$465)),2)),IF('Quantification Tool R4'!$B$12="65abei",IF(E427&gt;0.13,0,ROUND(IF(E427&lt;=0.003,1,IF(E427&lt;=0.008,E427*'Reference Standards'!$AH$464+'Reference Standards'!$AH$465,E427^2*'Reference Standards'!$AD$463+E427*'Reference Standards'!$AD$464+'Reference Standards'!$AD$465)),2)),IF('Quantification Tool R4'!$B$12="68b",IF(E427&gt;0.043,0,ROUND(IF(E427&lt;=0.004,1,IF(E427&lt;=0.005,0.7,E427^2*'Reference Standards'!$AE$463+E427*'Reference Standards'!$AE$464+'Reference Standards'!$AE$465)),2)),IF('Quantification Tool R4'!$B$12="69de",IF(E427&gt;=0.034,0,ROUND(IF(E427&lt;=0.003,1,IF(E427&lt;=0.006,E427*'Reference Standards'!$AG$500+'Reference Standards'!$AG$501,E427*'Reference Standards'!$AB$500+'Reference Standards'!$AB$501)),2)),IF(OR('Quantification Tool R4'!$B$12="68a",'Quantification Tool R4'!$B$12="68c"),IF(E427&gt;0.202,0,ROUND(IF(E427&lt;=0.003,1,IF(E427&lt;=0.006,E427*'Reference Standards'!$AG$500+'Reference Standards'!$AG$501,IF(E427&gt;=0.04,E427*'Reference Standards'!$AC$500+'Reference Standards'!$AC$501,E427*'Reference Standards'!$AE$500+'Reference Standards'!$AE$501))),2)),IF(OR('Quantification Tool R4'!$B$12="71f",'Quantification Tool R4'!$B$12="71g"),IF(E427&gt;0.631,0,ROUND(IF(E427&lt;=0.003,1,IF(E427&lt;=0.006,E427*'Reference Standards'!$AG$500+'Reference Standards'!$AG$501,IF(E427&gt;=0.17,E427*'Reference Standards'!$AD$500+'Reference Standards'!$AD$501,E427*'Reference Standards'!$AF$500+'Reference Standards'!$AF$501))),2)),IF('Quantification Tool R4'!$B$12="71e",IF(E427&gt;1.23,0,ROUND(IF(E427&lt;=0.004,1,IF(E427&lt;=0.006,E427*'Reference Standards'!$AF$538+'Reference Standards'!$AF$539,E427^2*'Reference Standards'!$AB$537+E427*'Reference Standards'!$AB$538+'Reference Standards'!$AB$539)),2)),IF('Quantification Tool R4'!$B$12="67g",IF(E427&gt;0.11,0,ROUND(IF(E427&lt;=0.006,1,IF(E427&lt;=0.011,E427*'Reference Standards'!$AG$538+'Reference Standards'!$AG$539,E427^2*'Reference Standards'!$AC$537+E427*'Reference Standards'!$AC$538+'Reference Standards'!$AC$539)),2)),IF('Quantification Tool R4'!$B$12="65j",IF(E427&gt;0.046,0,ROUND(IF(E427&lt;=0.007,1,IF(E427&lt;=0.012,E427*'Reference Standards'!$AH$538+'Reference Standards'!$AH$539,E427^2*'Reference Standards'!$AD$537+E427*'Reference Standards'!$AD$538+'Reference Standards'!$AD$539)),2)),IF('Quantification Tool R4'!$B$12="66f",IF(E427&gt;0.081,0,ROUND(IF(E427&lt;=0.008,1,IF(E427&lt;=0.011,E427*'Reference Standards'!$AI$538+'Reference Standards'!$AI$539,E427^2*'Reference Standards'!$AE$537+E427*'Reference Standards'!$AE$538+'Reference Standards'!$AE$539)),2)),IF(OR('Quantification Tool R4'!$B$12="71h",'Quantification Tool R4'!$B$12="71i"),IF(E427&gt;0.37,0,ROUND(IF(E427&lt;=0.013,1,IF(E427&lt;=0.032,E427*'Reference Standards'!$AH$576+'Reference Standards'!$AH$577,IF(E427&lt;=0.3,E427*'Reference Standards'!$AF$576+'Reference Standards'!$AF$577,E427*'Reference Standards'!$AB$576+'Reference Standards'!$AB$577))),2)),IF('Quantification Tool R4'!$B$12="73a",IF(E427&gt;0.448,0,ROUND(IF(E427&lt;=0.071,1,IF(E427&lt;=0.086,E427*'Reference Standards'!$AJ$576+'Reference Standards'!$AJ$577,IF(E427&lt;=0.165,E427*'Reference Standards'!$AG$576+'Reference Standards'!$AG$577,E427*'Reference Standards'!$AE$576+'Reference Standards'!$AE$577))),2)),IF('Quantification Tool R4'!$B$12="74b",IF(E427&gt;0.43,0,ROUND(IF(E427&lt;=0.018,1,IF(E427&lt;=0.019,0.85,IF(E427&lt;=0.02,0.7,E427^2*'Reference Standards'!$AC$575+E427*'Reference Standards'!$AC$576+'Reference Standards'!$AC$577))),2)),IF('Quantification Tool R4'!$B$12="74a",IF(E427&gt;0.217,0,ROUND(IF(E427&lt;=0.02,1,IF(E427&lt;=0.033,E427*'Reference Standards'!$AI$576+'Reference Standards'!$AI$577,E427^2*'Reference Standards'!$AD$575+E427*'Reference Standards'!$AD$576+'Reference Standards'!$AD$577)),2)))))))))))))))))))))</f>
        <v/>
      </c>
      <c r="G427" s="256" t="str">
        <f>IFERROR(AVERAGE(F427),"")</f>
        <v/>
      </c>
      <c r="H427" s="694"/>
      <c r="I427" s="697"/>
      <c r="J427" s="684"/>
      <c r="K427" s="680"/>
    </row>
    <row r="428" spans="1:12" ht="15.6" x14ac:dyDescent="0.3">
      <c r="A428" s="550" t="s">
        <v>59</v>
      </c>
      <c r="B428" s="560" t="s">
        <v>340</v>
      </c>
      <c r="C428" s="125" t="s">
        <v>331</v>
      </c>
      <c r="D428" s="126"/>
      <c r="E428" s="166"/>
      <c r="F428" s="345" t="str">
        <f>IF(E428="","",IF(OR('Quantification Tool R4'!B$12="73a",'Quantification Tool R4'!B$12="73b"),IF(E428&lt;1,0,IF(E428&gt;=30,1,ROUND(IF(E428&lt;22,'Reference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698" t="str">
        <f>IFERROR(AVERAGE(F428:F431),"")</f>
        <v/>
      </c>
      <c r="H428" s="699" t="str">
        <f>IFERROR(ROUND(AVERAGE(G428:G433),2),"")</f>
        <v/>
      </c>
      <c r="I428" s="683" t="str">
        <f>IF(H428="","",IF(H428&gt;0.69,"Functioning",IF(H428&gt;0.29,"Functioning At Risk",IF(H428&gt;-1,"Not Functioning"))))</f>
        <v/>
      </c>
      <c r="J428" s="684"/>
      <c r="K428" s="680"/>
    </row>
    <row r="429" spans="1:12" ht="15.6" x14ac:dyDescent="0.3">
      <c r="A429" s="556"/>
      <c r="B429" s="561"/>
      <c r="C429" s="174" t="s">
        <v>335</v>
      </c>
      <c r="D429" s="175"/>
      <c r="E429" s="165"/>
      <c r="F429" s="346" t="str">
        <f>IF(E429="","",IF(AND('Quantification Tool R4'!$B$12="74b",'Quantification Tool R4'!$B$13&lt;=2),IF(E429&lt;0,0,IF(E429&gt;15.6,0.69,ROUND('Reference Standards'!$AL$54*E429^2+'Reference Standards'!$AL$55*E429+'Reference Standards'!$AL$56,2))),IF(AND('Quantification Tool R4'!$B$12="65abei",'Quantification Tool R4'!$B$13&lt;=2),IF(E429&lt;0,0,IF(E429&gt;=20,0.69,ROUND('Reference Standards'!$AM$54*E429^2+'Reference Standards'!$AM$55*E429+'Reference Standards'!$AM$56,2))),IF(OR(AND('Quantification Tool R4'!$B$12="74a",'Quantification Tool R4'!$B$13&gt;2,'Quantification Tool R4'!$B$19="January - June"),AND('Quantification Tool R4'!$B$12="71i",'Quantification Tool R4'!$B$13&gt;2,'Quantification Tool R4'!$B$20="SQBANK")),IF(E429&lt;0,0,IF(E429&gt;24.7,0.69,ROUND('Reference Standards'!$AN$54*E429^2+'Reference Standards'!$AN$55*E429+'Reference Standards'!$AN$56,2))),IF(OR('Quantification Tool R4'!$B$12="74b",'Quantification Tool R4'!$B$12="65abei"),IF(E429&lt;0,0,IF(E429&gt;32.7,0.69,ROUND('Reference Standards'!$AO$54*E429^2+'Reference Standards'!$AO$55*E429+'Reference Standards'!$AO$56,2))),IF(AND('Quantification Tool R4'!$B$12="68b",'Quantification Tool R4'!$B$13&gt;2),IF(E429&lt;0,0,IF(E429&gt;41.2,0.69,ROUND('Reference Standards'!$AP$54*E429^2+'Reference Standards'!$AP$55*E429+'Reference Standards'!$AP$56,2))),IF(OR(AND('Quantification Tool R4'!$B$12="71i",'Quantification Tool R4'!$B$13&lt;=2),AND(OR('Quantification Tool R4'!$B$12="68c",'Quantification Tool R4'!$B$12="68d"),'Quantification Tool R4'!$B$19="January - June")),IF(E429&lt;0,0,IF(E429&gt;49.2,0.69,ROUND('Reference Standards'!$AL$94*E429^2+'Reference Standards'!$AL$95*E429+'Reference Standards'!$AL$96,2))),IF(OR(AND('Quantification Tool R4'!$B$12="68a",'Quantification Tool R4'!$B$19="January - June"),AND(OR('Quantification Tool R4'!$B$12="68c",'Quantification Tool R4'!$B$12="68d"),'Quantification Tool R4'!$B$19="July - December")),IF(E429&lt;0,0,IF(E429&gt;53.4,0.69,ROUND('Reference Standards'!$AM$94*E429^2+'Reference Standards'!$AM$95*E429+'Reference Standards'!$AM$96,2))),IF(OR(AND('Quantification Tool R4'!$B$12="71i",'Quantification Tool R4'!$B$13&gt;2,'Quantification Tool R4'!$B$20="SQKICK"),AND(OR('Quantification Tool R4'!$B$12="67fhi",'Quantification Tool R4'!$B$12="67g"),'Quantification Tool R4'!$B$13&lt;=2),'Quantification Tool R4'!$B$12="65j"),IF(E429&lt;0,0,IF(E429&gt;57.8,0.69,ROUND('Reference Standards'!$AN$94*E429^2+'Reference Standards'!$AN$95*E429+'Reference Standards'!$AN$96,2))),IF(OR(AND('Quantification Tool R4'!$B$12="74a",'Quantification Tool R4'!$B$13&gt;2,'Quantification Tool R4'!$B$19="July - December"),AND(OR('Quantification Tool R4'!$B$12="67fhi",'Quantification Tool R4'!$B$12="67g"),'Quantification Tool R4'!$B$13&gt;2),'Quantification Tool R4'!$B$12="69de"),IF(E429&lt;0,0,IF(E429&gt;62.5,0.69,ROUND('Reference Standards'!$AO$94*E429^2+'Reference Standards'!$AO$95*E429+'Reference Standards'!$AO$96,2))),  IF(OR('Quantification Tool R4'!$B$12="66d",'Quantification Tool R4'!$B$12="66e",'Quantification Tool R4'!$B$12="66ik",'Quantification Tool R4'!$B$12="71e",'Quantification Tool R4'!$B$12="71f",'Quantification Tool R4'!$B$12="71g",'Quantification Tool R4'!$B$12="71h"),IF(E429&lt;0,0,IF(E429&gt;66.5,0.69,ROUND('Reference Standards'!$AP$94*E429^2+'Reference Standards'!$AP$95*E429+'Reference Standards'!$AP$96,2))),IF(OR('Quantification Tool R4'!$B$12="66f",'Quantification Tool R4'!$B$12="66g",'Quantification Tool R4'!$B$12="66j",AND('Quantification Tool R4'!$B$12="68a",'Quantification Tool R4'!$B$19="July - December")), IF(E429&lt;0,0,IF(E429&gt;69,0.69,ROUND('Reference Standards'!$AQ$94*E429^2+'Reference Standards'!$AQ$95*E429+'Reference Standards'!$AQ$96,2))))   )))))))))))</f>
        <v/>
      </c>
      <c r="G429" s="698"/>
      <c r="H429" s="699"/>
      <c r="I429" s="683"/>
      <c r="J429" s="684"/>
      <c r="K429" s="680"/>
    </row>
    <row r="430" spans="1:12" ht="15.6" x14ac:dyDescent="0.3">
      <c r="A430" s="556"/>
      <c r="B430" s="561"/>
      <c r="C430" s="174" t="s">
        <v>339</v>
      </c>
      <c r="D430" s="175"/>
      <c r="E430" s="165"/>
      <c r="F430" s="346" t="str">
        <f>IF(E430="","",IF(AND('Quantification Tool R4'!$B$12="74b",'Quantification Tool R4'!$B$13&lt;=2),IF(E430&lt;0,0,IF(E430&gt;8.1,0.69,ROUND('Reference Standards'!$AL$131*E430^2+'Reference Standards'!$AL$132*E430+'Reference Standards'!$AL$133,2))),IF(OR('Quantification Tool R4'!$B$12="73a",'Quantification Tool R4'!$B$12="73b"),IF(E430&lt;0,0,IF(E430&gt;=28,0.69,ROUND('Reference Standards'!$AM$131*E430^2+'Reference Standards'!$AM$132*E430+'Reference Standards'!$AM$133,2))),IF(AND('Quantification Tool R4'!$B$12="74a",'Quantification Tool R4'!$B$13&gt;2,'Quantification Tool R4'!$B$19="January - June"),IF(E430&lt;0,0,IF(E430&gt;=32.5,0.69,ROUND('Reference Standards'!$AN$131*E430^2+'Reference Standards'!$AN$132*E430+'Reference Standards'!$AN$133,2))),IF(AND('Quantification Tool R4'!$B$12="71i",'Quantification Tool R4'!$B$13&gt;2,'Quantification Tool R4'!$B$20="SQBANK"),IF(E430&lt;0,0,IF(E430&gt;=37,0.69,ROUND('Reference Standards'!$AO$131*E430^2+'Reference Standards'!$AO$132*E430+'Reference Standards'!$AO$133,2))),IF(OR(AND(OR('Quantification Tool R4'!$B$12="65abei",'Quantification Tool R4'!$B$12="74b"),'Quantification Tool R4'!$B$13&gt;2),AND('Quantification Tool R4'!$B$12="71i",'Quantification Tool R4'!$B$13&gt;2,'Quantification Tool R4'!$B$20="SQKICK")),IF(E430&lt;0,0,IF(E430&gt;42.6,0.69,ROUND('Reference Standards'!$AP$131*E430^2+'Reference Standards'!$AP$132*E430+'Reference Standards'!$AP$133,2))),     IF(OR(AND('Quantification Tool R4'!$B$12="65abei",'Quantification Tool R4'!$B$13&lt;=2),AND(OR('Quantification Tool R4'!$B$12="68c",'Quantification Tool R4'!$B$12="68d"),'Quantification Tool R4'!$B$19="July - December"),'Quantification Tool R4'!$B$12="71e"),IF(E430&lt;0,0,IF(E430&gt;=48,0.69,ROUND('Reference Standards'!$AL$171*E430^2+'Reference Standards'!$AL$172*E430+'Reference Standards'!$AL$173,2))),IF(OR('Quantification Tool R4'!$B$12="65j",'Quantification Tool R4'!$B$12="67fhi",'Quantification Tool R4'!$B$12="67g",AND('Quantification Tool R4'!$B$12="74a",'Quantification Tool R4'!$B$19="July - December",'Quantification Tool R4'!$B$13&gt;2),AND('Quantification Tool R4'!$B$12="71i",'Quantification Tool R4'!$B$13&lt;=2)),IF(E430&lt;0,0,IF(E430&gt;=53,0.69,ROUND('Reference Standards'!$AM$171*E430^2+'Reference Standards'!$AM$172*E430+'Reference Standards'!$AM$173,2))),IF(OR(AND(OR('Quantification Tool R4'!$B$12="68b",'Quantification Tool R4'!$B$12="71f",'Quantification Tool R4'!$B$12="71g",'Quantification Tool R4'!$B$12="71h"),'Quantification Tool R4'!$B$13&gt;2),'Quantification Tool R4'!$B$12="68a"),IF(E430&lt;0,0,IF(E430&gt;=57,0.69,ROUND('Reference Standards'!$AN$171*E430^2+'Reference Standards'!$AN$172*E430+'Reference Standards'!$AN$173,2))),IF(OR('Quantification Tool R4'!$B$12="66f",'Quantification Tool R4'!$B$12="66g",'Quantification Tool R4'!$B$12="66j",AND(OR('Quantification Tool R4'!$B$12="71f",'Quantification Tool R4'!$B$12="71g",'Quantification Tool R4'!$B$12="71h"),'Quantification Tool R4'!$B$13&lt;=2)),IF(E430&lt;0,0,IF(E430&gt;=60,0.69,ROUND('Reference Standards'!$AO$171*E430^2+'Reference Standards'!$AO$172*E430+'Reference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December")),IF(E430&lt;0,0,IF(E430&gt;=67.5,0.69,ROUND('Reference Standards'!$AP$171*E430^2+'Reference Standards'!$AP$172*E430+'Reference Standards'!$AP$173,2))),IF(AND('Quantification Tool R4'!$B$12="69de",'Quantification Tool R4'!$B$19="January - June"), IF(E430&lt;0,0,IF(E430&gt;=72,0.69,ROUND('Reference Standards'!$AQ$171*E430^2+'Reference Standards'!$AQ$172*E430+'Reference Standards'!$AQ$173,2))))   )))))))))))</f>
        <v/>
      </c>
      <c r="G430" s="698"/>
      <c r="H430" s="699"/>
      <c r="I430" s="683"/>
      <c r="J430" s="684"/>
      <c r="K430" s="680"/>
    </row>
    <row r="431" spans="1:12" ht="15.6" x14ac:dyDescent="0.3">
      <c r="A431" s="556"/>
      <c r="B431" s="562"/>
      <c r="C431" s="127" t="s">
        <v>336</v>
      </c>
      <c r="D431" s="71"/>
      <c r="E431" s="167"/>
      <c r="F431" s="346" t="str">
        <f>IF(E431="","",IF(OR('Quantification Tool R4'!$B$12="67fhi",'Quantification Tool R4'!$B$12="67g",'Quantification Tool R4'!$B$12="71e",'Quantification Tool R4'!$B$12="73a",'Quantification Tool R4'!$B$12="73b",AND(OR('Quantification Tool R4'!$B$12="71f",'Quantification Tool R4'!$B$12="71g",'Quantification Tool R4'!$B$12="71h"),'Quantification Tool R4'!$B$13&gt;2)),IF(E431&gt;100,0,IF(E431&lt;15,0.69,ROUND('Reference Standards'!$AL$208*E431^2+'Reference Standards'!$AL$209*E431+'Reference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),IF(E431&gt;100,0,IF(E431&lt;19,0.69,ROUND('Reference Standards'!$AM$208*E431^2+'Reference Standards'!$AM$209*E431+'Reference Standards'!$AM$210,2))),    IF(OR(AND('Quantification Tool R4'!$B$12="69de",'Quantification Tool R4'!$B$19="January - June"),AND('Quantification Tool R4'!$B$12="71i",'Quantification Tool R4'!$B$13&gt;2,'Quantification Tool R4'!$B$20="SQKICK" )),IF(E431&gt;100,0,IF(E431&lt;22,0.69,ROUND('Reference Standards'!$AN$208*E431^2+'Reference Standards'!$AN$209*E431+'Reference Standards'!$AN$210,2))),    IF(OR('Quantification Tool R4'!$B$12="65j",AND('Quantification Tool R4'!$B$12="68b",'Quantification Tool R4'!$B$13&gt;2)),IF(E431&gt;100,0,IF(E431&lt;24,0.69,ROUND('Reference Standards'!$AO$208*E431^2+'Reference Standards'!$AO$209*E431+'Reference Standards'!$AO$210,2))),    IF(AND(OR('Quantification Tool R4'!$B$12="65abei",'Quantification Tool R4'!$B$12="71f",'Quantification Tool R4'!$B$12="71g",'Quantification Tool R4'!$B$12="71h"),'Quantification Tool R4'!$B$13&lt;=2),IF(E431&gt;95,0,IF(E431&lt;33,0.69,ROUND('Reference Standards'!$AL$246*E431^2+'Reference Standards'!$AL$247*E431+'Reference Standards'!$AL$248,2))),   IF(AND(OR('Quantification Tool R4'!$B$12="65abei",'Quantification Tool R4'!$B$12="74b"),'Quantification Tool R4'!$B$13&gt;2),IF(E431&gt;97,0,IF(E431&lt;36,0.69,ROUND('Reference Standards'!$AM$246*E431^2+'Reference Standards'!$AM$247*E431+'Reference Standards'!$AM$248,2))),  IF(AND('Quantification Tool R4'!$B$12="74a",'Quantification Tool R4'!$B$19="January - June",'Quantification Tool R4'!$B$13&gt;2),IF(E431&gt;93,0,IF(E431&lt;52,0.69,ROUND('Reference Standards'!$AN$246*E431^2+'Reference Standards'!$AN$247*E431+'Reference Standards'!$AN$248,2))),   IF(AND('Quantification Tool R4'!$B$12="74b",'Quantification Tool R4'!$B$13&lt;=2),IF(E431&gt;97,0,IF(E431&lt;62,0.69,ROUND('Reference Standards'!$AO$246*E431^2+'Reference Standards'!$AO$247*E431+'Reference Standards'!$AO$248,2)))  )))))))))</f>
        <v/>
      </c>
      <c r="G431" s="698"/>
      <c r="H431" s="699"/>
      <c r="I431" s="683"/>
      <c r="J431" s="684"/>
      <c r="K431" s="680"/>
    </row>
    <row r="432" spans="1:12" ht="15.6" x14ac:dyDescent="0.3">
      <c r="A432" s="556"/>
      <c r="B432" s="563" t="s">
        <v>74</v>
      </c>
      <c r="C432" s="125" t="s">
        <v>211</v>
      </c>
      <c r="D432" s="126"/>
      <c r="E432" s="166"/>
      <c r="F432" s="345" t="str">
        <f>IF(E432="","",IF(E432=1,0.15,IF(E432=3,0.5,IF(E432=5,0.85,0))))</f>
        <v/>
      </c>
      <c r="G432" s="672" t="str">
        <f>IFERROR(AVERAGE(F432:F433),"")</f>
        <v/>
      </c>
      <c r="H432" s="699"/>
      <c r="I432" s="683"/>
      <c r="J432" s="684"/>
      <c r="K432" s="680"/>
    </row>
    <row r="433" spans="1:11" ht="15.6" x14ac:dyDescent="0.3">
      <c r="A433" s="551"/>
      <c r="B433" s="563"/>
      <c r="C433" s="127" t="s">
        <v>332</v>
      </c>
      <c r="D433" s="71"/>
      <c r="E433" s="167"/>
      <c r="F433" s="347" t="str">
        <f>IF(E433="","",IF(E433=1,0.15,IF(E433=3,0.5,IF(E433=5,0.85,0))))</f>
        <v/>
      </c>
      <c r="G433" s="673"/>
      <c r="H433" s="699"/>
      <c r="I433" s="683"/>
      <c r="J433" s="684"/>
      <c r="K433" s="680"/>
    </row>
  </sheetData>
  <sheetProtection password="9A90" sheet="1" objects="1" scenarios="1" selectLockedCells="1"/>
  <dataConsolidate/>
  <mergeCells count="364">
    <mergeCell ref="A1:F1"/>
    <mergeCell ref="G1:K1"/>
    <mergeCell ref="C2:D2"/>
    <mergeCell ref="A3:A4"/>
    <mergeCell ref="H3:H4"/>
    <mergeCell ref="I3:I4"/>
    <mergeCell ref="J3:J38"/>
    <mergeCell ref="K3:K38"/>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 ref="I33:I38"/>
    <mergeCell ref="B37:B38"/>
    <mergeCell ref="G37:G38"/>
    <mergeCell ref="H5:H6"/>
    <mergeCell ref="I5:I6"/>
    <mergeCell ref="A7:A28"/>
    <mergeCell ref="B7:B8"/>
    <mergeCell ref="G7:G8"/>
    <mergeCell ref="H7:H28"/>
    <mergeCell ref="I7:I28"/>
    <mergeCell ref="B9:B12"/>
    <mergeCell ref="G9:G12"/>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B76:B77"/>
    <mergeCell ref="G76:G77"/>
    <mergeCell ref="I44:I45"/>
    <mergeCell ref="A46:A67"/>
    <mergeCell ref="B46:B47"/>
    <mergeCell ref="G46:G47"/>
    <mergeCell ref="H46:H67"/>
    <mergeCell ref="I46:I67"/>
    <mergeCell ref="B48:B51"/>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115:B116"/>
    <mergeCell ref="G115:G116"/>
    <mergeCell ref="I83:I84"/>
    <mergeCell ref="A85:A106"/>
    <mergeCell ref="B85:B86"/>
    <mergeCell ref="G85:G86"/>
    <mergeCell ref="H85:H106"/>
    <mergeCell ref="I85:I106"/>
    <mergeCell ref="B87:B90"/>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54:B155"/>
    <mergeCell ref="G154:G155"/>
    <mergeCell ref="I122:I123"/>
    <mergeCell ref="A124:A145"/>
    <mergeCell ref="B124:B125"/>
    <mergeCell ref="G124:G125"/>
    <mergeCell ref="H124:H145"/>
    <mergeCell ref="I124:I145"/>
    <mergeCell ref="B126:B129"/>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93:B194"/>
    <mergeCell ref="G193:G194"/>
    <mergeCell ref="I161:I162"/>
    <mergeCell ref="A163:A184"/>
    <mergeCell ref="B163:B164"/>
    <mergeCell ref="G163:G164"/>
    <mergeCell ref="H163:H184"/>
    <mergeCell ref="I163:I184"/>
    <mergeCell ref="B165:B168"/>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232:B233"/>
    <mergeCell ref="G232:G233"/>
    <mergeCell ref="I200:I201"/>
    <mergeCell ref="A202:A223"/>
    <mergeCell ref="B202:B203"/>
    <mergeCell ref="G202:G203"/>
    <mergeCell ref="H202:H223"/>
    <mergeCell ref="I202:I223"/>
    <mergeCell ref="B204:B20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72:B273"/>
    <mergeCell ref="G272:G273"/>
    <mergeCell ref="I240:I241"/>
    <mergeCell ref="A242:A263"/>
    <mergeCell ref="B242:B243"/>
    <mergeCell ref="G242:G243"/>
    <mergeCell ref="H242:H263"/>
    <mergeCell ref="I242:I263"/>
    <mergeCell ref="B244:B24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312:B313"/>
    <mergeCell ref="G312:G313"/>
    <mergeCell ref="I280:I281"/>
    <mergeCell ref="A282:A303"/>
    <mergeCell ref="B282:B283"/>
    <mergeCell ref="G282:G283"/>
    <mergeCell ref="H282:H303"/>
    <mergeCell ref="I282:I303"/>
    <mergeCell ref="B284:B28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52:B353"/>
    <mergeCell ref="G352:G353"/>
    <mergeCell ref="I320:I321"/>
    <mergeCell ref="A322:A343"/>
    <mergeCell ref="B322:B323"/>
    <mergeCell ref="G322:G323"/>
    <mergeCell ref="H322:H343"/>
    <mergeCell ref="I322:I343"/>
    <mergeCell ref="B324:B32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92:B393"/>
    <mergeCell ref="G392:G393"/>
    <mergeCell ref="I360:I361"/>
    <mergeCell ref="A362:A383"/>
    <mergeCell ref="B362:B363"/>
    <mergeCell ref="G362:G363"/>
    <mergeCell ref="H362:H383"/>
    <mergeCell ref="I362:I383"/>
    <mergeCell ref="B364:B36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432:B433"/>
    <mergeCell ref="G432:G433"/>
    <mergeCell ref="I400:I401"/>
    <mergeCell ref="A402:A423"/>
    <mergeCell ref="B402:B403"/>
    <mergeCell ref="G402:G403"/>
    <mergeCell ref="H402:H423"/>
    <mergeCell ref="I402:I423"/>
    <mergeCell ref="B404:B407"/>
  </mergeCells>
  <conditionalFormatting sqref="A2:C2 L378:L384 L365:L372 L1:M4 G1 A41:C41 G40 M356:M359 E2:I2 E41:I41 M51:M65 L66:L78 L105:L115 L144:L156 L183:L195 L223:L235 L263:L273 L303:L313 L343:L355 M380:M393 M420:M434 D30:D31 D69:D70 D108:D109 D147:D148 D186:D187 D225:D226 D265:D266 D305:D306 D345:D346 D385:D386 D425:D426 L5:L37 L316:M326 L276:M286 L236:M246 L196:M206 L157:M167 L118:M128 L79:M89 L38:M50">
    <cfRule type="beginsWith" dxfId="4218" priority="2977" stopIfTrue="1" operator="beginsWith" text="Functioning At Risk">
      <formula>LEFT(A1,LEN("Functioning At Risk"))="Functioning At Risk"</formula>
    </cfRule>
    <cfRule type="beginsWith" dxfId="4217" priority="2978" stopIfTrue="1" operator="beginsWith" text="Not Functioning">
      <formula>LEFT(A1,LEN("Not Functioning"))="Not Functioning"</formula>
    </cfRule>
    <cfRule type="containsText" dxfId="4216" priority="2979" operator="containsText" text="Functioning">
      <formula>NOT(ISERROR(SEARCH("Functioning",A1)))</formula>
    </cfRule>
  </conditionalFormatting>
  <conditionalFormatting sqref="A80:C80 G79 E80:I80 M90:M104">
    <cfRule type="beginsWith" dxfId="4215" priority="2974" stopIfTrue="1" operator="beginsWith" text="Functioning At Risk">
      <formula>LEFT(A79,LEN("Functioning At Risk"))="Functioning At Risk"</formula>
    </cfRule>
    <cfRule type="beginsWith" dxfId="4214" priority="2975" stopIfTrue="1" operator="beginsWith" text="Not Functioning">
      <formula>LEFT(A79,LEN("Not Functioning"))="Not Functioning"</formula>
    </cfRule>
    <cfRule type="containsText" dxfId="4213" priority="2976" operator="containsText" text="Functioning">
      <formula>NOT(ISERROR(SEARCH("Functioning",A79)))</formula>
    </cfRule>
  </conditionalFormatting>
  <conditionalFormatting sqref="A197:C197 G196 E197:I197 M207:M222">
    <cfRule type="beginsWith" dxfId="4212" priority="2962" stopIfTrue="1" operator="beginsWith" text="Functioning At Risk">
      <formula>LEFT(A196,LEN("Functioning At Risk"))="Functioning At Risk"</formula>
    </cfRule>
    <cfRule type="beginsWith" dxfId="4211" priority="2963" stopIfTrue="1" operator="beginsWith" text="Not Functioning">
      <formula>LEFT(A196,LEN("Not Functioning"))="Not Functioning"</formula>
    </cfRule>
    <cfRule type="containsText" dxfId="4210" priority="2964" operator="containsText" text="Functioning">
      <formula>NOT(ISERROR(SEARCH("Functioning",A196)))</formula>
    </cfRule>
  </conditionalFormatting>
  <conditionalFormatting sqref="L116:L117">
    <cfRule type="beginsWith" dxfId="4209" priority="2971" stopIfTrue="1" operator="beginsWith" text="Functioning At Risk">
      <formula>LEFT(L116,LEN("Functioning At Risk"))="Functioning At Risk"</formula>
    </cfRule>
    <cfRule type="beginsWith" dxfId="4208" priority="2972" stopIfTrue="1" operator="beginsWith" text="Not Functioning">
      <formula>LEFT(L116,LEN("Not Functioning"))="Not Functioning"</formula>
    </cfRule>
    <cfRule type="containsText" dxfId="4207" priority="2973" operator="containsText" text="Functioning">
      <formula>NOT(ISERROR(SEARCH("Functioning",L116)))</formula>
    </cfRule>
  </conditionalFormatting>
  <conditionalFormatting sqref="A119:C119 G118 E119:I119 M129:M143">
    <cfRule type="beginsWith" dxfId="4206" priority="2968" stopIfTrue="1" operator="beginsWith" text="Functioning At Risk">
      <formula>LEFT(A118,LEN("Functioning At Risk"))="Functioning At Risk"</formula>
    </cfRule>
    <cfRule type="beginsWith" dxfId="4205" priority="2969" stopIfTrue="1" operator="beginsWith" text="Not Functioning">
      <formula>LEFT(A118,LEN("Not Functioning"))="Not Functioning"</formula>
    </cfRule>
    <cfRule type="containsText" dxfId="4204" priority="2970" operator="containsText" text="Functioning">
      <formula>NOT(ISERROR(SEARCH("Functioning",A118)))</formula>
    </cfRule>
  </conditionalFormatting>
  <conditionalFormatting sqref="A158:C158 G157 E158:I158 M168:M182">
    <cfRule type="beginsWith" dxfId="4203" priority="2965" stopIfTrue="1" operator="beginsWith" text="Functioning At Risk">
      <formula>LEFT(A157,LEN("Functioning At Risk"))="Functioning At Risk"</formula>
    </cfRule>
    <cfRule type="beginsWith" dxfId="4202" priority="2966" stopIfTrue="1" operator="beginsWith" text="Not Functioning">
      <formula>LEFT(A157,LEN("Not Functioning"))="Not Functioning"</formula>
    </cfRule>
    <cfRule type="containsText" dxfId="4201" priority="2967" operator="containsText" text="Functioning">
      <formula>NOT(ISERROR(SEARCH("Functioning",A157)))</formula>
    </cfRule>
  </conditionalFormatting>
  <conditionalFormatting sqref="A237:C237 G236 E237:I237 M247:M262">
    <cfRule type="beginsWith" dxfId="4200" priority="2959" stopIfTrue="1" operator="beginsWith" text="Functioning At Risk">
      <formula>LEFT(A236,LEN("Functioning At Risk"))="Functioning At Risk"</formula>
    </cfRule>
    <cfRule type="beginsWith" dxfId="4199" priority="2960" stopIfTrue="1" operator="beginsWith" text="Not Functioning">
      <formula>LEFT(A236,LEN("Not Functioning"))="Not Functioning"</formula>
    </cfRule>
    <cfRule type="containsText" dxfId="4198" priority="2961" operator="containsText" text="Functioning">
      <formula>NOT(ISERROR(SEARCH("Functioning",A236)))</formula>
    </cfRule>
  </conditionalFormatting>
  <conditionalFormatting sqref="L274:L275">
    <cfRule type="beginsWith" dxfId="4197" priority="2956" stopIfTrue="1" operator="beginsWith" text="Functioning At Risk">
      <formula>LEFT(L274,LEN("Functioning At Risk"))="Functioning At Risk"</formula>
    </cfRule>
    <cfRule type="beginsWith" dxfId="4196" priority="2957" stopIfTrue="1" operator="beginsWith" text="Not Functioning">
      <formula>LEFT(L274,LEN("Not Functioning"))="Not Functioning"</formula>
    </cfRule>
    <cfRule type="containsText" dxfId="4195" priority="2958" operator="containsText" text="Functioning">
      <formula>NOT(ISERROR(SEARCH("Functioning",L274)))</formula>
    </cfRule>
  </conditionalFormatting>
  <conditionalFormatting sqref="A277:C277 G276 E277:I277 M287:M302">
    <cfRule type="beginsWith" dxfId="4194" priority="2953" stopIfTrue="1" operator="beginsWith" text="Functioning At Risk">
      <formula>LEFT(A276,LEN("Functioning At Risk"))="Functioning At Risk"</formula>
    </cfRule>
    <cfRule type="beginsWith" dxfId="4193" priority="2954" stopIfTrue="1" operator="beginsWith" text="Not Functioning">
      <formula>LEFT(A276,LEN("Not Functioning"))="Not Functioning"</formula>
    </cfRule>
    <cfRule type="containsText" dxfId="4192" priority="2955" operator="containsText" text="Functioning">
      <formula>NOT(ISERROR(SEARCH("Functioning",A276)))</formula>
    </cfRule>
  </conditionalFormatting>
  <conditionalFormatting sqref="L314:L315">
    <cfRule type="beginsWith" dxfId="4191" priority="2950" stopIfTrue="1" operator="beginsWith" text="Functioning At Risk">
      <formula>LEFT(L314,LEN("Functioning At Risk"))="Functioning At Risk"</formula>
    </cfRule>
    <cfRule type="beginsWith" dxfId="4190" priority="2951" stopIfTrue="1" operator="beginsWith" text="Not Functioning">
      <formula>LEFT(L314,LEN("Not Functioning"))="Not Functioning"</formula>
    </cfRule>
    <cfRule type="containsText" dxfId="4189" priority="2952" operator="containsText" text="Functioning">
      <formula>NOT(ISERROR(SEARCH("Functioning",L314)))</formula>
    </cfRule>
  </conditionalFormatting>
  <conditionalFormatting sqref="A317:C317 G316 E317:I317 M327:M342">
    <cfRule type="beginsWith" dxfId="4188" priority="2947" stopIfTrue="1" operator="beginsWith" text="Functioning At Risk">
      <formula>LEFT(A316,LEN("Functioning At Risk"))="Functioning At Risk"</formula>
    </cfRule>
    <cfRule type="beginsWith" dxfId="4187" priority="2948" stopIfTrue="1" operator="beginsWith" text="Not Functioning">
      <formula>LEFT(A316,LEN("Not Functioning"))="Not Functioning"</formula>
    </cfRule>
    <cfRule type="containsText" dxfId="4186" priority="2949" operator="containsText" text="Functioning">
      <formula>NOT(ISERROR(SEARCH("Functioning",A316)))</formula>
    </cfRule>
  </conditionalFormatting>
  <conditionalFormatting sqref="A357:C357 G356 E357:I357">
    <cfRule type="beginsWith" dxfId="4185" priority="2944" stopIfTrue="1" operator="beginsWith" text="Functioning At Risk">
      <formula>LEFT(A356,LEN("Functioning At Risk"))="Functioning At Risk"</formula>
    </cfRule>
    <cfRule type="beginsWith" dxfId="4184" priority="2945" stopIfTrue="1" operator="beginsWith" text="Not Functioning">
      <formula>LEFT(A356,LEN("Not Functioning"))="Not Functioning"</formula>
    </cfRule>
    <cfRule type="containsText" dxfId="4183" priority="2946" operator="containsText" text="Functioning">
      <formula>NOT(ISERROR(SEARCH("Functioning",A356)))</formula>
    </cfRule>
  </conditionalFormatting>
  <conditionalFormatting sqref="L418:L424 L405:L412 M396:M399 L394:L395">
    <cfRule type="beginsWith" dxfId="4182" priority="2941" stopIfTrue="1" operator="beginsWith" text="Functioning At Risk">
      <formula>LEFT(L394,LEN("Functioning At Risk"))="Functioning At Risk"</formula>
    </cfRule>
    <cfRule type="beginsWith" dxfId="4181" priority="2942" stopIfTrue="1" operator="beginsWith" text="Not Functioning">
      <formula>LEFT(L394,LEN("Not Functioning"))="Not Functioning"</formula>
    </cfRule>
    <cfRule type="containsText" dxfId="4180" priority="2943" operator="containsText" text="Functioning">
      <formula>NOT(ISERROR(SEARCH("Functioning",L394)))</formula>
    </cfRule>
  </conditionalFormatting>
  <conditionalFormatting sqref="A397:C397 G396 E397:I397">
    <cfRule type="beginsWith" dxfId="4179" priority="2938" stopIfTrue="1" operator="beginsWith" text="Functioning At Risk">
      <formula>LEFT(A396,LEN("Functioning At Risk"))="Functioning At Risk"</formula>
    </cfRule>
    <cfRule type="beginsWith" dxfId="4178" priority="2939" stopIfTrue="1" operator="beginsWith" text="Not Functioning">
      <formula>LEFT(A396,LEN("Not Functioning"))="Not Functioning"</formula>
    </cfRule>
    <cfRule type="containsText" dxfId="4177" priority="2940" operator="containsText" text="Functioning">
      <formula>NOT(ISERROR(SEARCH("Functioning",A396)))</formula>
    </cfRule>
  </conditionalFormatting>
  <conditionalFormatting sqref="I33:I37 B31:B32 D21 B24 A5:B5 A33:B35 H7:I8 H5:I5 H3:K4 A7:B7 A36:A37 D13:D15 B28:B29 A8 D33:D36 D5:D8 D24:D28">
    <cfRule type="beginsWith" dxfId="4176" priority="2935" stopIfTrue="1" operator="beginsWith" text="Functioning At Risk">
      <formula>LEFT(A3,LEN("Functioning At Risk"))="Functioning At Risk"</formula>
    </cfRule>
    <cfRule type="beginsWith" dxfId="4175" priority="2936" stopIfTrue="1" operator="beginsWith" text="Not Functioning">
      <formula>LEFT(A3,LEN("Not Functioning"))="Not Functioning"</formula>
    </cfRule>
    <cfRule type="containsText" dxfId="4174" priority="2937" operator="containsText" text="Functioning">
      <formula>NOT(ISERROR(SEARCH("Functioning",A3)))</formula>
    </cfRule>
  </conditionalFormatting>
  <conditionalFormatting sqref="D16">
    <cfRule type="beginsWith" dxfId="4173" priority="2929" stopIfTrue="1" operator="beginsWith" text="Functioning At Risk">
      <formula>LEFT(D16,LEN("Functioning At Risk"))="Functioning At Risk"</formula>
    </cfRule>
    <cfRule type="beginsWith" dxfId="4172" priority="2930" stopIfTrue="1" operator="beginsWith" text="Not Functioning">
      <formula>LEFT(D16,LEN("Not Functioning"))="Not Functioning"</formula>
    </cfRule>
    <cfRule type="containsText" dxfId="4171" priority="2931" operator="containsText" text="Functioning">
      <formula>NOT(ISERROR(SEARCH("Functioning",D16)))</formula>
    </cfRule>
  </conditionalFormatting>
  <conditionalFormatting sqref="D22">
    <cfRule type="beginsWith" dxfId="4170" priority="2926" stopIfTrue="1" operator="beginsWith" text="Functioning At Risk">
      <formula>LEFT(D22,LEN("Functioning At Risk"))="Functioning At Risk"</formula>
    </cfRule>
    <cfRule type="beginsWith" dxfId="4169" priority="2927" stopIfTrue="1" operator="beginsWith" text="Not Functioning">
      <formula>LEFT(D22,LEN("Not Functioning"))="Not Functioning"</formula>
    </cfRule>
    <cfRule type="containsText" dxfId="4168" priority="2928" operator="containsText" text="Functioning">
      <formula>NOT(ISERROR(SEARCH("Functioning",D22)))</formula>
    </cfRule>
  </conditionalFormatting>
  <conditionalFormatting sqref="D23">
    <cfRule type="beginsWith" dxfId="4167" priority="2923" stopIfTrue="1" operator="beginsWith" text="Functioning At Risk">
      <formula>LEFT(D23,LEN("Functioning At Risk"))="Functioning At Risk"</formula>
    </cfRule>
    <cfRule type="beginsWith" dxfId="4166" priority="2924" stopIfTrue="1" operator="beginsWith" text="Not Functioning">
      <formula>LEFT(D23,LEN("Not Functioning"))="Not Functioning"</formula>
    </cfRule>
    <cfRule type="containsText" dxfId="4165" priority="2925" operator="containsText" text="Functioning">
      <formula>NOT(ISERROR(SEARCH("Functioning",D23)))</formula>
    </cfRule>
  </conditionalFormatting>
  <conditionalFormatting sqref="D17:D20">
    <cfRule type="beginsWith" dxfId="4164" priority="2920" stopIfTrue="1" operator="beginsWith" text="Functioning At Risk">
      <formula>LEFT(D17,LEN("Functioning At Risk"))="Functioning At Risk"</formula>
    </cfRule>
    <cfRule type="beginsWith" dxfId="4163" priority="2921" stopIfTrue="1" operator="beginsWith" text="Not Functioning">
      <formula>LEFT(D17,LEN("Not Functioning"))="Not Functioning"</formula>
    </cfRule>
    <cfRule type="containsText" dxfId="4162" priority="2922" operator="containsText" text="Functioning">
      <formula>NOT(ISERROR(SEARCH("Functioning",D17)))</formula>
    </cfRule>
  </conditionalFormatting>
  <conditionalFormatting sqref="A29">
    <cfRule type="beginsWith" dxfId="4161" priority="2917" stopIfTrue="1" operator="beginsWith" text="Functioning At Risk">
      <formula>LEFT(A29,LEN("Functioning At Risk"))="Functioning At Risk"</formula>
    </cfRule>
    <cfRule type="beginsWith" dxfId="4160" priority="2918" stopIfTrue="1" operator="beginsWith" text="Not Functioning">
      <formula>LEFT(A29,LEN("Not Functioning"))="Not Functioning"</formula>
    </cfRule>
    <cfRule type="containsText" dxfId="4159" priority="2919" operator="containsText" text="Functioning">
      <formula>NOT(ISERROR(SEARCH("Functioning",A29)))</formula>
    </cfRule>
  </conditionalFormatting>
  <conditionalFormatting sqref="H29">
    <cfRule type="beginsWith" dxfId="4158" priority="2914" stopIfTrue="1" operator="beginsWith" text="Functioning At Risk">
      <formula>LEFT(H29,LEN("Functioning At Risk"))="Functioning At Risk"</formula>
    </cfRule>
    <cfRule type="beginsWith" dxfId="4157" priority="2915" stopIfTrue="1" operator="beginsWith" text="Not Functioning">
      <formula>LEFT(H29,LEN("Not Functioning"))="Not Functioning"</formula>
    </cfRule>
    <cfRule type="containsText" dxfId="4156" priority="2916" operator="containsText" text="Functioning">
      <formula>NOT(ISERROR(SEARCH("Functioning",H29)))</formula>
    </cfRule>
  </conditionalFormatting>
  <conditionalFormatting sqref="I29">
    <cfRule type="beginsWith" dxfId="4155" priority="2911" stopIfTrue="1" operator="beginsWith" text="Functioning At Risk">
      <formula>LEFT(I29,LEN("Functioning At Risk"))="Functioning At Risk"</formula>
    </cfRule>
    <cfRule type="beginsWith" dxfId="4154" priority="2912" stopIfTrue="1" operator="beginsWith" text="Not Functioning">
      <formula>LEFT(I29,LEN("Not Functioning"))="Not Functioning"</formula>
    </cfRule>
    <cfRule type="containsText" dxfId="4153" priority="2913" operator="containsText" text="Functioning">
      <formula>NOT(ISERROR(SEARCH("Functioning",I29)))</formula>
    </cfRule>
  </conditionalFormatting>
  <conditionalFormatting sqref="D37">
    <cfRule type="beginsWith" dxfId="4152" priority="2908" stopIfTrue="1" operator="beginsWith" text="Functioning At Risk">
      <formula>LEFT(D37,LEN("Functioning At Risk"))="Functioning At Risk"</formula>
    </cfRule>
    <cfRule type="beginsWith" dxfId="4151" priority="2909" stopIfTrue="1" operator="beginsWith" text="Not Functioning">
      <formula>LEFT(D37,LEN("Not Functioning"))="Not Functioning"</formula>
    </cfRule>
    <cfRule type="containsText" dxfId="4150" priority="2910" operator="containsText" text="Functioning">
      <formula>NOT(ISERROR(SEARCH("Functioning",D37)))</formula>
    </cfRule>
  </conditionalFormatting>
  <conditionalFormatting sqref="D38">
    <cfRule type="beginsWith" dxfId="4149" priority="2905" stopIfTrue="1" operator="beginsWith" text="Functioning At Risk">
      <formula>LEFT(D38,LEN("Functioning At Risk"))="Functioning At Risk"</formula>
    </cfRule>
    <cfRule type="beginsWith" dxfId="4148" priority="2906" stopIfTrue="1" operator="beginsWith" text="Not Functioning">
      <formula>LEFT(D38,LEN("Not Functioning"))="Not Functioning"</formula>
    </cfRule>
    <cfRule type="containsText" dxfId="4147" priority="2907" operator="containsText" text="Functioning">
      <formula>NOT(ISERROR(SEARCH("Functioning",D38)))</formula>
    </cfRule>
  </conditionalFormatting>
  <conditionalFormatting sqref="B37">
    <cfRule type="beginsWith" dxfId="4146" priority="2902" stopIfTrue="1" operator="beginsWith" text="Functioning At Risk">
      <formula>LEFT(B37,LEN("Functioning At Risk"))="Functioning At Risk"</formula>
    </cfRule>
    <cfRule type="beginsWith" dxfId="4145" priority="2903" stopIfTrue="1" operator="beginsWith" text="Not Functioning">
      <formula>LEFT(B37,LEN("Not Functioning"))="Not Functioning"</formula>
    </cfRule>
    <cfRule type="containsText" dxfId="4144" priority="2904" operator="containsText" text="Functioning">
      <formula>NOT(ISERROR(SEARCH("Functioning",B37)))</formula>
    </cfRule>
  </conditionalFormatting>
  <conditionalFormatting sqref="B13">
    <cfRule type="beginsWith" dxfId="4143" priority="2896" stopIfTrue="1" operator="beginsWith" text="Functioning At Risk">
      <formula>LEFT(B13,LEN("Functioning At Risk"))="Functioning At Risk"</formula>
    </cfRule>
    <cfRule type="beginsWith" dxfId="4142" priority="2897" stopIfTrue="1" operator="beginsWith" text="Not Functioning">
      <formula>LEFT(B13,LEN("Not Functioning"))="Not Functioning"</formula>
    </cfRule>
    <cfRule type="containsText" dxfId="4141" priority="2898" operator="containsText" text="Functioning">
      <formula>NOT(ISERROR(SEARCH("Functioning",B13)))</formula>
    </cfRule>
  </conditionalFormatting>
  <conditionalFormatting sqref="I72:I76 B70:B71 D60 B63 A44:B44 H46:I47 H44:I44 H42:K43 A46:B46 A72:A76 D52:D54 B67:B68 A47 D72:D75 D44:D47 D63:D67">
    <cfRule type="beginsWith" dxfId="4140" priority="2890" stopIfTrue="1" operator="beginsWith" text="Functioning At Risk">
      <formula>LEFT(A42,LEN("Functioning At Risk"))="Functioning At Risk"</formula>
    </cfRule>
    <cfRule type="beginsWith" dxfId="4139" priority="2891" stopIfTrue="1" operator="beginsWith" text="Not Functioning">
      <formula>LEFT(A42,LEN("Not Functioning"))="Not Functioning"</formula>
    </cfRule>
    <cfRule type="containsText" dxfId="4138" priority="2892" operator="containsText" text="Functioning">
      <formula>NOT(ISERROR(SEARCH("Functioning",A42)))</formula>
    </cfRule>
  </conditionalFormatting>
  <conditionalFormatting sqref="D55">
    <cfRule type="beginsWith" dxfId="4137" priority="2884" stopIfTrue="1" operator="beginsWith" text="Functioning At Risk">
      <formula>LEFT(D55,LEN("Functioning At Risk"))="Functioning At Risk"</formula>
    </cfRule>
    <cfRule type="beginsWith" dxfId="4136" priority="2885" stopIfTrue="1" operator="beginsWith" text="Not Functioning">
      <formula>LEFT(D55,LEN("Not Functioning"))="Not Functioning"</formula>
    </cfRule>
    <cfRule type="containsText" dxfId="4135" priority="2886" operator="containsText" text="Functioning">
      <formula>NOT(ISERROR(SEARCH("Functioning",D55)))</formula>
    </cfRule>
  </conditionalFormatting>
  <conditionalFormatting sqref="D61">
    <cfRule type="beginsWith" dxfId="4134" priority="2881" stopIfTrue="1" operator="beginsWith" text="Functioning At Risk">
      <formula>LEFT(D61,LEN("Functioning At Risk"))="Functioning At Risk"</formula>
    </cfRule>
    <cfRule type="beginsWith" dxfId="4133" priority="2882" stopIfTrue="1" operator="beginsWith" text="Not Functioning">
      <formula>LEFT(D61,LEN("Not Functioning"))="Not Functioning"</formula>
    </cfRule>
    <cfRule type="containsText" dxfId="4132" priority="2883" operator="containsText" text="Functioning">
      <formula>NOT(ISERROR(SEARCH("Functioning",D61)))</formula>
    </cfRule>
  </conditionalFormatting>
  <conditionalFormatting sqref="D62">
    <cfRule type="beginsWith" dxfId="4131" priority="2878" stopIfTrue="1" operator="beginsWith" text="Functioning At Risk">
      <formula>LEFT(D62,LEN("Functioning At Risk"))="Functioning At Risk"</formula>
    </cfRule>
    <cfRule type="beginsWith" dxfId="4130" priority="2879" stopIfTrue="1" operator="beginsWith" text="Not Functioning">
      <formula>LEFT(D62,LEN("Not Functioning"))="Not Functioning"</formula>
    </cfRule>
    <cfRule type="containsText" dxfId="4129" priority="2880" operator="containsText" text="Functioning">
      <formula>NOT(ISERROR(SEARCH("Functioning",D62)))</formula>
    </cfRule>
  </conditionalFormatting>
  <conditionalFormatting sqref="D56:D59">
    <cfRule type="beginsWith" dxfId="4128" priority="2875" stopIfTrue="1" operator="beginsWith" text="Functioning At Risk">
      <formula>LEFT(D56,LEN("Functioning At Risk"))="Functioning At Risk"</formula>
    </cfRule>
    <cfRule type="beginsWith" dxfId="4127" priority="2876" stopIfTrue="1" operator="beginsWith" text="Not Functioning">
      <formula>LEFT(D56,LEN("Not Functioning"))="Not Functioning"</formula>
    </cfRule>
    <cfRule type="containsText" dxfId="4126" priority="2877" operator="containsText" text="Functioning">
      <formula>NOT(ISERROR(SEARCH("Functioning",D56)))</formula>
    </cfRule>
  </conditionalFormatting>
  <conditionalFormatting sqref="A185">
    <cfRule type="beginsWith" dxfId="4125" priority="2737" stopIfTrue="1" operator="beginsWith" text="Functioning At Risk">
      <formula>LEFT(A185,LEN("Functioning At Risk"))="Functioning At Risk"</formula>
    </cfRule>
    <cfRule type="beginsWith" dxfId="4124" priority="2738" stopIfTrue="1" operator="beginsWith" text="Not Functioning">
      <formula>LEFT(A185,LEN("Not Functioning"))="Not Functioning"</formula>
    </cfRule>
    <cfRule type="containsText" dxfId="4123" priority="2739" operator="containsText" text="Functioning">
      <formula>NOT(ISERROR(SEARCH("Functioning",A185)))</formula>
    </cfRule>
  </conditionalFormatting>
  <conditionalFormatting sqref="A68">
    <cfRule type="beginsWith" dxfId="4122" priority="2872" stopIfTrue="1" operator="beginsWith" text="Functioning At Risk">
      <formula>LEFT(A68,LEN("Functioning At Risk"))="Functioning At Risk"</formula>
    </cfRule>
    <cfRule type="beginsWith" dxfId="4121" priority="2873" stopIfTrue="1" operator="beginsWith" text="Not Functioning">
      <formula>LEFT(A68,LEN("Not Functioning"))="Not Functioning"</formula>
    </cfRule>
    <cfRule type="containsText" dxfId="4120" priority="2874" operator="containsText" text="Functioning">
      <formula>NOT(ISERROR(SEARCH("Functioning",A68)))</formula>
    </cfRule>
  </conditionalFormatting>
  <conditionalFormatting sqref="H68">
    <cfRule type="beginsWith" dxfId="4119" priority="2869" stopIfTrue="1" operator="beginsWith" text="Functioning At Risk">
      <formula>LEFT(H68,LEN("Functioning At Risk"))="Functioning At Risk"</formula>
    </cfRule>
    <cfRule type="beginsWith" dxfId="4118" priority="2870" stopIfTrue="1" operator="beginsWith" text="Not Functioning">
      <formula>LEFT(H68,LEN("Not Functioning"))="Not Functioning"</formula>
    </cfRule>
    <cfRule type="containsText" dxfId="4117" priority="2871" operator="containsText" text="Functioning">
      <formula>NOT(ISERROR(SEARCH("Functioning",H68)))</formula>
    </cfRule>
  </conditionalFormatting>
  <conditionalFormatting sqref="I68">
    <cfRule type="beginsWith" dxfId="4116" priority="2866" stopIfTrue="1" operator="beginsWith" text="Functioning At Risk">
      <formula>LEFT(I68,LEN("Functioning At Risk"))="Functioning At Risk"</formula>
    </cfRule>
    <cfRule type="beginsWith" dxfId="4115" priority="2867" stopIfTrue="1" operator="beginsWith" text="Not Functioning">
      <formula>LEFT(I68,LEN("Not Functioning"))="Not Functioning"</formula>
    </cfRule>
    <cfRule type="containsText" dxfId="4114" priority="2868" operator="containsText" text="Functioning">
      <formula>NOT(ISERROR(SEARCH("Functioning",I68)))</formula>
    </cfRule>
  </conditionalFormatting>
  <conditionalFormatting sqref="D76">
    <cfRule type="beginsWith" dxfId="4113" priority="2863" stopIfTrue="1" operator="beginsWith" text="Functioning At Risk">
      <formula>LEFT(D76,LEN("Functioning At Risk"))="Functioning At Risk"</formula>
    </cfRule>
    <cfRule type="beginsWith" dxfId="4112" priority="2864" stopIfTrue="1" operator="beginsWith" text="Not Functioning">
      <formula>LEFT(D76,LEN("Not Functioning"))="Not Functioning"</formula>
    </cfRule>
    <cfRule type="containsText" dxfId="4111" priority="2865" operator="containsText" text="Functioning">
      <formula>NOT(ISERROR(SEARCH("Functioning",D76)))</formula>
    </cfRule>
  </conditionalFormatting>
  <conditionalFormatting sqref="D77">
    <cfRule type="beginsWith" dxfId="4110" priority="2860" stopIfTrue="1" operator="beginsWith" text="Functioning At Risk">
      <formula>LEFT(D77,LEN("Functioning At Risk"))="Functioning At Risk"</formula>
    </cfRule>
    <cfRule type="beginsWith" dxfId="4109" priority="2861" stopIfTrue="1" operator="beginsWith" text="Not Functioning">
      <formula>LEFT(D77,LEN("Not Functioning"))="Not Functioning"</formula>
    </cfRule>
    <cfRule type="containsText" dxfId="4108" priority="2862" operator="containsText" text="Functioning">
      <formula>NOT(ISERROR(SEARCH("Functioning",D77)))</formula>
    </cfRule>
  </conditionalFormatting>
  <conditionalFormatting sqref="B76">
    <cfRule type="beginsWith" dxfId="4107" priority="2857" stopIfTrue="1" operator="beginsWith" text="Functioning At Risk">
      <formula>LEFT(B76,LEN("Functioning At Risk"))="Functioning At Risk"</formula>
    </cfRule>
    <cfRule type="beginsWith" dxfId="4106" priority="2858" stopIfTrue="1" operator="beginsWith" text="Not Functioning">
      <formula>LEFT(B76,LEN("Not Functioning"))="Not Functioning"</formula>
    </cfRule>
    <cfRule type="containsText" dxfId="4105" priority="2859" operator="containsText" text="Functioning">
      <formula>NOT(ISERROR(SEARCH("Functioning",B76)))</formula>
    </cfRule>
  </conditionalFormatting>
  <conditionalFormatting sqref="B169">
    <cfRule type="beginsWith" dxfId="4104" priority="2716" stopIfTrue="1" operator="beginsWith" text="Functioning At Risk">
      <formula>LEFT(B169,LEN("Functioning At Risk"))="Functioning At Risk"</formula>
    </cfRule>
    <cfRule type="beginsWith" dxfId="4103" priority="2717" stopIfTrue="1" operator="beginsWith" text="Not Functioning">
      <formula>LEFT(B169,LEN("Not Functioning"))="Not Functioning"</formula>
    </cfRule>
    <cfRule type="containsText" dxfId="4102" priority="2718" operator="containsText" text="Functioning">
      <formula>NOT(ISERROR(SEARCH("Functioning",B169)))</formula>
    </cfRule>
  </conditionalFormatting>
  <conditionalFormatting sqref="B52">
    <cfRule type="beginsWith" dxfId="4101" priority="2851" stopIfTrue="1" operator="beginsWith" text="Functioning At Risk">
      <formula>LEFT(B52,LEN("Functioning At Risk"))="Functioning At Risk"</formula>
    </cfRule>
    <cfRule type="beginsWith" dxfId="4100" priority="2852" stopIfTrue="1" operator="beginsWith" text="Not Functioning">
      <formula>LEFT(B52,LEN("Not Functioning"))="Not Functioning"</formula>
    </cfRule>
    <cfRule type="containsText" dxfId="4099" priority="2853" operator="containsText" text="Functioning">
      <formula>NOT(ISERROR(SEARCH("Functioning",B52)))</formula>
    </cfRule>
  </conditionalFormatting>
  <conditionalFormatting sqref="I111:I115 B109:B110 D99 B102 A83:B83 H85:I86 H83:I83 H81:K82 A85:B85 A111:A115 D91:D93 B106:B107 A86 D111:D114 D83:D86 D102:D106">
    <cfRule type="beginsWith" dxfId="4098" priority="2845" stopIfTrue="1" operator="beginsWith" text="Functioning At Risk">
      <formula>LEFT(A81,LEN("Functioning At Risk"))="Functioning At Risk"</formula>
    </cfRule>
    <cfRule type="beginsWith" dxfId="4097" priority="2846" stopIfTrue="1" operator="beginsWith" text="Not Functioning">
      <formula>LEFT(A81,LEN("Not Functioning"))="Not Functioning"</formula>
    </cfRule>
    <cfRule type="containsText" dxfId="4096" priority="2847" operator="containsText" text="Functioning">
      <formula>NOT(ISERROR(SEARCH("Functioning",A81)))</formula>
    </cfRule>
  </conditionalFormatting>
  <conditionalFormatting sqref="B208">
    <cfRule type="beginsWith" dxfId="4095" priority="2671" stopIfTrue="1" operator="beginsWith" text="Functioning At Risk">
      <formula>LEFT(B208,LEN("Functioning At Risk"))="Functioning At Risk"</formula>
    </cfRule>
    <cfRule type="beginsWith" dxfId="4094" priority="2672" stopIfTrue="1" operator="beginsWith" text="Not Functioning">
      <formula>LEFT(B208,LEN("Not Functioning"))="Not Functioning"</formula>
    </cfRule>
    <cfRule type="containsText" dxfId="4093" priority="2673" operator="containsText" text="Functioning">
      <formula>NOT(ISERROR(SEARCH("Functioning",B208)))</formula>
    </cfRule>
  </conditionalFormatting>
  <conditionalFormatting sqref="D94">
    <cfRule type="beginsWith" dxfId="4092" priority="2839" stopIfTrue="1" operator="beginsWith" text="Functioning At Risk">
      <formula>LEFT(D94,LEN("Functioning At Risk"))="Functioning At Risk"</formula>
    </cfRule>
    <cfRule type="beginsWith" dxfId="4091" priority="2840" stopIfTrue="1" operator="beginsWith" text="Not Functioning">
      <formula>LEFT(D94,LEN("Not Functioning"))="Not Functioning"</formula>
    </cfRule>
    <cfRule type="containsText" dxfId="4090" priority="2841" operator="containsText" text="Functioning">
      <formula>NOT(ISERROR(SEARCH("Functioning",D94)))</formula>
    </cfRule>
  </conditionalFormatting>
  <conditionalFormatting sqref="D100">
    <cfRule type="beginsWith" dxfId="4089" priority="2836" stopIfTrue="1" operator="beginsWith" text="Functioning At Risk">
      <formula>LEFT(D100,LEN("Functioning At Risk"))="Functioning At Risk"</formula>
    </cfRule>
    <cfRule type="beginsWith" dxfId="4088" priority="2837" stopIfTrue="1" operator="beginsWith" text="Not Functioning">
      <formula>LEFT(D100,LEN("Not Functioning"))="Not Functioning"</formula>
    </cfRule>
    <cfRule type="containsText" dxfId="4087" priority="2838" operator="containsText" text="Functioning">
      <formula>NOT(ISERROR(SEARCH("Functioning",D100)))</formula>
    </cfRule>
  </conditionalFormatting>
  <conditionalFormatting sqref="D101">
    <cfRule type="beginsWith" dxfId="4086" priority="2833" stopIfTrue="1" operator="beginsWith" text="Functioning At Risk">
      <formula>LEFT(D101,LEN("Functioning At Risk"))="Functioning At Risk"</formula>
    </cfRule>
    <cfRule type="beginsWith" dxfId="4085" priority="2834" stopIfTrue="1" operator="beginsWith" text="Not Functioning">
      <formula>LEFT(D101,LEN("Not Functioning"))="Not Functioning"</formula>
    </cfRule>
    <cfRule type="containsText" dxfId="4084" priority="2835" operator="containsText" text="Functioning">
      <formula>NOT(ISERROR(SEARCH("Functioning",D101)))</formula>
    </cfRule>
  </conditionalFormatting>
  <conditionalFormatting sqref="D95:D98">
    <cfRule type="beginsWith" dxfId="4083" priority="2830" stopIfTrue="1" operator="beginsWith" text="Functioning At Risk">
      <formula>LEFT(D95,LEN("Functioning At Risk"))="Functioning At Risk"</formula>
    </cfRule>
    <cfRule type="beginsWith" dxfId="4082" priority="2831" stopIfTrue="1" operator="beginsWith" text="Not Functioning">
      <formula>LEFT(D95,LEN("Not Functioning"))="Not Functioning"</formula>
    </cfRule>
    <cfRule type="containsText" dxfId="4081" priority="2832" operator="containsText" text="Functioning">
      <formula>NOT(ISERROR(SEARCH("Functioning",D95)))</formula>
    </cfRule>
  </conditionalFormatting>
  <conditionalFormatting sqref="A107">
    <cfRule type="beginsWith" dxfId="4080" priority="2827" stopIfTrue="1" operator="beginsWith" text="Functioning At Risk">
      <formula>LEFT(A107,LEN("Functioning At Risk"))="Functioning At Risk"</formula>
    </cfRule>
    <cfRule type="beginsWith" dxfId="4079" priority="2828" stopIfTrue="1" operator="beginsWith" text="Not Functioning">
      <formula>LEFT(A107,LEN("Not Functioning"))="Not Functioning"</formula>
    </cfRule>
    <cfRule type="containsText" dxfId="4078" priority="2829" operator="containsText" text="Functioning">
      <formula>NOT(ISERROR(SEARCH("Functioning",A107)))</formula>
    </cfRule>
  </conditionalFormatting>
  <conditionalFormatting sqref="H107">
    <cfRule type="beginsWith" dxfId="4077" priority="2824" stopIfTrue="1" operator="beginsWith" text="Functioning At Risk">
      <formula>LEFT(H107,LEN("Functioning At Risk"))="Functioning At Risk"</formula>
    </cfRule>
    <cfRule type="beginsWith" dxfId="4076" priority="2825" stopIfTrue="1" operator="beginsWith" text="Not Functioning">
      <formula>LEFT(H107,LEN("Not Functioning"))="Not Functioning"</formula>
    </cfRule>
    <cfRule type="containsText" dxfId="4075" priority="2826" operator="containsText" text="Functioning">
      <formula>NOT(ISERROR(SEARCH("Functioning",H107)))</formula>
    </cfRule>
  </conditionalFormatting>
  <conditionalFormatting sqref="I107">
    <cfRule type="beginsWith" dxfId="4074" priority="2821" stopIfTrue="1" operator="beginsWith" text="Functioning At Risk">
      <formula>LEFT(I107,LEN("Functioning At Risk"))="Functioning At Risk"</formula>
    </cfRule>
    <cfRule type="beginsWith" dxfId="4073" priority="2822" stopIfTrue="1" operator="beginsWith" text="Not Functioning">
      <formula>LEFT(I107,LEN("Not Functioning"))="Not Functioning"</formula>
    </cfRule>
    <cfRule type="containsText" dxfId="4072" priority="2823" operator="containsText" text="Functioning">
      <formula>NOT(ISERROR(SEARCH("Functioning",I107)))</formula>
    </cfRule>
  </conditionalFormatting>
  <conditionalFormatting sqref="D115">
    <cfRule type="beginsWith" dxfId="4071" priority="2818" stopIfTrue="1" operator="beginsWith" text="Functioning At Risk">
      <formula>LEFT(D115,LEN("Functioning At Risk"))="Functioning At Risk"</formula>
    </cfRule>
    <cfRule type="beginsWith" dxfId="4070" priority="2819" stopIfTrue="1" operator="beginsWith" text="Not Functioning">
      <formula>LEFT(D115,LEN("Not Functioning"))="Not Functioning"</formula>
    </cfRule>
    <cfRule type="containsText" dxfId="4069" priority="2820" operator="containsText" text="Functioning">
      <formula>NOT(ISERROR(SEARCH("Functioning",D115)))</formula>
    </cfRule>
  </conditionalFormatting>
  <conditionalFormatting sqref="D116">
    <cfRule type="beginsWith" dxfId="4068" priority="2815" stopIfTrue="1" operator="beginsWith" text="Functioning At Risk">
      <formula>LEFT(D116,LEN("Functioning At Risk"))="Functioning At Risk"</formula>
    </cfRule>
    <cfRule type="beginsWith" dxfId="4067" priority="2816" stopIfTrue="1" operator="beginsWith" text="Not Functioning">
      <formula>LEFT(D116,LEN("Not Functioning"))="Not Functioning"</formula>
    </cfRule>
    <cfRule type="containsText" dxfId="4066" priority="2817" operator="containsText" text="Functioning">
      <formula>NOT(ISERROR(SEARCH("Functioning",D116)))</formula>
    </cfRule>
  </conditionalFormatting>
  <conditionalFormatting sqref="B115">
    <cfRule type="beginsWith" dxfId="4065" priority="2812" stopIfTrue="1" operator="beginsWith" text="Functioning At Risk">
      <formula>LEFT(B115,LEN("Functioning At Risk"))="Functioning At Risk"</formula>
    </cfRule>
    <cfRule type="beginsWith" dxfId="4064" priority="2813" stopIfTrue="1" operator="beginsWith" text="Not Functioning">
      <formula>LEFT(B115,LEN("Not Functioning"))="Not Functioning"</formula>
    </cfRule>
    <cfRule type="containsText" dxfId="4063" priority="2814" operator="containsText" text="Functioning">
      <formula>NOT(ISERROR(SEARCH("Functioning",B115)))</formula>
    </cfRule>
  </conditionalFormatting>
  <conditionalFormatting sqref="B91">
    <cfRule type="beginsWith" dxfId="4062" priority="2806" stopIfTrue="1" operator="beginsWith" text="Functioning At Risk">
      <formula>LEFT(B91,LEN("Functioning At Risk"))="Functioning At Risk"</formula>
    </cfRule>
    <cfRule type="beginsWith" dxfId="4061" priority="2807" stopIfTrue="1" operator="beginsWith" text="Not Functioning">
      <formula>LEFT(B91,LEN("Not Functioning"))="Not Functioning"</formula>
    </cfRule>
    <cfRule type="containsText" dxfId="4060" priority="2808" operator="containsText" text="Functioning">
      <formula>NOT(ISERROR(SEARCH("Functioning",B91)))</formula>
    </cfRule>
  </conditionalFormatting>
  <conditionalFormatting sqref="I150:I154 B148:B149 D138 B141 A122:B122 H124:I125 H122:I122 H120:K121 A124:B124 A150:A154 D130:D132 B145:B146 A125 D150:D153 D122:D125 D141:D145">
    <cfRule type="beginsWith" dxfId="4059" priority="2800" stopIfTrue="1" operator="beginsWith" text="Functioning At Risk">
      <formula>LEFT(A120,LEN("Functioning At Risk"))="Functioning At Risk"</formula>
    </cfRule>
    <cfRule type="beginsWith" dxfId="4058" priority="2801" stopIfTrue="1" operator="beginsWith" text="Not Functioning">
      <formula>LEFT(A120,LEN("Not Functioning"))="Not Functioning"</formula>
    </cfRule>
    <cfRule type="containsText" dxfId="4057" priority="2802" operator="containsText" text="Functioning">
      <formula>NOT(ISERROR(SEARCH("Functioning",A120)))</formula>
    </cfRule>
  </conditionalFormatting>
  <conditionalFormatting sqref="D133">
    <cfRule type="beginsWith" dxfId="4056" priority="2794" stopIfTrue="1" operator="beginsWith" text="Functioning At Risk">
      <formula>LEFT(D133,LEN("Functioning At Risk"))="Functioning At Risk"</formula>
    </cfRule>
    <cfRule type="beginsWith" dxfId="4055" priority="2795" stopIfTrue="1" operator="beginsWith" text="Not Functioning">
      <formula>LEFT(D133,LEN("Not Functioning"))="Not Functioning"</formula>
    </cfRule>
    <cfRule type="containsText" dxfId="4054" priority="2796" operator="containsText" text="Functioning">
      <formula>NOT(ISERROR(SEARCH("Functioning",D133)))</formula>
    </cfRule>
  </conditionalFormatting>
  <conditionalFormatting sqref="D139">
    <cfRule type="beginsWith" dxfId="4053" priority="2791" stopIfTrue="1" operator="beginsWith" text="Functioning At Risk">
      <formula>LEFT(D139,LEN("Functioning At Risk"))="Functioning At Risk"</formula>
    </cfRule>
    <cfRule type="beginsWith" dxfId="4052" priority="2792" stopIfTrue="1" operator="beginsWith" text="Not Functioning">
      <formula>LEFT(D139,LEN("Not Functioning"))="Not Functioning"</formula>
    </cfRule>
    <cfRule type="containsText" dxfId="4051" priority="2793" operator="containsText" text="Functioning">
      <formula>NOT(ISERROR(SEARCH("Functioning",D139)))</formula>
    </cfRule>
  </conditionalFormatting>
  <conditionalFormatting sqref="D140">
    <cfRule type="beginsWith" dxfId="4050" priority="2788" stopIfTrue="1" operator="beginsWith" text="Functioning At Risk">
      <formula>LEFT(D140,LEN("Functioning At Risk"))="Functioning At Risk"</formula>
    </cfRule>
    <cfRule type="beginsWith" dxfId="4049" priority="2789" stopIfTrue="1" operator="beginsWith" text="Not Functioning">
      <formula>LEFT(D140,LEN("Not Functioning"))="Not Functioning"</formula>
    </cfRule>
    <cfRule type="containsText" dxfId="4048" priority="2790" operator="containsText" text="Functioning">
      <formula>NOT(ISERROR(SEARCH("Functioning",D140)))</formula>
    </cfRule>
  </conditionalFormatting>
  <conditionalFormatting sqref="D134:D137">
    <cfRule type="beginsWith" dxfId="4047" priority="2785" stopIfTrue="1" operator="beginsWith" text="Functioning At Risk">
      <formula>LEFT(D134,LEN("Functioning At Risk"))="Functioning At Risk"</formula>
    </cfRule>
    <cfRule type="beginsWith" dxfId="4046" priority="2786" stopIfTrue="1" operator="beginsWith" text="Not Functioning">
      <formula>LEFT(D134,LEN("Not Functioning"))="Not Functioning"</formula>
    </cfRule>
    <cfRule type="containsText" dxfId="4045" priority="2787" operator="containsText" text="Functioning">
      <formula>NOT(ISERROR(SEARCH("Functioning",D134)))</formula>
    </cfRule>
  </conditionalFormatting>
  <conditionalFormatting sqref="A146">
    <cfRule type="beginsWith" dxfId="4044" priority="2782" stopIfTrue="1" operator="beginsWith" text="Functioning At Risk">
      <formula>LEFT(A146,LEN("Functioning At Risk"))="Functioning At Risk"</formula>
    </cfRule>
    <cfRule type="beginsWith" dxfId="4043" priority="2783" stopIfTrue="1" operator="beginsWith" text="Not Functioning">
      <formula>LEFT(A146,LEN("Not Functioning"))="Not Functioning"</formula>
    </cfRule>
    <cfRule type="containsText" dxfId="4042" priority="2784" operator="containsText" text="Functioning">
      <formula>NOT(ISERROR(SEARCH("Functioning",A146)))</formula>
    </cfRule>
  </conditionalFormatting>
  <conditionalFormatting sqref="H146">
    <cfRule type="beginsWith" dxfId="4041" priority="2779" stopIfTrue="1" operator="beginsWith" text="Functioning At Risk">
      <formula>LEFT(H146,LEN("Functioning At Risk"))="Functioning At Risk"</formula>
    </cfRule>
    <cfRule type="beginsWith" dxfId="4040" priority="2780" stopIfTrue="1" operator="beginsWith" text="Not Functioning">
      <formula>LEFT(H146,LEN("Not Functioning"))="Not Functioning"</formula>
    </cfRule>
    <cfRule type="containsText" dxfId="4039" priority="2781" operator="containsText" text="Functioning">
      <formula>NOT(ISERROR(SEARCH("Functioning",H146)))</formula>
    </cfRule>
  </conditionalFormatting>
  <conditionalFormatting sqref="I146">
    <cfRule type="beginsWith" dxfId="4038" priority="2776" stopIfTrue="1" operator="beginsWith" text="Functioning At Risk">
      <formula>LEFT(I146,LEN("Functioning At Risk"))="Functioning At Risk"</formula>
    </cfRule>
    <cfRule type="beginsWith" dxfId="4037" priority="2777" stopIfTrue="1" operator="beginsWith" text="Not Functioning">
      <formula>LEFT(I146,LEN("Not Functioning"))="Not Functioning"</formula>
    </cfRule>
    <cfRule type="containsText" dxfId="4036" priority="2778" operator="containsText" text="Functioning">
      <formula>NOT(ISERROR(SEARCH("Functioning",I146)))</formula>
    </cfRule>
  </conditionalFormatting>
  <conditionalFormatting sqref="D154">
    <cfRule type="beginsWith" dxfId="4035" priority="2773" stopIfTrue="1" operator="beginsWith" text="Functioning At Risk">
      <formula>LEFT(D154,LEN("Functioning At Risk"))="Functioning At Risk"</formula>
    </cfRule>
    <cfRule type="beginsWith" dxfId="4034" priority="2774" stopIfTrue="1" operator="beginsWith" text="Not Functioning">
      <formula>LEFT(D154,LEN("Not Functioning"))="Not Functioning"</formula>
    </cfRule>
    <cfRule type="containsText" dxfId="4033" priority="2775" operator="containsText" text="Functioning">
      <formula>NOT(ISERROR(SEARCH("Functioning",D154)))</formula>
    </cfRule>
  </conditionalFormatting>
  <conditionalFormatting sqref="D155">
    <cfRule type="beginsWith" dxfId="4032" priority="2770" stopIfTrue="1" operator="beginsWith" text="Functioning At Risk">
      <formula>LEFT(D155,LEN("Functioning At Risk"))="Functioning At Risk"</formula>
    </cfRule>
    <cfRule type="beginsWith" dxfId="4031" priority="2771" stopIfTrue="1" operator="beginsWith" text="Not Functioning">
      <formula>LEFT(D155,LEN("Not Functioning"))="Not Functioning"</formula>
    </cfRule>
    <cfRule type="containsText" dxfId="4030" priority="2772" operator="containsText" text="Functioning">
      <formula>NOT(ISERROR(SEARCH("Functioning",D155)))</formula>
    </cfRule>
  </conditionalFormatting>
  <conditionalFormatting sqref="B154">
    <cfRule type="beginsWith" dxfId="4029" priority="2767" stopIfTrue="1" operator="beginsWith" text="Functioning At Risk">
      <formula>LEFT(B154,LEN("Functioning At Risk"))="Functioning At Risk"</formula>
    </cfRule>
    <cfRule type="beginsWith" dxfId="4028" priority="2768" stopIfTrue="1" operator="beginsWith" text="Not Functioning">
      <formula>LEFT(B154,LEN("Not Functioning"))="Not Functioning"</formula>
    </cfRule>
    <cfRule type="containsText" dxfId="4027" priority="2769" operator="containsText" text="Functioning">
      <formula>NOT(ISERROR(SEARCH("Functioning",B154)))</formula>
    </cfRule>
  </conditionalFormatting>
  <conditionalFormatting sqref="B130">
    <cfRule type="beginsWith" dxfId="4026" priority="2761" stopIfTrue="1" operator="beginsWith" text="Functioning At Risk">
      <formula>LEFT(B130,LEN("Functioning At Risk"))="Functioning At Risk"</formula>
    </cfRule>
    <cfRule type="beginsWith" dxfId="4025" priority="2762" stopIfTrue="1" operator="beginsWith" text="Not Functioning">
      <formula>LEFT(B130,LEN("Not Functioning"))="Not Functioning"</formula>
    </cfRule>
    <cfRule type="containsText" dxfId="4024" priority="2763" operator="containsText" text="Functioning">
      <formula>NOT(ISERROR(SEARCH("Functioning",B130)))</formula>
    </cfRule>
  </conditionalFormatting>
  <conditionalFormatting sqref="I189:I193 B187:B188 D177 B180 A161:B161 H163:I164 H161:I161 H159:K160 A163:B163 A189:A193 D169:D171 B184:B185 A164 D189:D192 D161:D164 D180:D184">
    <cfRule type="beginsWith" dxfId="4023" priority="2755" stopIfTrue="1" operator="beginsWith" text="Functioning At Risk">
      <formula>LEFT(A159,LEN("Functioning At Risk"))="Functioning At Risk"</formula>
    </cfRule>
    <cfRule type="beginsWith" dxfId="4022" priority="2756" stopIfTrue="1" operator="beginsWith" text="Not Functioning">
      <formula>LEFT(A159,LEN("Not Functioning"))="Not Functioning"</formula>
    </cfRule>
    <cfRule type="containsText" dxfId="4021" priority="2757" operator="containsText" text="Functioning">
      <formula>NOT(ISERROR(SEARCH("Functioning",A159)))</formula>
    </cfRule>
  </conditionalFormatting>
  <conditionalFormatting sqref="D172">
    <cfRule type="beginsWith" dxfId="4020" priority="2749" stopIfTrue="1" operator="beginsWith" text="Functioning At Risk">
      <formula>LEFT(D172,LEN("Functioning At Risk"))="Functioning At Risk"</formula>
    </cfRule>
    <cfRule type="beginsWith" dxfId="4019" priority="2750" stopIfTrue="1" operator="beginsWith" text="Not Functioning">
      <formula>LEFT(D172,LEN("Not Functioning"))="Not Functioning"</formula>
    </cfRule>
    <cfRule type="containsText" dxfId="4018" priority="2751" operator="containsText" text="Functioning">
      <formula>NOT(ISERROR(SEARCH("Functioning",D172)))</formula>
    </cfRule>
  </conditionalFormatting>
  <conditionalFormatting sqref="D178">
    <cfRule type="beginsWith" dxfId="4017" priority="2746" stopIfTrue="1" operator="beginsWith" text="Functioning At Risk">
      <formula>LEFT(D178,LEN("Functioning At Risk"))="Functioning At Risk"</formula>
    </cfRule>
    <cfRule type="beginsWith" dxfId="4016" priority="2747" stopIfTrue="1" operator="beginsWith" text="Not Functioning">
      <formula>LEFT(D178,LEN("Not Functioning"))="Not Functioning"</formula>
    </cfRule>
    <cfRule type="containsText" dxfId="4015" priority="2748" operator="containsText" text="Functioning">
      <formula>NOT(ISERROR(SEARCH("Functioning",D178)))</formula>
    </cfRule>
  </conditionalFormatting>
  <conditionalFormatting sqref="D179">
    <cfRule type="beginsWith" dxfId="4014" priority="2743" stopIfTrue="1" operator="beginsWith" text="Functioning At Risk">
      <formula>LEFT(D179,LEN("Functioning At Risk"))="Functioning At Risk"</formula>
    </cfRule>
    <cfRule type="beginsWith" dxfId="4013" priority="2744" stopIfTrue="1" operator="beginsWith" text="Not Functioning">
      <formula>LEFT(D179,LEN("Not Functioning"))="Not Functioning"</formula>
    </cfRule>
    <cfRule type="containsText" dxfId="4012" priority="2745" operator="containsText" text="Functioning">
      <formula>NOT(ISERROR(SEARCH("Functioning",D179)))</formula>
    </cfRule>
  </conditionalFormatting>
  <conditionalFormatting sqref="D173:D176">
    <cfRule type="beginsWith" dxfId="4011" priority="2740" stopIfTrue="1" operator="beginsWith" text="Functioning At Risk">
      <formula>LEFT(D173,LEN("Functioning At Risk"))="Functioning At Risk"</formula>
    </cfRule>
    <cfRule type="beginsWith" dxfId="4010" priority="2741" stopIfTrue="1" operator="beginsWith" text="Not Functioning">
      <formula>LEFT(D173,LEN("Not Functioning"))="Not Functioning"</formula>
    </cfRule>
    <cfRule type="containsText" dxfId="4009" priority="2742" operator="containsText" text="Functioning">
      <formula>NOT(ISERROR(SEARCH("Functioning",D173)))</formula>
    </cfRule>
  </conditionalFormatting>
  <conditionalFormatting sqref="H185">
    <cfRule type="beginsWith" dxfId="4008" priority="2734" stopIfTrue="1" operator="beginsWith" text="Functioning At Risk">
      <formula>LEFT(H185,LEN("Functioning At Risk"))="Functioning At Risk"</formula>
    </cfRule>
    <cfRule type="beginsWith" dxfId="4007" priority="2735" stopIfTrue="1" operator="beginsWith" text="Not Functioning">
      <formula>LEFT(H185,LEN("Not Functioning"))="Not Functioning"</formula>
    </cfRule>
    <cfRule type="containsText" dxfId="4006" priority="2736" operator="containsText" text="Functioning">
      <formula>NOT(ISERROR(SEARCH("Functioning",H185)))</formula>
    </cfRule>
  </conditionalFormatting>
  <conditionalFormatting sqref="I185">
    <cfRule type="beginsWith" dxfId="4005" priority="2731" stopIfTrue="1" operator="beginsWith" text="Functioning At Risk">
      <formula>LEFT(I185,LEN("Functioning At Risk"))="Functioning At Risk"</formula>
    </cfRule>
    <cfRule type="beginsWith" dxfId="4004" priority="2732" stopIfTrue="1" operator="beginsWith" text="Not Functioning">
      <formula>LEFT(I185,LEN("Not Functioning"))="Not Functioning"</formula>
    </cfRule>
    <cfRule type="containsText" dxfId="4003" priority="2733" operator="containsText" text="Functioning">
      <formula>NOT(ISERROR(SEARCH("Functioning",I185)))</formula>
    </cfRule>
  </conditionalFormatting>
  <conditionalFormatting sqref="D193">
    <cfRule type="beginsWith" dxfId="4002" priority="2728" stopIfTrue="1" operator="beginsWith" text="Functioning At Risk">
      <formula>LEFT(D193,LEN("Functioning At Risk"))="Functioning At Risk"</formula>
    </cfRule>
    <cfRule type="beginsWith" dxfId="4001" priority="2729" stopIfTrue="1" operator="beginsWith" text="Not Functioning">
      <formula>LEFT(D193,LEN("Not Functioning"))="Not Functioning"</formula>
    </cfRule>
    <cfRule type="containsText" dxfId="4000" priority="2730" operator="containsText" text="Functioning">
      <formula>NOT(ISERROR(SEARCH("Functioning",D193)))</formula>
    </cfRule>
  </conditionalFormatting>
  <conditionalFormatting sqref="D194">
    <cfRule type="beginsWith" dxfId="3999" priority="2725" stopIfTrue="1" operator="beginsWith" text="Functioning At Risk">
      <formula>LEFT(D194,LEN("Functioning At Risk"))="Functioning At Risk"</formula>
    </cfRule>
    <cfRule type="beginsWith" dxfId="3998" priority="2726" stopIfTrue="1" operator="beginsWith" text="Not Functioning">
      <formula>LEFT(D194,LEN("Not Functioning"))="Not Functioning"</formula>
    </cfRule>
    <cfRule type="containsText" dxfId="3997" priority="2727" operator="containsText" text="Functioning">
      <formula>NOT(ISERROR(SEARCH("Functioning",D194)))</formula>
    </cfRule>
  </conditionalFormatting>
  <conditionalFormatting sqref="B193">
    <cfRule type="beginsWith" dxfId="3996" priority="2722" stopIfTrue="1" operator="beginsWith" text="Functioning At Risk">
      <formula>LEFT(B193,LEN("Functioning At Risk"))="Functioning At Risk"</formula>
    </cfRule>
    <cfRule type="beginsWith" dxfId="3995" priority="2723" stopIfTrue="1" operator="beginsWith" text="Not Functioning">
      <formula>LEFT(B193,LEN("Not Functioning"))="Not Functioning"</formula>
    </cfRule>
    <cfRule type="containsText" dxfId="3994" priority="2724" operator="containsText" text="Functioning">
      <formula>NOT(ISERROR(SEARCH("Functioning",B193)))</formula>
    </cfRule>
  </conditionalFormatting>
  <conditionalFormatting sqref="I228:I232 B226:B227 D216 B219 A200:B200 H202:I203 H200:I200 H198:K199 A202:B202 A228:A232 D208:D210 B223:B224 A203 D228:D231 D200:D203 D219:D223">
    <cfRule type="beginsWith" dxfId="3993" priority="2710" stopIfTrue="1" operator="beginsWith" text="Functioning At Risk">
      <formula>LEFT(A198,LEN("Functioning At Risk"))="Functioning At Risk"</formula>
    </cfRule>
    <cfRule type="beginsWith" dxfId="3992" priority="2711" stopIfTrue="1" operator="beginsWith" text="Not Functioning">
      <formula>LEFT(A198,LEN("Not Functioning"))="Not Functioning"</formula>
    </cfRule>
    <cfRule type="containsText" dxfId="3991" priority="2712" operator="containsText" text="Functioning">
      <formula>NOT(ISERROR(SEARCH("Functioning",A198)))</formula>
    </cfRule>
  </conditionalFormatting>
  <conditionalFormatting sqref="D312">
    <cfRule type="beginsWith" dxfId="3990" priority="2593" stopIfTrue="1" operator="beginsWith" text="Functioning At Risk">
      <formula>LEFT(D312,LEN("Functioning At Risk"))="Functioning At Risk"</formula>
    </cfRule>
    <cfRule type="beginsWith" dxfId="3989" priority="2594" stopIfTrue="1" operator="beginsWith" text="Not Functioning">
      <formula>LEFT(D312,LEN("Not Functioning"))="Not Functioning"</formula>
    </cfRule>
    <cfRule type="containsText" dxfId="3988" priority="2595" operator="containsText" text="Functioning">
      <formula>NOT(ISERROR(SEARCH("Functioning",D312)))</formula>
    </cfRule>
  </conditionalFormatting>
  <conditionalFormatting sqref="D211">
    <cfRule type="beginsWith" dxfId="3987" priority="2704" stopIfTrue="1" operator="beginsWith" text="Functioning At Risk">
      <formula>LEFT(D211,LEN("Functioning At Risk"))="Functioning At Risk"</formula>
    </cfRule>
    <cfRule type="beginsWith" dxfId="3986" priority="2705" stopIfTrue="1" operator="beginsWith" text="Not Functioning">
      <formula>LEFT(D211,LEN("Not Functioning"))="Not Functioning"</formula>
    </cfRule>
    <cfRule type="containsText" dxfId="3985" priority="2706" operator="containsText" text="Functioning">
      <formula>NOT(ISERROR(SEARCH("Functioning",D211)))</formula>
    </cfRule>
  </conditionalFormatting>
  <conditionalFormatting sqref="D217">
    <cfRule type="beginsWith" dxfId="3984" priority="2701" stopIfTrue="1" operator="beginsWith" text="Functioning At Risk">
      <formula>LEFT(D217,LEN("Functioning At Risk"))="Functioning At Risk"</formula>
    </cfRule>
    <cfRule type="beginsWith" dxfId="3983" priority="2702" stopIfTrue="1" operator="beginsWith" text="Not Functioning">
      <formula>LEFT(D217,LEN("Not Functioning"))="Not Functioning"</formula>
    </cfRule>
    <cfRule type="containsText" dxfId="3982" priority="2703" operator="containsText" text="Functioning">
      <formula>NOT(ISERROR(SEARCH("Functioning",D217)))</formula>
    </cfRule>
  </conditionalFormatting>
  <conditionalFormatting sqref="D218">
    <cfRule type="beginsWith" dxfId="3981" priority="2698" stopIfTrue="1" operator="beginsWith" text="Functioning At Risk">
      <formula>LEFT(D218,LEN("Functioning At Risk"))="Functioning At Risk"</formula>
    </cfRule>
    <cfRule type="beginsWith" dxfId="3980" priority="2699" stopIfTrue="1" operator="beginsWith" text="Not Functioning">
      <formula>LEFT(D218,LEN("Not Functioning"))="Not Functioning"</formula>
    </cfRule>
    <cfRule type="containsText" dxfId="3979" priority="2700" operator="containsText" text="Functioning">
      <formula>NOT(ISERROR(SEARCH("Functioning",D218)))</formula>
    </cfRule>
  </conditionalFormatting>
  <conditionalFormatting sqref="D212:D215">
    <cfRule type="beginsWith" dxfId="3978" priority="2695" stopIfTrue="1" operator="beginsWith" text="Functioning At Risk">
      <formula>LEFT(D212,LEN("Functioning At Risk"))="Functioning At Risk"</formula>
    </cfRule>
    <cfRule type="beginsWith" dxfId="3977" priority="2696" stopIfTrue="1" operator="beginsWith" text="Not Functioning">
      <formula>LEFT(D212,LEN("Not Functioning"))="Not Functioning"</formula>
    </cfRule>
    <cfRule type="containsText" dxfId="3976" priority="2697" operator="containsText" text="Functioning">
      <formula>NOT(ISERROR(SEARCH("Functioning",D212)))</formula>
    </cfRule>
  </conditionalFormatting>
  <conditionalFormatting sqref="A224">
    <cfRule type="beginsWith" dxfId="3975" priority="2692" stopIfTrue="1" operator="beginsWith" text="Functioning At Risk">
      <formula>LEFT(A224,LEN("Functioning At Risk"))="Functioning At Risk"</formula>
    </cfRule>
    <cfRule type="beginsWith" dxfId="3974" priority="2693" stopIfTrue="1" operator="beginsWith" text="Not Functioning">
      <formula>LEFT(A224,LEN("Not Functioning"))="Not Functioning"</formula>
    </cfRule>
    <cfRule type="containsText" dxfId="3973" priority="2694" operator="containsText" text="Functioning">
      <formula>NOT(ISERROR(SEARCH("Functioning",A224)))</formula>
    </cfRule>
  </conditionalFormatting>
  <conditionalFormatting sqref="H224">
    <cfRule type="beginsWith" dxfId="3972" priority="2689" stopIfTrue="1" operator="beginsWith" text="Functioning At Risk">
      <formula>LEFT(H224,LEN("Functioning At Risk"))="Functioning At Risk"</formula>
    </cfRule>
    <cfRule type="beginsWith" dxfId="3971" priority="2690" stopIfTrue="1" operator="beginsWith" text="Not Functioning">
      <formula>LEFT(H224,LEN("Not Functioning"))="Not Functioning"</formula>
    </cfRule>
    <cfRule type="containsText" dxfId="3970" priority="2691" operator="containsText" text="Functioning">
      <formula>NOT(ISERROR(SEARCH("Functioning",H224)))</formula>
    </cfRule>
  </conditionalFormatting>
  <conditionalFormatting sqref="I224">
    <cfRule type="beginsWith" dxfId="3969" priority="2686" stopIfTrue="1" operator="beginsWith" text="Functioning At Risk">
      <formula>LEFT(I224,LEN("Functioning At Risk"))="Functioning At Risk"</formula>
    </cfRule>
    <cfRule type="beginsWith" dxfId="3968" priority="2687" stopIfTrue="1" operator="beginsWith" text="Not Functioning">
      <formula>LEFT(I224,LEN("Not Functioning"))="Not Functioning"</formula>
    </cfRule>
    <cfRule type="containsText" dxfId="3967" priority="2688" operator="containsText" text="Functioning">
      <formula>NOT(ISERROR(SEARCH("Functioning",I224)))</formula>
    </cfRule>
  </conditionalFormatting>
  <conditionalFormatting sqref="D232">
    <cfRule type="beginsWith" dxfId="3966" priority="2683" stopIfTrue="1" operator="beginsWith" text="Functioning At Risk">
      <formula>LEFT(D232,LEN("Functioning At Risk"))="Functioning At Risk"</formula>
    </cfRule>
    <cfRule type="beginsWith" dxfId="3965" priority="2684" stopIfTrue="1" operator="beginsWith" text="Not Functioning">
      <formula>LEFT(D232,LEN("Not Functioning"))="Not Functioning"</formula>
    </cfRule>
    <cfRule type="containsText" dxfId="3964" priority="2685" operator="containsText" text="Functioning">
      <formula>NOT(ISERROR(SEARCH("Functioning",D232)))</formula>
    </cfRule>
  </conditionalFormatting>
  <conditionalFormatting sqref="D233">
    <cfRule type="beginsWith" dxfId="3963" priority="2680" stopIfTrue="1" operator="beginsWith" text="Functioning At Risk">
      <formula>LEFT(D233,LEN("Functioning At Risk"))="Functioning At Risk"</formula>
    </cfRule>
    <cfRule type="beginsWith" dxfId="3962" priority="2681" stopIfTrue="1" operator="beginsWith" text="Not Functioning">
      <formula>LEFT(D233,LEN("Not Functioning"))="Not Functioning"</formula>
    </cfRule>
    <cfRule type="containsText" dxfId="3961" priority="2682" operator="containsText" text="Functioning">
      <formula>NOT(ISERROR(SEARCH("Functioning",D233)))</formula>
    </cfRule>
  </conditionalFormatting>
  <conditionalFormatting sqref="B232">
    <cfRule type="beginsWith" dxfId="3960" priority="2677" stopIfTrue="1" operator="beginsWith" text="Functioning At Risk">
      <formula>LEFT(B232,LEN("Functioning At Risk"))="Functioning At Risk"</formula>
    </cfRule>
    <cfRule type="beginsWith" dxfId="3959" priority="2678" stopIfTrue="1" operator="beginsWith" text="Not Functioning">
      <formula>LEFT(B232,LEN("Not Functioning"))="Not Functioning"</formula>
    </cfRule>
    <cfRule type="containsText" dxfId="3958" priority="2679" operator="containsText" text="Functioning">
      <formula>NOT(ISERROR(SEARCH("Functioning",B232)))</formula>
    </cfRule>
  </conditionalFormatting>
  <conditionalFormatting sqref="D313">
    <cfRule type="beginsWith" dxfId="3957" priority="2590" stopIfTrue="1" operator="beginsWith" text="Functioning At Risk">
      <formula>LEFT(D313,LEN("Functioning At Risk"))="Functioning At Risk"</formula>
    </cfRule>
    <cfRule type="beginsWith" dxfId="3956" priority="2591" stopIfTrue="1" operator="beginsWith" text="Not Functioning">
      <formula>LEFT(D313,LEN("Not Functioning"))="Not Functioning"</formula>
    </cfRule>
    <cfRule type="containsText" dxfId="3955" priority="2592" operator="containsText" text="Functioning">
      <formula>NOT(ISERROR(SEARCH("Functioning",D313)))</formula>
    </cfRule>
  </conditionalFormatting>
  <conditionalFormatting sqref="B312">
    <cfRule type="beginsWith" dxfId="3954" priority="2587" stopIfTrue="1" operator="beginsWith" text="Functioning At Risk">
      <formula>LEFT(B312,LEN("Functioning At Risk"))="Functioning At Risk"</formula>
    </cfRule>
    <cfRule type="beginsWith" dxfId="3953" priority="2588" stopIfTrue="1" operator="beginsWith" text="Not Functioning">
      <formula>LEFT(B312,LEN("Not Functioning"))="Not Functioning"</formula>
    </cfRule>
    <cfRule type="containsText" dxfId="3952" priority="2589" operator="containsText" text="Functioning">
      <formula>NOT(ISERROR(SEARCH("Functioning",B312)))</formula>
    </cfRule>
  </conditionalFormatting>
  <conditionalFormatting sqref="I268:I272 B266:B267 D256 B259 A240:B240 H242:I243 H240:I240 H238:K239 A242:B242 A268:A272 D248:D250 B263:B264 A243 D268:D271 D240:D243 D259:D263">
    <cfRule type="beginsWith" dxfId="3951" priority="2665" stopIfTrue="1" operator="beginsWith" text="Functioning At Risk">
      <formula>LEFT(A238,LEN("Functioning At Risk"))="Functioning At Risk"</formula>
    </cfRule>
    <cfRule type="beginsWith" dxfId="3950" priority="2666" stopIfTrue="1" operator="beginsWith" text="Not Functioning">
      <formula>LEFT(A238,LEN("Not Functioning"))="Not Functioning"</formula>
    </cfRule>
    <cfRule type="containsText" dxfId="3949" priority="2667" operator="containsText" text="Functioning">
      <formula>NOT(ISERROR(SEARCH("Functioning",A238)))</formula>
    </cfRule>
  </conditionalFormatting>
  <conditionalFormatting sqref="D251">
    <cfRule type="beginsWith" dxfId="3948" priority="2659" stopIfTrue="1" operator="beginsWith" text="Functioning At Risk">
      <formula>LEFT(D251,LEN("Functioning At Risk"))="Functioning At Risk"</formula>
    </cfRule>
    <cfRule type="beginsWith" dxfId="3947" priority="2660" stopIfTrue="1" operator="beginsWith" text="Not Functioning">
      <formula>LEFT(D251,LEN("Not Functioning"))="Not Functioning"</formula>
    </cfRule>
    <cfRule type="containsText" dxfId="3946" priority="2661" operator="containsText" text="Functioning">
      <formula>NOT(ISERROR(SEARCH("Functioning",D251)))</formula>
    </cfRule>
  </conditionalFormatting>
  <conditionalFormatting sqref="D257">
    <cfRule type="beginsWith" dxfId="3945" priority="2656" stopIfTrue="1" operator="beginsWith" text="Functioning At Risk">
      <formula>LEFT(D257,LEN("Functioning At Risk"))="Functioning At Risk"</formula>
    </cfRule>
    <cfRule type="beginsWith" dxfId="3944" priority="2657" stopIfTrue="1" operator="beginsWith" text="Not Functioning">
      <formula>LEFT(D257,LEN("Not Functioning"))="Not Functioning"</formula>
    </cfRule>
    <cfRule type="containsText" dxfId="3943" priority="2658" operator="containsText" text="Functioning">
      <formula>NOT(ISERROR(SEARCH("Functioning",D257)))</formula>
    </cfRule>
  </conditionalFormatting>
  <conditionalFormatting sqref="D258">
    <cfRule type="beginsWith" dxfId="3942" priority="2653" stopIfTrue="1" operator="beginsWith" text="Functioning At Risk">
      <formula>LEFT(D258,LEN("Functioning At Risk"))="Functioning At Risk"</formula>
    </cfRule>
    <cfRule type="beginsWith" dxfId="3941" priority="2654" stopIfTrue="1" operator="beginsWith" text="Not Functioning">
      <formula>LEFT(D258,LEN("Not Functioning"))="Not Functioning"</formula>
    </cfRule>
    <cfRule type="containsText" dxfId="3940" priority="2655" operator="containsText" text="Functioning">
      <formula>NOT(ISERROR(SEARCH("Functioning",D258)))</formula>
    </cfRule>
  </conditionalFormatting>
  <conditionalFormatting sqref="D252:D255">
    <cfRule type="beginsWith" dxfId="3939" priority="2650" stopIfTrue="1" operator="beginsWith" text="Functioning At Risk">
      <formula>LEFT(D252,LEN("Functioning At Risk"))="Functioning At Risk"</formula>
    </cfRule>
    <cfRule type="beginsWith" dxfId="3938" priority="2651" stopIfTrue="1" operator="beginsWith" text="Not Functioning">
      <formula>LEFT(D252,LEN("Not Functioning"))="Not Functioning"</formula>
    </cfRule>
    <cfRule type="containsText" dxfId="3937" priority="2652" operator="containsText" text="Functioning">
      <formula>NOT(ISERROR(SEARCH("Functioning",D252)))</formula>
    </cfRule>
  </conditionalFormatting>
  <conditionalFormatting sqref="A264">
    <cfRule type="beginsWith" dxfId="3936" priority="2647" stopIfTrue="1" operator="beginsWith" text="Functioning At Risk">
      <formula>LEFT(A264,LEN("Functioning At Risk"))="Functioning At Risk"</formula>
    </cfRule>
    <cfRule type="beginsWith" dxfId="3935" priority="2648" stopIfTrue="1" operator="beginsWith" text="Not Functioning">
      <formula>LEFT(A264,LEN("Not Functioning"))="Not Functioning"</formula>
    </cfRule>
    <cfRule type="containsText" dxfId="3934" priority="2649" operator="containsText" text="Functioning">
      <formula>NOT(ISERROR(SEARCH("Functioning",A264)))</formula>
    </cfRule>
  </conditionalFormatting>
  <conditionalFormatting sqref="H264">
    <cfRule type="beginsWith" dxfId="3933" priority="2644" stopIfTrue="1" operator="beginsWith" text="Functioning At Risk">
      <formula>LEFT(H264,LEN("Functioning At Risk"))="Functioning At Risk"</formula>
    </cfRule>
    <cfRule type="beginsWith" dxfId="3932" priority="2645" stopIfTrue="1" operator="beginsWith" text="Not Functioning">
      <formula>LEFT(H264,LEN("Not Functioning"))="Not Functioning"</formula>
    </cfRule>
    <cfRule type="containsText" dxfId="3931" priority="2646" operator="containsText" text="Functioning">
      <formula>NOT(ISERROR(SEARCH("Functioning",H264)))</formula>
    </cfRule>
  </conditionalFormatting>
  <conditionalFormatting sqref="I264">
    <cfRule type="beginsWith" dxfId="3930" priority="2641" stopIfTrue="1" operator="beginsWith" text="Functioning At Risk">
      <formula>LEFT(I264,LEN("Functioning At Risk"))="Functioning At Risk"</formula>
    </cfRule>
    <cfRule type="beginsWith" dxfId="3929" priority="2642" stopIfTrue="1" operator="beginsWith" text="Not Functioning">
      <formula>LEFT(I264,LEN("Not Functioning"))="Not Functioning"</formula>
    </cfRule>
    <cfRule type="containsText" dxfId="3928" priority="2643" operator="containsText" text="Functioning">
      <formula>NOT(ISERROR(SEARCH("Functioning",I264)))</formula>
    </cfRule>
  </conditionalFormatting>
  <conditionalFormatting sqref="D272">
    <cfRule type="beginsWith" dxfId="3927" priority="2638" stopIfTrue="1" operator="beginsWith" text="Functioning At Risk">
      <formula>LEFT(D272,LEN("Functioning At Risk"))="Functioning At Risk"</formula>
    </cfRule>
    <cfRule type="beginsWith" dxfId="3926" priority="2639" stopIfTrue="1" operator="beginsWith" text="Not Functioning">
      <formula>LEFT(D272,LEN("Not Functioning"))="Not Functioning"</formula>
    </cfRule>
    <cfRule type="containsText" dxfId="3925" priority="2640" operator="containsText" text="Functioning">
      <formula>NOT(ISERROR(SEARCH("Functioning",D272)))</formula>
    </cfRule>
  </conditionalFormatting>
  <conditionalFormatting sqref="D273">
    <cfRule type="beginsWith" dxfId="3924" priority="2635" stopIfTrue="1" operator="beginsWith" text="Functioning At Risk">
      <formula>LEFT(D273,LEN("Functioning At Risk"))="Functioning At Risk"</formula>
    </cfRule>
    <cfRule type="beginsWith" dxfId="3923" priority="2636" stopIfTrue="1" operator="beginsWith" text="Not Functioning">
      <formula>LEFT(D273,LEN("Not Functioning"))="Not Functioning"</formula>
    </cfRule>
    <cfRule type="containsText" dxfId="3922" priority="2637" operator="containsText" text="Functioning">
      <formula>NOT(ISERROR(SEARCH("Functioning",D273)))</formula>
    </cfRule>
  </conditionalFormatting>
  <conditionalFormatting sqref="B272">
    <cfRule type="beginsWith" dxfId="3921" priority="2632" stopIfTrue="1" operator="beginsWith" text="Functioning At Risk">
      <formula>LEFT(B272,LEN("Functioning At Risk"))="Functioning At Risk"</formula>
    </cfRule>
    <cfRule type="beginsWith" dxfId="3920" priority="2633" stopIfTrue="1" operator="beginsWith" text="Not Functioning">
      <formula>LEFT(B272,LEN("Not Functioning"))="Not Functioning"</formula>
    </cfRule>
    <cfRule type="containsText" dxfId="3919" priority="2634" operator="containsText" text="Functioning">
      <formula>NOT(ISERROR(SEARCH("Functioning",B272)))</formula>
    </cfRule>
  </conditionalFormatting>
  <conditionalFormatting sqref="B248">
    <cfRule type="beginsWith" dxfId="3918" priority="2626" stopIfTrue="1" operator="beginsWith" text="Functioning At Risk">
      <formula>LEFT(B248,LEN("Functioning At Risk"))="Functioning At Risk"</formula>
    </cfRule>
    <cfRule type="beginsWith" dxfId="3917" priority="2627" stopIfTrue="1" operator="beginsWith" text="Not Functioning">
      <formula>LEFT(B248,LEN("Not Functioning"))="Not Functioning"</formula>
    </cfRule>
    <cfRule type="containsText" dxfId="3916" priority="2628" operator="containsText" text="Functioning">
      <formula>NOT(ISERROR(SEARCH("Functioning",B248)))</formula>
    </cfRule>
  </conditionalFormatting>
  <conditionalFormatting sqref="I308:I312 B306:B307 D296 B299 A280:B280 H282:I283 H280:I280 H278:K279 A282:B282 A308:A312 D288:D290 B303:B304 A283 D308:D311 D280:D283 D299:D303">
    <cfRule type="beginsWith" dxfId="3915" priority="2620" stopIfTrue="1" operator="beginsWith" text="Functioning At Risk">
      <formula>LEFT(A278,LEN("Functioning At Risk"))="Functioning At Risk"</formula>
    </cfRule>
    <cfRule type="beginsWith" dxfId="3914" priority="2621" stopIfTrue="1" operator="beginsWith" text="Not Functioning">
      <formula>LEFT(A278,LEN("Not Functioning"))="Not Functioning"</formula>
    </cfRule>
    <cfRule type="containsText" dxfId="3913" priority="2622" operator="containsText" text="Functioning">
      <formula>NOT(ISERROR(SEARCH("Functioning",A278)))</formula>
    </cfRule>
  </conditionalFormatting>
  <conditionalFormatting sqref="D291">
    <cfRule type="beginsWith" dxfId="3912" priority="2614" stopIfTrue="1" operator="beginsWith" text="Functioning At Risk">
      <formula>LEFT(D291,LEN("Functioning At Risk"))="Functioning At Risk"</formula>
    </cfRule>
    <cfRule type="beginsWith" dxfId="3911" priority="2615" stopIfTrue="1" operator="beginsWith" text="Not Functioning">
      <formula>LEFT(D291,LEN("Not Functioning"))="Not Functioning"</formula>
    </cfRule>
    <cfRule type="containsText" dxfId="3910" priority="2616" operator="containsText" text="Functioning">
      <formula>NOT(ISERROR(SEARCH("Functioning",D291)))</formula>
    </cfRule>
  </conditionalFormatting>
  <conditionalFormatting sqref="D297">
    <cfRule type="beginsWith" dxfId="3909" priority="2611" stopIfTrue="1" operator="beginsWith" text="Functioning At Risk">
      <formula>LEFT(D297,LEN("Functioning At Risk"))="Functioning At Risk"</formula>
    </cfRule>
    <cfRule type="beginsWith" dxfId="3908" priority="2612" stopIfTrue="1" operator="beginsWith" text="Not Functioning">
      <formula>LEFT(D297,LEN("Not Functioning"))="Not Functioning"</formula>
    </cfRule>
    <cfRule type="containsText" dxfId="3907" priority="2613" operator="containsText" text="Functioning">
      <formula>NOT(ISERROR(SEARCH("Functioning",D297)))</formula>
    </cfRule>
  </conditionalFormatting>
  <conditionalFormatting sqref="D298">
    <cfRule type="beginsWith" dxfId="3906" priority="2608" stopIfTrue="1" operator="beginsWith" text="Functioning At Risk">
      <formula>LEFT(D298,LEN("Functioning At Risk"))="Functioning At Risk"</formula>
    </cfRule>
    <cfRule type="beginsWith" dxfId="3905" priority="2609" stopIfTrue="1" operator="beginsWith" text="Not Functioning">
      <formula>LEFT(D298,LEN("Not Functioning"))="Not Functioning"</formula>
    </cfRule>
    <cfRule type="containsText" dxfId="3904" priority="2610" operator="containsText" text="Functioning">
      <formula>NOT(ISERROR(SEARCH("Functioning",D298)))</formula>
    </cfRule>
  </conditionalFormatting>
  <conditionalFormatting sqref="D292:D295">
    <cfRule type="beginsWith" dxfId="3903" priority="2605" stopIfTrue="1" operator="beginsWith" text="Functioning At Risk">
      <formula>LEFT(D292,LEN("Functioning At Risk"))="Functioning At Risk"</formula>
    </cfRule>
    <cfRule type="beginsWith" dxfId="3902" priority="2606" stopIfTrue="1" operator="beginsWith" text="Not Functioning">
      <formula>LEFT(D292,LEN("Not Functioning"))="Not Functioning"</formula>
    </cfRule>
    <cfRule type="containsText" dxfId="3901" priority="2607" operator="containsText" text="Functioning">
      <formula>NOT(ISERROR(SEARCH("Functioning",D292)))</formula>
    </cfRule>
  </conditionalFormatting>
  <conditionalFormatting sqref="B352">
    <cfRule type="beginsWith" dxfId="3900" priority="2542" stopIfTrue="1" operator="beginsWith" text="Functioning At Risk">
      <formula>LEFT(B352,LEN("Functioning At Risk"))="Functioning At Risk"</formula>
    </cfRule>
    <cfRule type="beginsWith" dxfId="3899" priority="2543" stopIfTrue="1" operator="beginsWith" text="Not Functioning">
      <formula>LEFT(B352,LEN("Not Functioning"))="Not Functioning"</formula>
    </cfRule>
    <cfRule type="containsText" dxfId="3898" priority="2544" operator="containsText" text="Functioning">
      <formula>NOT(ISERROR(SEARCH("Functioning",B352)))</formula>
    </cfRule>
  </conditionalFormatting>
  <conditionalFormatting sqref="A304">
    <cfRule type="beginsWith" dxfId="3897" priority="2602" stopIfTrue="1" operator="beginsWith" text="Functioning At Risk">
      <formula>LEFT(A304,LEN("Functioning At Risk"))="Functioning At Risk"</formula>
    </cfRule>
    <cfRule type="beginsWith" dxfId="3896" priority="2603" stopIfTrue="1" operator="beginsWith" text="Not Functioning">
      <formula>LEFT(A304,LEN("Not Functioning"))="Not Functioning"</formula>
    </cfRule>
    <cfRule type="containsText" dxfId="3895" priority="2604" operator="containsText" text="Functioning">
      <formula>NOT(ISERROR(SEARCH("Functioning",A304)))</formula>
    </cfRule>
  </conditionalFormatting>
  <conditionalFormatting sqref="H304">
    <cfRule type="beginsWith" dxfId="3894" priority="2599" stopIfTrue="1" operator="beginsWith" text="Functioning At Risk">
      <formula>LEFT(H304,LEN("Functioning At Risk"))="Functioning At Risk"</formula>
    </cfRule>
    <cfRule type="beginsWith" dxfId="3893" priority="2600" stopIfTrue="1" operator="beginsWith" text="Not Functioning">
      <formula>LEFT(H304,LEN("Not Functioning"))="Not Functioning"</formula>
    </cfRule>
    <cfRule type="containsText" dxfId="3892" priority="2601" operator="containsText" text="Functioning">
      <formula>NOT(ISERROR(SEARCH("Functioning",H304)))</formula>
    </cfRule>
  </conditionalFormatting>
  <conditionalFormatting sqref="I304">
    <cfRule type="beginsWith" dxfId="3891" priority="2596" stopIfTrue="1" operator="beginsWith" text="Functioning At Risk">
      <formula>LEFT(I304,LEN("Functioning At Risk"))="Functioning At Risk"</formula>
    </cfRule>
    <cfRule type="beginsWith" dxfId="3890" priority="2597" stopIfTrue="1" operator="beginsWith" text="Not Functioning">
      <formula>LEFT(I304,LEN("Not Functioning"))="Not Functioning"</formula>
    </cfRule>
    <cfRule type="containsText" dxfId="3889" priority="2598" operator="containsText" text="Functioning">
      <formula>NOT(ISERROR(SEARCH("Functioning",I304)))</formula>
    </cfRule>
  </conditionalFormatting>
  <conditionalFormatting sqref="B288">
    <cfRule type="beginsWith" dxfId="3888" priority="2581" stopIfTrue="1" operator="beginsWith" text="Functioning At Risk">
      <formula>LEFT(B288,LEN("Functioning At Risk"))="Functioning At Risk"</formula>
    </cfRule>
    <cfRule type="beginsWith" dxfId="3887" priority="2582" stopIfTrue="1" operator="beginsWith" text="Not Functioning">
      <formula>LEFT(B288,LEN("Not Functioning"))="Not Functioning"</formula>
    </cfRule>
    <cfRule type="containsText" dxfId="3886" priority="2583" operator="containsText" text="Functioning">
      <formula>NOT(ISERROR(SEARCH("Functioning",B288)))</formula>
    </cfRule>
  </conditionalFormatting>
  <conditionalFormatting sqref="I348:I352 B346:B347 D336 B339 A320:B320 H322:I323 H320:I320 H318:K319 A322:B322 A348:A352 D328:D330 B343:B344 A323 D348:D351 D320:D323 D339:D343">
    <cfRule type="beginsWith" dxfId="3885" priority="2575" stopIfTrue="1" operator="beginsWith" text="Functioning At Risk">
      <formula>LEFT(A318,LEN("Functioning At Risk"))="Functioning At Risk"</formula>
    </cfRule>
    <cfRule type="beginsWith" dxfId="3884" priority="2576" stopIfTrue="1" operator="beginsWith" text="Not Functioning">
      <formula>LEFT(A318,LEN("Not Functioning"))="Not Functioning"</formula>
    </cfRule>
    <cfRule type="containsText" dxfId="3883" priority="2577" operator="containsText" text="Functioning">
      <formula>NOT(ISERROR(SEARCH("Functioning",A318)))</formula>
    </cfRule>
  </conditionalFormatting>
  <conditionalFormatting sqref="D372:D375">
    <cfRule type="beginsWith" dxfId="3882" priority="2515" stopIfTrue="1" operator="beginsWith" text="Functioning At Risk">
      <formula>LEFT(D372,LEN("Functioning At Risk"))="Functioning At Risk"</formula>
    </cfRule>
    <cfRule type="beginsWith" dxfId="3881" priority="2516" stopIfTrue="1" operator="beginsWith" text="Not Functioning">
      <formula>LEFT(D372,LEN("Not Functioning"))="Not Functioning"</formula>
    </cfRule>
    <cfRule type="containsText" dxfId="3880" priority="2517" operator="containsText" text="Functioning">
      <formula>NOT(ISERROR(SEARCH("Functioning",D372)))</formula>
    </cfRule>
  </conditionalFormatting>
  <conditionalFormatting sqref="D331">
    <cfRule type="beginsWith" dxfId="3879" priority="2569" stopIfTrue="1" operator="beginsWith" text="Functioning At Risk">
      <formula>LEFT(D331,LEN("Functioning At Risk"))="Functioning At Risk"</formula>
    </cfRule>
    <cfRule type="beginsWith" dxfId="3878" priority="2570" stopIfTrue="1" operator="beginsWith" text="Not Functioning">
      <formula>LEFT(D331,LEN("Not Functioning"))="Not Functioning"</formula>
    </cfRule>
    <cfRule type="containsText" dxfId="3877" priority="2571" operator="containsText" text="Functioning">
      <formula>NOT(ISERROR(SEARCH("Functioning",D331)))</formula>
    </cfRule>
  </conditionalFormatting>
  <conditionalFormatting sqref="D337">
    <cfRule type="beginsWith" dxfId="3876" priority="2566" stopIfTrue="1" operator="beginsWith" text="Functioning At Risk">
      <formula>LEFT(D337,LEN("Functioning At Risk"))="Functioning At Risk"</formula>
    </cfRule>
    <cfRule type="beginsWith" dxfId="3875" priority="2567" stopIfTrue="1" operator="beginsWith" text="Not Functioning">
      <formula>LEFT(D337,LEN("Not Functioning"))="Not Functioning"</formula>
    </cfRule>
    <cfRule type="containsText" dxfId="3874" priority="2568" operator="containsText" text="Functioning">
      <formula>NOT(ISERROR(SEARCH("Functioning",D337)))</formula>
    </cfRule>
  </conditionalFormatting>
  <conditionalFormatting sqref="D338">
    <cfRule type="beginsWith" dxfId="3873" priority="2563" stopIfTrue="1" operator="beginsWith" text="Functioning At Risk">
      <formula>LEFT(D338,LEN("Functioning At Risk"))="Functioning At Risk"</formula>
    </cfRule>
    <cfRule type="beginsWith" dxfId="3872" priority="2564" stopIfTrue="1" operator="beginsWith" text="Not Functioning">
      <formula>LEFT(D338,LEN("Not Functioning"))="Not Functioning"</formula>
    </cfRule>
    <cfRule type="containsText" dxfId="3871" priority="2565" operator="containsText" text="Functioning">
      <formula>NOT(ISERROR(SEARCH("Functioning",D338)))</formula>
    </cfRule>
  </conditionalFormatting>
  <conditionalFormatting sqref="D332:D335">
    <cfRule type="beginsWith" dxfId="3870" priority="2560" stopIfTrue="1" operator="beginsWith" text="Functioning At Risk">
      <formula>LEFT(D332,LEN("Functioning At Risk"))="Functioning At Risk"</formula>
    </cfRule>
    <cfRule type="beginsWith" dxfId="3869" priority="2561" stopIfTrue="1" operator="beginsWith" text="Not Functioning">
      <formula>LEFT(D332,LEN("Not Functioning"))="Not Functioning"</formula>
    </cfRule>
    <cfRule type="containsText" dxfId="3868" priority="2562" operator="containsText" text="Functioning">
      <formula>NOT(ISERROR(SEARCH("Functioning",D332)))</formula>
    </cfRule>
  </conditionalFormatting>
  <conditionalFormatting sqref="A344">
    <cfRule type="beginsWith" dxfId="3867" priority="2557" stopIfTrue="1" operator="beginsWith" text="Functioning At Risk">
      <formula>LEFT(A344,LEN("Functioning At Risk"))="Functioning At Risk"</formula>
    </cfRule>
    <cfRule type="beginsWith" dxfId="3866" priority="2558" stopIfTrue="1" operator="beginsWith" text="Not Functioning">
      <formula>LEFT(A344,LEN("Not Functioning"))="Not Functioning"</formula>
    </cfRule>
    <cfRule type="containsText" dxfId="3865" priority="2559" operator="containsText" text="Functioning">
      <formula>NOT(ISERROR(SEARCH("Functioning",A344)))</formula>
    </cfRule>
  </conditionalFormatting>
  <conditionalFormatting sqref="H344">
    <cfRule type="beginsWith" dxfId="3864" priority="2554" stopIfTrue="1" operator="beginsWith" text="Functioning At Risk">
      <formula>LEFT(H344,LEN("Functioning At Risk"))="Functioning At Risk"</formula>
    </cfRule>
    <cfRule type="beginsWith" dxfId="3863" priority="2555" stopIfTrue="1" operator="beginsWith" text="Not Functioning">
      <formula>LEFT(H344,LEN("Not Functioning"))="Not Functioning"</formula>
    </cfRule>
    <cfRule type="containsText" dxfId="3862" priority="2556" operator="containsText" text="Functioning">
      <formula>NOT(ISERROR(SEARCH("Functioning",H344)))</formula>
    </cfRule>
  </conditionalFormatting>
  <conditionalFormatting sqref="I344">
    <cfRule type="beginsWith" dxfId="3861" priority="2551" stopIfTrue="1" operator="beginsWith" text="Functioning At Risk">
      <formula>LEFT(I344,LEN("Functioning At Risk"))="Functioning At Risk"</formula>
    </cfRule>
    <cfRule type="beginsWith" dxfId="3860" priority="2552" stopIfTrue="1" operator="beginsWith" text="Not Functioning">
      <formula>LEFT(I344,LEN("Not Functioning"))="Not Functioning"</formula>
    </cfRule>
    <cfRule type="containsText" dxfId="3859" priority="2553" operator="containsText" text="Functioning">
      <formula>NOT(ISERROR(SEARCH("Functioning",I344)))</formula>
    </cfRule>
  </conditionalFormatting>
  <conditionalFormatting sqref="D352">
    <cfRule type="beginsWith" dxfId="3858" priority="2548" stopIfTrue="1" operator="beginsWith" text="Functioning At Risk">
      <formula>LEFT(D352,LEN("Functioning At Risk"))="Functioning At Risk"</formula>
    </cfRule>
    <cfRule type="beginsWith" dxfId="3857" priority="2549" stopIfTrue="1" operator="beginsWith" text="Not Functioning">
      <formula>LEFT(D352,LEN("Not Functioning"))="Not Functioning"</formula>
    </cfRule>
    <cfRule type="containsText" dxfId="3856" priority="2550" operator="containsText" text="Functioning">
      <formula>NOT(ISERROR(SEARCH("Functioning",D352)))</formula>
    </cfRule>
  </conditionalFormatting>
  <conditionalFormatting sqref="D353">
    <cfRule type="beginsWith" dxfId="3855" priority="2545" stopIfTrue="1" operator="beginsWith" text="Functioning At Risk">
      <formula>LEFT(D353,LEN("Functioning At Risk"))="Functioning At Risk"</formula>
    </cfRule>
    <cfRule type="beginsWith" dxfId="3854" priority="2546" stopIfTrue="1" operator="beginsWith" text="Not Functioning">
      <formula>LEFT(D353,LEN("Not Functioning"))="Not Functioning"</formula>
    </cfRule>
    <cfRule type="containsText" dxfId="3853" priority="2547" operator="containsText" text="Functioning">
      <formula>NOT(ISERROR(SEARCH("Functioning",D353)))</formula>
    </cfRule>
  </conditionalFormatting>
  <conditionalFormatting sqref="B328">
    <cfRule type="beginsWith" dxfId="3852" priority="2536" stopIfTrue="1" operator="beginsWith" text="Functioning At Risk">
      <formula>LEFT(B328,LEN("Functioning At Risk"))="Functioning At Risk"</formula>
    </cfRule>
    <cfRule type="beginsWith" dxfId="3851" priority="2537" stopIfTrue="1" operator="beginsWith" text="Not Functioning">
      <formula>LEFT(B328,LEN("Not Functioning"))="Not Functioning"</formula>
    </cfRule>
    <cfRule type="containsText" dxfId="3850" priority="2538" operator="containsText" text="Functioning">
      <formula>NOT(ISERROR(SEARCH("Functioning",B328)))</formula>
    </cfRule>
  </conditionalFormatting>
  <conditionalFormatting sqref="I388:I392 B386:B387 D376 B379 A360:B360 H362:I363 H360:I360 H358:K359 A362:B362 A388:A392 D368:D370 B383:B384 A363 D388:D391 D360:D363 D379:D383">
    <cfRule type="beginsWith" dxfId="3849" priority="2530" stopIfTrue="1" operator="beginsWith" text="Functioning At Risk">
      <formula>LEFT(A358,LEN("Functioning At Risk"))="Functioning At Risk"</formula>
    </cfRule>
    <cfRule type="beginsWith" dxfId="3848" priority="2531" stopIfTrue="1" operator="beginsWith" text="Not Functioning">
      <formula>LEFT(A358,LEN("Not Functioning"))="Not Functioning"</formula>
    </cfRule>
    <cfRule type="containsText" dxfId="3847" priority="2532" operator="containsText" text="Functioning">
      <formula>NOT(ISERROR(SEARCH("Functioning",A358)))</formula>
    </cfRule>
  </conditionalFormatting>
  <conditionalFormatting sqref="D371">
    <cfRule type="beginsWith" dxfId="3846" priority="2524" stopIfTrue="1" operator="beginsWith" text="Functioning At Risk">
      <formula>LEFT(D371,LEN("Functioning At Risk"))="Functioning At Risk"</formula>
    </cfRule>
    <cfRule type="beginsWith" dxfId="3845" priority="2525" stopIfTrue="1" operator="beginsWith" text="Not Functioning">
      <formula>LEFT(D371,LEN("Not Functioning"))="Not Functioning"</formula>
    </cfRule>
    <cfRule type="containsText" dxfId="3844" priority="2526" operator="containsText" text="Functioning">
      <formula>NOT(ISERROR(SEARCH("Functioning",D371)))</formula>
    </cfRule>
  </conditionalFormatting>
  <conditionalFormatting sqref="D377">
    <cfRule type="beginsWith" dxfId="3843" priority="2521" stopIfTrue="1" operator="beginsWith" text="Functioning At Risk">
      <formula>LEFT(D377,LEN("Functioning At Risk"))="Functioning At Risk"</formula>
    </cfRule>
    <cfRule type="beginsWith" dxfId="3842" priority="2522" stopIfTrue="1" operator="beginsWith" text="Not Functioning">
      <formula>LEFT(D377,LEN("Not Functioning"))="Not Functioning"</formula>
    </cfRule>
    <cfRule type="containsText" dxfId="3841" priority="2523" operator="containsText" text="Functioning">
      <formula>NOT(ISERROR(SEARCH("Functioning",D377)))</formula>
    </cfRule>
  </conditionalFormatting>
  <conditionalFormatting sqref="D378">
    <cfRule type="beginsWith" dxfId="3840" priority="2518" stopIfTrue="1" operator="beginsWith" text="Functioning At Risk">
      <formula>LEFT(D378,LEN("Functioning At Risk"))="Functioning At Risk"</formula>
    </cfRule>
    <cfRule type="beginsWith" dxfId="3839" priority="2519" stopIfTrue="1" operator="beginsWith" text="Not Functioning">
      <formula>LEFT(D378,LEN("Not Functioning"))="Not Functioning"</formula>
    </cfRule>
    <cfRule type="containsText" dxfId="3838" priority="2520" operator="containsText" text="Functioning">
      <formula>NOT(ISERROR(SEARCH("Functioning",D378)))</formula>
    </cfRule>
  </conditionalFormatting>
  <conditionalFormatting sqref="A384">
    <cfRule type="beginsWith" dxfId="3837" priority="2512" stopIfTrue="1" operator="beginsWith" text="Functioning At Risk">
      <formula>LEFT(A384,LEN("Functioning At Risk"))="Functioning At Risk"</formula>
    </cfRule>
    <cfRule type="beginsWith" dxfId="3836" priority="2513" stopIfTrue="1" operator="beginsWith" text="Not Functioning">
      <formula>LEFT(A384,LEN("Not Functioning"))="Not Functioning"</formula>
    </cfRule>
    <cfRule type="containsText" dxfId="3835" priority="2514" operator="containsText" text="Functioning">
      <formula>NOT(ISERROR(SEARCH("Functioning",A384)))</formula>
    </cfRule>
  </conditionalFormatting>
  <conditionalFormatting sqref="H384">
    <cfRule type="beginsWith" dxfId="3834" priority="2509" stopIfTrue="1" operator="beginsWith" text="Functioning At Risk">
      <formula>LEFT(H384,LEN("Functioning At Risk"))="Functioning At Risk"</formula>
    </cfRule>
    <cfRule type="beginsWith" dxfId="3833" priority="2510" stopIfTrue="1" operator="beginsWith" text="Not Functioning">
      <formula>LEFT(H384,LEN("Not Functioning"))="Not Functioning"</formula>
    </cfRule>
    <cfRule type="containsText" dxfId="3832" priority="2511" operator="containsText" text="Functioning">
      <formula>NOT(ISERROR(SEARCH("Functioning",H384)))</formula>
    </cfRule>
  </conditionalFormatting>
  <conditionalFormatting sqref="I384">
    <cfRule type="beginsWith" dxfId="3831" priority="2506" stopIfTrue="1" operator="beginsWith" text="Functioning At Risk">
      <formula>LEFT(I384,LEN("Functioning At Risk"))="Functioning At Risk"</formula>
    </cfRule>
    <cfRule type="beginsWith" dxfId="3830" priority="2507" stopIfTrue="1" operator="beginsWith" text="Not Functioning">
      <formula>LEFT(I384,LEN("Not Functioning"))="Not Functioning"</formula>
    </cfRule>
    <cfRule type="containsText" dxfId="3829" priority="2508" operator="containsText" text="Functioning">
      <formula>NOT(ISERROR(SEARCH("Functioning",I384)))</formula>
    </cfRule>
  </conditionalFormatting>
  <conditionalFormatting sqref="D392">
    <cfRule type="beginsWith" dxfId="3828" priority="2503" stopIfTrue="1" operator="beginsWith" text="Functioning At Risk">
      <formula>LEFT(D392,LEN("Functioning At Risk"))="Functioning At Risk"</formula>
    </cfRule>
    <cfRule type="beginsWith" dxfId="3827" priority="2504" stopIfTrue="1" operator="beginsWith" text="Not Functioning">
      <formula>LEFT(D392,LEN("Not Functioning"))="Not Functioning"</formula>
    </cfRule>
    <cfRule type="containsText" dxfId="3826" priority="2505" operator="containsText" text="Functioning">
      <formula>NOT(ISERROR(SEARCH("Functioning",D392)))</formula>
    </cfRule>
  </conditionalFormatting>
  <conditionalFormatting sqref="D393">
    <cfRule type="beginsWith" dxfId="3825" priority="2500" stopIfTrue="1" operator="beginsWith" text="Functioning At Risk">
      <formula>LEFT(D393,LEN("Functioning At Risk"))="Functioning At Risk"</formula>
    </cfRule>
    <cfRule type="beginsWith" dxfId="3824" priority="2501" stopIfTrue="1" operator="beginsWith" text="Not Functioning">
      <formula>LEFT(D393,LEN("Not Functioning"))="Not Functioning"</formula>
    </cfRule>
    <cfRule type="containsText" dxfId="3823" priority="2502" operator="containsText" text="Functioning">
      <formula>NOT(ISERROR(SEARCH("Functioning",D393)))</formula>
    </cfRule>
  </conditionalFormatting>
  <conditionalFormatting sqref="B392">
    <cfRule type="beginsWith" dxfId="3822" priority="2497" stopIfTrue="1" operator="beginsWith" text="Functioning At Risk">
      <formula>LEFT(B392,LEN("Functioning At Risk"))="Functioning At Risk"</formula>
    </cfRule>
    <cfRule type="beginsWith" dxfId="3821" priority="2498" stopIfTrue="1" operator="beginsWith" text="Not Functioning">
      <formula>LEFT(B392,LEN("Not Functioning"))="Not Functioning"</formula>
    </cfRule>
    <cfRule type="containsText" dxfId="3820" priority="2499" operator="containsText" text="Functioning">
      <formula>NOT(ISERROR(SEARCH("Functioning",B392)))</formula>
    </cfRule>
  </conditionalFormatting>
  <conditionalFormatting sqref="B368">
    <cfRule type="beginsWith" dxfId="3819" priority="2491" stopIfTrue="1" operator="beginsWith" text="Functioning At Risk">
      <formula>LEFT(B368,LEN("Functioning At Risk"))="Functioning At Risk"</formula>
    </cfRule>
    <cfRule type="beginsWith" dxfId="3818" priority="2492" stopIfTrue="1" operator="beginsWith" text="Not Functioning">
      <formula>LEFT(B368,LEN("Not Functioning"))="Not Functioning"</formula>
    </cfRule>
    <cfRule type="containsText" dxfId="3817" priority="2493" operator="containsText" text="Functioning">
      <formula>NOT(ISERROR(SEARCH("Functioning",B368)))</formula>
    </cfRule>
  </conditionalFormatting>
  <conditionalFormatting sqref="I428:I432 B426:B427 D416 B419 A400:B400 H402:I403 H400:I400 H398:K399 A402:B402 A428:A432 D408:D410 B423:B424 A403 D428:D431 D400:D403 D419:D423">
    <cfRule type="beginsWith" dxfId="3816" priority="2485" stopIfTrue="1" operator="beginsWith" text="Functioning At Risk">
      <formula>LEFT(A398,LEN("Functioning At Risk"))="Functioning At Risk"</formula>
    </cfRule>
    <cfRule type="beginsWith" dxfId="3815" priority="2486" stopIfTrue="1" operator="beginsWith" text="Not Functioning">
      <formula>LEFT(A398,LEN("Not Functioning"))="Not Functioning"</formula>
    </cfRule>
    <cfRule type="containsText" dxfId="3814" priority="2487" operator="containsText" text="Functioning">
      <formula>NOT(ISERROR(SEARCH("Functioning",A398)))</formula>
    </cfRule>
  </conditionalFormatting>
  <conditionalFormatting sqref="D411">
    <cfRule type="beginsWith" dxfId="3813" priority="2479" stopIfTrue="1" operator="beginsWith" text="Functioning At Risk">
      <formula>LEFT(D411,LEN("Functioning At Risk"))="Functioning At Risk"</formula>
    </cfRule>
    <cfRule type="beginsWith" dxfId="3812" priority="2480" stopIfTrue="1" operator="beginsWith" text="Not Functioning">
      <formula>LEFT(D411,LEN("Not Functioning"))="Not Functioning"</formula>
    </cfRule>
    <cfRule type="containsText" dxfId="3811" priority="2481" operator="containsText" text="Functioning">
      <formula>NOT(ISERROR(SEARCH("Functioning",D411)))</formula>
    </cfRule>
  </conditionalFormatting>
  <conditionalFormatting sqref="D417">
    <cfRule type="beginsWith" dxfId="3810" priority="2476" stopIfTrue="1" operator="beginsWith" text="Functioning At Risk">
      <formula>LEFT(D417,LEN("Functioning At Risk"))="Functioning At Risk"</formula>
    </cfRule>
    <cfRule type="beginsWith" dxfId="3809" priority="2477" stopIfTrue="1" operator="beginsWith" text="Not Functioning">
      <formula>LEFT(D417,LEN("Not Functioning"))="Not Functioning"</formula>
    </cfRule>
    <cfRule type="containsText" dxfId="3808" priority="2478" operator="containsText" text="Functioning">
      <formula>NOT(ISERROR(SEARCH("Functioning",D417)))</formula>
    </cfRule>
  </conditionalFormatting>
  <conditionalFormatting sqref="D418">
    <cfRule type="beginsWith" dxfId="3807" priority="2473" stopIfTrue="1" operator="beginsWith" text="Functioning At Risk">
      <formula>LEFT(D418,LEN("Functioning At Risk"))="Functioning At Risk"</formula>
    </cfRule>
    <cfRule type="beginsWith" dxfId="3806" priority="2474" stopIfTrue="1" operator="beginsWith" text="Not Functioning">
      <formula>LEFT(D418,LEN("Not Functioning"))="Not Functioning"</formula>
    </cfRule>
    <cfRule type="containsText" dxfId="3805" priority="2475" operator="containsText" text="Functioning">
      <formula>NOT(ISERROR(SEARCH("Functioning",D418)))</formula>
    </cfRule>
  </conditionalFormatting>
  <conditionalFormatting sqref="D412:D415">
    <cfRule type="beginsWith" dxfId="3804" priority="2470" stopIfTrue="1" operator="beginsWith" text="Functioning At Risk">
      <formula>LEFT(D412,LEN("Functioning At Risk"))="Functioning At Risk"</formula>
    </cfRule>
    <cfRule type="beginsWith" dxfId="3803" priority="2471" stopIfTrue="1" operator="beginsWith" text="Not Functioning">
      <formula>LEFT(D412,LEN("Not Functioning"))="Not Functioning"</formula>
    </cfRule>
    <cfRule type="containsText" dxfId="3802" priority="2472" operator="containsText" text="Functioning">
      <formula>NOT(ISERROR(SEARCH("Functioning",D412)))</formula>
    </cfRule>
  </conditionalFormatting>
  <conditionalFormatting sqref="A424">
    <cfRule type="beginsWith" dxfId="3801" priority="2467" stopIfTrue="1" operator="beginsWith" text="Functioning At Risk">
      <formula>LEFT(A424,LEN("Functioning At Risk"))="Functioning At Risk"</formula>
    </cfRule>
    <cfRule type="beginsWith" dxfId="3800" priority="2468" stopIfTrue="1" operator="beginsWith" text="Not Functioning">
      <formula>LEFT(A424,LEN("Not Functioning"))="Not Functioning"</formula>
    </cfRule>
    <cfRule type="containsText" dxfId="3799" priority="2469" operator="containsText" text="Functioning">
      <formula>NOT(ISERROR(SEARCH("Functioning",A424)))</formula>
    </cfRule>
  </conditionalFormatting>
  <conditionalFormatting sqref="H424">
    <cfRule type="beginsWith" dxfId="3798" priority="2464" stopIfTrue="1" operator="beginsWith" text="Functioning At Risk">
      <formula>LEFT(H424,LEN("Functioning At Risk"))="Functioning At Risk"</formula>
    </cfRule>
    <cfRule type="beginsWith" dxfId="3797" priority="2465" stopIfTrue="1" operator="beginsWith" text="Not Functioning">
      <formula>LEFT(H424,LEN("Not Functioning"))="Not Functioning"</formula>
    </cfRule>
    <cfRule type="containsText" dxfId="3796" priority="2466" operator="containsText" text="Functioning">
      <formula>NOT(ISERROR(SEARCH("Functioning",H424)))</formula>
    </cfRule>
  </conditionalFormatting>
  <conditionalFormatting sqref="I424">
    <cfRule type="beginsWith" dxfId="3795" priority="2461" stopIfTrue="1" operator="beginsWith" text="Functioning At Risk">
      <formula>LEFT(I424,LEN("Functioning At Risk"))="Functioning At Risk"</formula>
    </cfRule>
    <cfRule type="beginsWith" dxfId="3794" priority="2462" stopIfTrue="1" operator="beginsWith" text="Not Functioning">
      <formula>LEFT(I424,LEN("Not Functioning"))="Not Functioning"</formula>
    </cfRule>
    <cfRule type="containsText" dxfId="3793" priority="2463" operator="containsText" text="Functioning">
      <formula>NOT(ISERROR(SEARCH("Functioning",I424)))</formula>
    </cfRule>
  </conditionalFormatting>
  <conditionalFormatting sqref="D432">
    <cfRule type="beginsWith" dxfId="3792" priority="2458" stopIfTrue="1" operator="beginsWith" text="Functioning At Risk">
      <formula>LEFT(D432,LEN("Functioning At Risk"))="Functioning At Risk"</formula>
    </cfRule>
    <cfRule type="beginsWith" dxfId="3791" priority="2459" stopIfTrue="1" operator="beginsWith" text="Not Functioning">
      <formula>LEFT(D432,LEN("Not Functioning"))="Not Functioning"</formula>
    </cfRule>
    <cfRule type="containsText" dxfId="3790" priority="2460" operator="containsText" text="Functioning">
      <formula>NOT(ISERROR(SEARCH("Functioning",D432)))</formula>
    </cfRule>
  </conditionalFormatting>
  <conditionalFormatting sqref="D433">
    <cfRule type="beginsWith" dxfId="3789" priority="2455" stopIfTrue="1" operator="beginsWith" text="Functioning At Risk">
      <formula>LEFT(D433,LEN("Functioning At Risk"))="Functioning At Risk"</formula>
    </cfRule>
    <cfRule type="beginsWith" dxfId="3788" priority="2456" stopIfTrue="1" operator="beginsWith" text="Not Functioning">
      <formula>LEFT(D433,LEN("Not Functioning"))="Not Functioning"</formula>
    </cfRule>
    <cfRule type="containsText" dxfId="3787" priority="2457" operator="containsText" text="Functioning">
      <formula>NOT(ISERROR(SEARCH("Functioning",D433)))</formula>
    </cfRule>
  </conditionalFormatting>
  <conditionalFormatting sqref="B432">
    <cfRule type="beginsWith" dxfId="3786" priority="2452" stopIfTrue="1" operator="beginsWith" text="Functioning At Risk">
      <formula>LEFT(B432,LEN("Functioning At Risk"))="Functioning At Risk"</formula>
    </cfRule>
    <cfRule type="beginsWith" dxfId="3785" priority="2453" stopIfTrue="1" operator="beginsWith" text="Not Functioning">
      <formula>LEFT(B432,LEN("Not Functioning"))="Not Functioning"</formula>
    </cfRule>
    <cfRule type="containsText" dxfId="3784" priority="2454" operator="containsText" text="Functioning">
      <formula>NOT(ISERROR(SEARCH("Functioning",B432)))</formula>
    </cfRule>
  </conditionalFormatting>
  <conditionalFormatting sqref="B408">
    <cfRule type="beginsWith" dxfId="3783" priority="2446" stopIfTrue="1" operator="beginsWith" text="Functioning At Risk">
      <formula>LEFT(B408,LEN("Functioning At Risk"))="Functioning At Risk"</formula>
    </cfRule>
    <cfRule type="beginsWith" dxfId="3782" priority="2447" stopIfTrue="1" operator="beginsWith" text="Not Functioning">
      <formula>LEFT(B408,LEN("Not Functioning"))="Not Functioning"</formula>
    </cfRule>
    <cfRule type="containsText" dxfId="3781" priority="2448" operator="containsText" text="Functioning">
      <formula>NOT(ISERROR(SEARCH("Functioning",B408)))</formula>
    </cfRule>
  </conditionalFormatting>
  <conditionalFormatting sqref="E233">
    <cfRule type="beginsWith" dxfId="3780" priority="2266" stopIfTrue="1" operator="beginsWith" text="Functioning At Risk">
      <formula>LEFT(E233,LEN("Functioning At Risk"))="Functioning At Risk"</formula>
    </cfRule>
    <cfRule type="beginsWith" dxfId="3779" priority="2267" stopIfTrue="1" operator="beginsWith" text="Not Functioning">
      <formula>LEFT(E233,LEN("Not Functioning"))="Not Functioning"</formula>
    </cfRule>
    <cfRule type="containsText" dxfId="3778" priority="2268" operator="containsText" text="Functioning">
      <formula>NOT(ISERROR(SEARCH("Functioning",E233)))</formula>
    </cfRule>
  </conditionalFormatting>
  <conditionalFormatting sqref="E154 E122:E123">
    <cfRule type="beginsWith" dxfId="3777" priority="2335" stopIfTrue="1" operator="beginsWith" text="Functioning At Risk">
      <formula>LEFT(E122,LEN("Functioning At Risk"))="Functioning At Risk"</formula>
    </cfRule>
    <cfRule type="beginsWith" dxfId="3776" priority="2336" stopIfTrue="1" operator="beginsWith" text="Not Functioning">
      <formula>LEFT(E122,LEN("Not Functioning"))="Not Functioning"</formula>
    </cfRule>
    <cfRule type="containsText" dxfId="3775" priority="2337" operator="containsText" text="Functioning">
      <formula>NOT(ISERROR(SEARCH("Functioning",E122)))</formula>
    </cfRule>
  </conditionalFormatting>
  <conditionalFormatting sqref="E37 E5:E6 E29">
    <cfRule type="beginsWith" dxfId="3774" priority="2434" stopIfTrue="1" operator="beginsWith" text="Functioning At Risk">
      <formula>LEFT(E5,LEN("Functioning At Risk"))="Functioning At Risk"</formula>
    </cfRule>
    <cfRule type="beginsWith" dxfId="3773" priority="2435" stopIfTrue="1" operator="beginsWith" text="Not Functioning">
      <formula>LEFT(E5,LEN("Not Functioning"))="Not Functioning"</formula>
    </cfRule>
    <cfRule type="containsText" dxfId="3772" priority="2436" operator="containsText" text="Functioning">
      <formula>NOT(ISERROR(SEARCH("Functioning",E5)))</formula>
    </cfRule>
  </conditionalFormatting>
  <conditionalFormatting sqref="E38">
    <cfRule type="beginsWith" dxfId="3771" priority="2431" stopIfTrue="1" operator="beginsWith" text="Functioning At Risk">
      <formula>LEFT(E38,LEN("Functioning At Risk"))="Functioning At Risk"</formula>
    </cfRule>
    <cfRule type="beginsWith" dxfId="3770" priority="2432" stopIfTrue="1" operator="beginsWith" text="Not Functioning">
      <formula>LEFT(E38,LEN("Not Functioning"))="Not Functioning"</formula>
    </cfRule>
    <cfRule type="containsText" dxfId="3769" priority="2433" operator="containsText" text="Functioning">
      <formula>NOT(ISERROR(SEARCH("Functioning",E38)))</formula>
    </cfRule>
  </conditionalFormatting>
  <conditionalFormatting sqref="E29">
    <cfRule type="expression" dxfId="3768" priority="2426">
      <formula>B1048488="Level 4 - Physicochemical"</formula>
    </cfRule>
    <cfRule type="expression" dxfId="3767" priority="2430">
      <formula>B1048488="Level 5 - Biology"</formula>
    </cfRule>
  </conditionalFormatting>
  <conditionalFormatting sqref="E31">
    <cfRule type="expression" dxfId="3766" priority="2425">
      <formula>B1048488="Level 4 - Physicochemical"</formula>
    </cfRule>
    <cfRule type="expression" dxfId="3765" priority="2429">
      <formula>B1048488="Level 5 - Biology"</formula>
    </cfRule>
  </conditionalFormatting>
  <conditionalFormatting sqref="E32">
    <cfRule type="expression" dxfId="3764" priority="2424">
      <formula>B1048488="Level 4 - Physicochemical"</formula>
    </cfRule>
    <cfRule type="expression" dxfId="3763" priority="2428">
      <formula>B1048488="Level 5 - Biology"</formula>
    </cfRule>
  </conditionalFormatting>
  <conditionalFormatting sqref="E38">
    <cfRule type="expression" dxfId="3762" priority="2427">
      <formula>B1048488="Level 5 - Biology"</formula>
    </cfRule>
  </conditionalFormatting>
  <conditionalFormatting sqref="E30">
    <cfRule type="expression" dxfId="3761" priority="2440">
      <formula>B1048489="Level 4 - Physicochemical"</formula>
    </cfRule>
    <cfRule type="expression" dxfId="3760" priority="2441">
      <formula>B1048489="Level 5 - Biology"</formula>
    </cfRule>
  </conditionalFormatting>
  <conditionalFormatting sqref="E37">
    <cfRule type="expression" dxfId="3759" priority="2442">
      <formula>B1048490="Level 5 - Biology"</formula>
    </cfRule>
  </conditionalFormatting>
  <conditionalFormatting sqref="E27:E28">
    <cfRule type="beginsWith" dxfId="3758" priority="2418" stopIfTrue="1" operator="beginsWith" text="Functioning At Risk">
      <formula>LEFT(E27,LEN("Functioning At Risk"))="Functioning At Risk"</formula>
    </cfRule>
    <cfRule type="beginsWith" dxfId="3757" priority="2419" stopIfTrue="1" operator="beginsWith" text="Not Functioning">
      <formula>LEFT(E27,LEN("Not Functioning"))="Not Functioning"</formula>
    </cfRule>
    <cfRule type="containsText" dxfId="3756" priority="2420" operator="containsText" text="Functioning">
      <formula>NOT(ISERROR(SEARCH("Functioning",E27)))</formula>
    </cfRule>
  </conditionalFormatting>
  <conditionalFormatting sqref="E36">
    <cfRule type="expression" dxfId="3755" priority="2413">
      <formula>B1048418="Level 5 - Biology"</formula>
    </cfRule>
  </conditionalFormatting>
  <conditionalFormatting sqref="E33:E36">
    <cfRule type="beginsWith" dxfId="3754" priority="2410" stopIfTrue="1" operator="beginsWith" text="Functioning At Risk">
      <formula>LEFT(E33,LEN("Functioning At Risk"))="Functioning At Risk"</formula>
    </cfRule>
    <cfRule type="beginsWith" dxfId="3753" priority="2411" stopIfTrue="1" operator="beginsWith" text="Not Functioning">
      <formula>LEFT(E33,LEN("Not Functioning"))="Not Functioning"</formula>
    </cfRule>
    <cfRule type="containsText" dxfId="3752" priority="2412" operator="containsText" text="Functioning">
      <formula>NOT(ISERROR(SEARCH("Functioning",E33)))</formula>
    </cfRule>
  </conditionalFormatting>
  <conditionalFormatting sqref="E33:E35">
    <cfRule type="expression" dxfId="3751" priority="2414">
      <formula>B1048417="Level 5 - Biology"</formula>
    </cfRule>
  </conditionalFormatting>
  <conditionalFormatting sqref="E76 E44:E45">
    <cfRule type="beginsWith" dxfId="3750" priority="2401" stopIfTrue="1" operator="beginsWith" text="Functioning At Risk">
      <formula>LEFT(E44,LEN("Functioning At Risk"))="Functioning At Risk"</formula>
    </cfRule>
    <cfRule type="beginsWith" dxfId="3749" priority="2402" stopIfTrue="1" operator="beginsWith" text="Not Functioning">
      <formula>LEFT(E44,LEN("Not Functioning"))="Not Functioning"</formula>
    </cfRule>
    <cfRule type="containsText" dxfId="3748" priority="2403" operator="containsText" text="Functioning">
      <formula>NOT(ISERROR(SEARCH("Functioning",E44)))</formula>
    </cfRule>
  </conditionalFormatting>
  <conditionalFormatting sqref="E77">
    <cfRule type="beginsWith" dxfId="3747" priority="2398" stopIfTrue="1" operator="beginsWith" text="Functioning At Risk">
      <formula>LEFT(E77,LEN("Functioning At Risk"))="Functioning At Risk"</formula>
    </cfRule>
    <cfRule type="beginsWith" dxfId="3746" priority="2399" stopIfTrue="1" operator="beginsWith" text="Not Functioning">
      <formula>LEFT(E77,LEN("Not Functioning"))="Not Functioning"</formula>
    </cfRule>
    <cfRule type="containsText" dxfId="3745" priority="2400" operator="containsText" text="Functioning">
      <formula>NOT(ISERROR(SEARCH("Functioning",E77)))</formula>
    </cfRule>
  </conditionalFormatting>
  <conditionalFormatting sqref="E77">
    <cfRule type="expression" dxfId="3744" priority="2394">
      <formula>B1048528="Level 5 - Biology"</formula>
    </cfRule>
  </conditionalFormatting>
  <conditionalFormatting sqref="E76">
    <cfRule type="expression" dxfId="3743" priority="2409">
      <formula>B1048530="Level 5 - Biology"</formula>
    </cfRule>
  </conditionalFormatting>
  <conditionalFormatting sqref="E75">
    <cfRule type="expression" dxfId="3742" priority="2380">
      <formula>B1048458="Level 5 - Biology"</formula>
    </cfRule>
  </conditionalFormatting>
  <conditionalFormatting sqref="E72:E75">
    <cfRule type="beginsWith" dxfId="3741" priority="2377" stopIfTrue="1" operator="beginsWith" text="Functioning At Risk">
      <formula>LEFT(E72,LEN("Functioning At Risk"))="Functioning At Risk"</formula>
    </cfRule>
    <cfRule type="beginsWith" dxfId="3740" priority="2378" stopIfTrue="1" operator="beginsWith" text="Not Functioning">
      <formula>LEFT(E72,LEN("Not Functioning"))="Not Functioning"</formula>
    </cfRule>
    <cfRule type="containsText" dxfId="3739" priority="2379" operator="containsText" text="Functioning">
      <formula>NOT(ISERROR(SEARCH("Functioning",E72)))</formula>
    </cfRule>
  </conditionalFormatting>
  <conditionalFormatting sqref="E72:E74">
    <cfRule type="expression" dxfId="3738" priority="2381">
      <formula>B1048457="Level 5 - Biology"</formula>
    </cfRule>
  </conditionalFormatting>
  <conditionalFormatting sqref="E313">
    <cfRule type="beginsWith" dxfId="3737" priority="2200" stopIfTrue="1" operator="beginsWith" text="Functioning At Risk">
      <formula>LEFT(E313,LEN("Functioning At Risk"))="Functioning At Risk"</formula>
    </cfRule>
    <cfRule type="beginsWith" dxfId="3736" priority="2201" stopIfTrue="1" operator="beginsWith" text="Not Functioning">
      <formula>LEFT(E313,LEN("Not Functioning"))="Not Functioning"</formula>
    </cfRule>
    <cfRule type="containsText" dxfId="3735" priority="2202" operator="containsText" text="Functioning">
      <formula>NOT(ISERROR(SEARCH("Functioning",E313)))</formula>
    </cfRule>
  </conditionalFormatting>
  <conditionalFormatting sqref="E115 E83:E84">
    <cfRule type="beginsWith" dxfId="3734" priority="2368" stopIfTrue="1" operator="beginsWith" text="Functioning At Risk">
      <formula>LEFT(E83,LEN("Functioning At Risk"))="Functioning At Risk"</formula>
    </cfRule>
    <cfRule type="beginsWith" dxfId="3733" priority="2369" stopIfTrue="1" operator="beginsWith" text="Not Functioning">
      <formula>LEFT(E83,LEN("Not Functioning"))="Not Functioning"</formula>
    </cfRule>
    <cfRule type="containsText" dxfId="3732" priority="2370" operator="containsText" text="Functioning">
      <formula>NOT(ISERROR(SEARCH("Functioning",E83)))</formula>
    </cfRule>
  </conditionalFormatting>
  <conditionalFormatting sqref="E116">
    <cfRule type="beginsWith" dxfId="3731" priority="2365" stopIfTrue="1" operator="beginsWith" text="Functioning At Risk">
      <formula>LEFT(E116,LEN("Functioning At Risk"))="Functioning At Risk"</formula>
    </cfRule>
    <cfRule type="beginsWith" dxfId="3730" priority="2366" stopIfTrue="1" operator="beginsWith" text="Not Functioning">
      <formula>LEFT(E116,LEN("Not Functioning"))="Not Functioning"</formula>
    </cfRule>
    <cfRule type="containsText" dxfId="3729" priority="2367" operator="containsText" text="Functioning">
      <formula>NOT(ISERROR(SEARCH("Functioning",E116)))</formula>
    </cfRule>
  </conditionalFormatting>
  <conditionalFormatting sqref="E116">
    <cfRule type="expression" dxfId="3728" priority="2361">
      <formula>B3="Level 5 - Biology"</formula>
    </cfRule>
  </conditionalFormatting>
  <conditionalFormatting sqref="E115">
    <cfRule type="expression" dxfId="3727" priority="2376">
      <formula>#REF!="Level 5 - Biology"</formula>
    </cfRule>
  </conditionalFormatting>
  <conditionalFormatting sqref="E114">
    <cfRule type="expression" dxfId="3726" priority="2347">
      <formula>B1048498="Level 5 - Biology"</formula>
    </cfRule>
  </conditionalFormatting>
  <conditionalFormatting sqref="E111:E114">
    <cfRule type="beginsWith" dxfId="3725" priority="2344" stopIfTrue="1" operator="beginsWith" text="Functioning At Risk">
      <formula>LEFT(E111,LEN("Functioning At Risk"))="Functioning At Risk"</formula>
    </cfRule>
    <cfRule type="beginsWith" dxfId="3724" priority="2345" stopIfTrue="1" operator="beginsWith" text="Not Functioning">
      <formula>LEFT(E111,LEN("Not Functioning"))="Not Functioning"</formula>
    </cfRule>
    <cfRule type="containsText" dxfId="3723" priority="2346" operator="containsText" text="Functioning">
      <formula>NOT(ISERROR(SEARCH("Functioning",E111)))</formula>
    </cfRule>
  </conditionalFormatting>
  <conditionalFormatting sqref="E111:E113">
    <cfRule type="expression" dxfId="3722" priority="2348">
      <formula>B1048497="Level 5 - Biology"</formula>
    </cfRule>
  </conditionalFormatting>
  <conditionalFormatting sqref="E352 E320:E321">
    <cfRule type="beginsWith" dxfId="3721" priority="2170" stopIfTrue="1" operator="beginsWith" text="Functioning At Risk">
      <formula>LEFT(E320,LEN("Functioning At Risk"))="Functioning At Risk"</formula>
    </cfRule>
    <cfRule type="beginsWith" dxfId="3720" priority="2171" stopIfTrue="1" operator="beginsWith" text="Not Functioning">
      <formula>LEFT(E320,LEN("Not Functioning"))="Not Functioning"</formula>
    </cfRule>
    <cfRule type="containsText" dxfId="3719" priority="2172" operator="containsText" text="Functioning">
      <formula>NOT(ISERROR(SEARCH("Functioning",E320)))</formula>
    </cfRule>
  </conditionalFormatting>
  <conditionalFormatting sqref="E155">
    <cfRule type="beginsWith" dxfId="3718" priority="2332" stopIfTrue="1" operator="beginsWith" text="Functioning At Risk">
      <formula>LEFT(E155,LEN("Functioning At Risk"))="Functioning At Risk"</formula>
    </cfRule>
    <cfRule type="beginsWith" dxfId="3717" priority="2333" stopIfTrue="1" operator="beginsWith" text="Not Functioning">
      <formula>LEFT(E155,LEN("Not Functioning"))="Not Functioning"</formula>
    </cfRule>
    <cfRule type="containsText" dxfId="3716" priority="2334" operator="containsText" text="Functioning">
      <formula>NOT(ISERROR(SEARCH("Functioning",E155)))</formula>
    </cfRule>
  </conditionalFormatting>
  <conditionalFormatting sqref="E155">
    <cfRule type="expression" dxfId="3715" priority="2328">
      <formula>B42="Level 5 - Biology"</formula>
    </cfRule>
  </conditionalFormatting>
  <conditionalFormatting sqref="E154">
    <cfRule type="expression" dxfId="3714" priority="2343">
      <formula>#REF!="Level 5 - Biology"</formula>
    </cfRule>
  </conditionalFormatting>
  <conditionalFormatting sqref="E153">
    <cfRule type="expression" dxfId="3713" priority="2314">
      <formula>B1048538="Level 5 - Biology"</formula>
    </cfRule>
  </conditionalFormatting>
  <conditionalFormatting sqref="E150:E153">
    <cfRule type="beginsWith" dxfId="3712" priority="2311" stopIfTrue="1" operator="beginsWith" text="Functioning At Risk">
      <formula>LEFT(E150,LEN("Functioning At Risk"))="Functioning At Risk"</formula>
    </cfRule>
    <cfRule type="beginsWith" dxfId="3711" priority="2312" stopIfTrue="1" operator="beginsWith" text="Not Functioning">
      <formula>LEFT(E150,LEN("Not Functioning"))="Not Functioning"</formula>
    </cfRule>
    <cfRule type="containsText" dxfId="3710" priority="2313" operator="containsText" text="Functioning">
      <formula>NOT(ISERROR(SEARCH("Functioning",E150)))</formula>
    </cfRule>
  </conditionalFormatting>
  <conditionalFormatting sqref="E150:E152">
    <cfRule type="expression" dxfId="3709" priority="2315">
      <formula>B1048537="Level 5 - Biology"</formula>
    </cfRule>
  </conditionalFormatting>
  <conditionalFormatting sqref="E193 E161:E162">
    <cfRule type="beginsWith" dxfId="3708" priority="2302" stopIfTrue="1" operator="beginsWith" text="Functioning At Risk">
      <formula>LEFT(E161,LEN("Functioning At Risk"))="Functioning At Risk"</formula>
    </cfRule>
    <cfRule type="beginsWith" dxfId="3707" priority="2303" stopIfTrue="1" operator="beginsWith" text="Not Functioning">
      <formula>LEFT(E161,LEN("Not Functioning"))="Not Functioning"</formula>
    </cfRule>
    <cfRule type="containsText" dxfId="3706" priority="2304" operator="containsText" text="Functioning">
      <formula>NOT(ISERROR(SEARCH("Functioning",E161)))</formula>
    </cfRule>
  </conditionalFormatting>
  <conditionalFormatting sqref="E194">
    <cfRule type="beginsWith" dxfId="3705" priority="2299" stopIfTrue="1" operator="beginsWith" text="Functioning At Risk">
      <formula>LEFT(E194,LEN("Functioning At Risk"))="Functioning At Risk"</formula>
    </cfRule>
    <cfRule type="beginsWith" dxfId="3704" priority="2300" stopIfTrue="1" operator="beginsWith" text="Not Functioning">
      <formula>LEFT(E194,LEN("Not Functioning"))="Not Functioning"</formula>
    </cfRule>
    <cfRule type="containsText" dxfId="3703" priority="2301" operator="containsText" text="Functioning">
      <formula>NOT(ISERROR(SEARCH("Functioning",E194)))</formula>
    </cfRule>
  </conditionalFormatting>
  <conditionalFormatting sqref="E194">
    <cfRule type="expression" dxfId="3702" priority="2295">
      <formula>B81="Level 5 - Biology"</formula>
    </cfRule>
  </conditionalFormatting>
  <conditionalFormatting sqref="E193">
    <cfRule type="expression" dxfId="3701" priority="2310">
      <formula>#REF!="Level 5 - Biology"</formula>
    </cfRule>
  </conditionalFormatting>
  <conditionalFormatting sqref="E192">
    <cfRule type="expression" dxfId="3700" priority="2281">
      <formula>B10="Level 5 - Biology"</formula>
    </cfRule>
  </conditionalFormatting>
  <conditionalFormatting sqref="E189:E192">
    <cfRule type="beginsWith" dxfId="3699" priority="2278" stopIfTrue="1" operator="beginsWith" text="Functioning At Risk">
      <formula>LEFT(E189,LEN("Functioning At Risk"))="Functioning At Risk"</formula>
    </cfRule>
    <cfRule type="beginsWith" dxfId="3698" priority="2279" stopIfTrue="1" operator="beginsWith" text="Not Functioning">
      <formula>LEFT(E189,LEN("Not Functioning"))="Not Functioning"</formula>
    </cfRule>
    <cfRule type="containsText" dxfId="3697" priority="2280" operator="containsText" text="Functioning">
      <formula>NOT(ISERROR(SEARCH("Functioning",E189)))</formula>
    </cfRule>
  </conditionalFormatting>
  <conditionalFormatting sqref="E189:E191">
    <cfRule type="expression" dxfId="3696" priority="2282">
      <formula>B9="Level 5 - Biology"</formula>
    </cfRule>
  </conditionalFormatting>
  <conditionalFormatting sqref="E232 E200:E201">
    <cfRule type="beginsWith" dxfId="3695" priority="2269" stopIfTrue="1" operator="beginsWith" text="Functioning At Risk">
      <formula>LEFT(E200,LEN("Functioning At Risk"))="Functioning At Risk"</formula>
    </cfRule>
    <cfRule type="beginsWith" dxfId="3694" priority="2270" stopIfTrue="1" operator="beginsWith" text="Not Functioning">
      <formula>LEFT(E200,LEN("Not Functioning"))="Not Functioning"</formula>
    </cfRule>
    <cfRule type="containsText" dxfId="3693" priority="2271" operator="containsText" text="Functioning">
      <formula>NOT(ISERROR(SEARCH("Functioning",E200)))</formula>
    </cfRule>
  </conditionalFormatting>
  <conditionalFormatting sqref="E233">
    <cfRule type="expression" dxfId="3692" priority="2262">
      <formula>B120="Level 5 - Biology"</formula>
    </cfRule>
  </conditionalFormatting>
  <conditionalFormatting sqref="E232">
    <cfRule type="expression" dxfId="3691" priority="2277">
      <formula>#REF!="Level 5 - Biology"</formula>
    </cfRule>
  </conditionalFormatting>
  <conditionalFormatting sqref="E231">
    <cfRule type="expression" dxfId="3690" priority="2248">
      <formula>B49="Level 5 - Biology"</formula>
    </cfRule>
  </conditionalFormatting>
  <conditionalFormatting sqref="E228:E231">
    <cfRule type="beginsWith" dxfId="3689" priority="2245" stopIfTrue="1" operator="beginsWith" text="Functioning At Risk">
      <formula>LEFT(E228,LEN("Functioning At Risk"))="Functioning At Risk"</formula>
    </cfRule>
    <cfRule type="beginsWith" dxfId="3688" priority="2246" stopIfTrue="1" operator="beginsWith" text="Not Functioning">
      <formula>LEFT(E228,LEN("Not Functioning"))="Not Functioning"</formula>
    </cfRule>
    <cfRule type="containsText" dxfId="3687" priority="2247" operator="containsText" text="Functioning">
      <formula>NOT(ISERROR(SEARCH("Functioning",E228)))</formula>
    </cfRule>
  </conditionalFormatting>
  <conditionalFormatting sqref="E272 E240:E241">
    <cfRule type="beginsWith" dxfId="3686" priority="2236" stopIfTrue="1" operator="beginsWith" text="Functioning At Risk">
      <formula>LEFT(E240,LEN("Functioning At Risk"))="Functioning At Risk"</formula>
    </cfRule>
    <cfRule type="beginsWith" dxfId="3685" priority="2237" stopIfTrue="1" operator="beginsWith" text="Not Functioning">
      <formula>LEFT(E240,LEN("Not Functioning"))="Not Functioning"</formula>
    </cfRule>
    <cfRule type="containsText" dxfId="3684" priority="2238" operator="containsText" text="Functioning">
      <formula>NOT(ISERROR(SEARCH("Functioning",E240)))</formula>
    </cfRule>
  </conditionalFormatting>
  <conditionalFormatting sqref="E273">
    <cfRule type="beginsWith" dxfId="3683" priority="2233" stopIfTrue="1" operator="beginsWith" text="Functioning At Risk">
      <formula>LEFT(E273,LEN("Functioning At Risk"))="Functioning At Risk"</formula>
    </cfRule>
    <cfRule type="beginsWith" dxfId="3682" priority="2234" stopIfTrue="1" operator="beginsWith" text="Not Functioning">
      <formula>LEFT(E273,LEN("Not Functioning"))="Not Functioning"</formula>
    </cfRule>
    <cfRule type="containsText" dxfId="3681" priority="2235" operator="containsText" text="Functioning">
      <formula>NOT(ISERROR(SEARCH("Functioning",E273)))</formula>
    </cfRule>
  </conditionalFormatting>
  <conditionalFormatting sqref="E273">
    <cfRule type="expression" dxfId="3680" priority="2229">
      <formula>B160="Level 5 - Biology"</formula>
    </cfRule>
  </conditionalFormatting>
  <conditionalFormatting sqref="E272">
    <cfRule type="expression" dxfId="3679" priority="2244">
      <formula>#REF!="Level 5 - Biology"</formula>
    </cfRule>
  </conditionalFormatting>
  <conditionalFormatting sqref="E271">
    <cfRule type="expression" dxfId="3678" priority="2215">
      <formula>B90="Level 5 - Biology"</formula>
    </cfRule>
  </conditionalFormatting>
  <conditionalFormatting sqref="E268:E271">
    <cfRule type="beginsWith" dxfId="3677" priority="2212" stopIfTrue="1" operator="beginsWith" text="Functioning At Risk">
      <formula>LEFT(E268,LEN("Functioning At Risk"))="Functioning At Risk"</formula>
    </cfRule>
    <cfRule type="beginsWith" dxfId="3676" priority="2213" stopIfTrue="1" operator="beginsWith" text="Not Functioning">
      <formula>LEFT(E268,LEN("Not Functioning"))="Not Functioning"</formula>
    </cfRule>
    <cfRule type="containsText" dxfId="3675" priority="2214" operator="containsText" text="Functioning">
      <formula>NOT(ISERROR(SEARCH("Functioning",E268)))</formula>
    </cfRule>
  </conditionalFormatting>
  <conditionalFormatting sqref="E312 E280:E281">
    <cfRule type="beginsWith" dxfId="3674" priority="2203" stopIfTrue="1" operator="beginsWith" text="Functioning At Risk">
      <formula>LEFT(E280,LEN("Functioning At Risk"))="Functioning At Risk"</formula>
    </cfRule>
    <cfRule type="beginsWith" dxfId="3673" priority="2204" stopIfTrue="1" operator="beginsWith" text="Not Functioning">
      <formula>LEFT(E280,LEN("Not Functioning"))="Not Functioning"</formula>
    </cfRule>
    <cfRule type="containsText" dxfId="3672" priority="2205" operator="containsText" text="Functioning">
      <formula>NOT(ISERROR(SEARCH("Functioning",E280)))</formula>
    </cfRule>
  </conditionalFormatting>
  <conditionalFormatting sqref="E313">
    <cfRule type="expression" dxfId="3671" priority="2196">
      <formula>#REF!="Level 5 - Biology"</formula>
    </cfRule>
  </conditionalFormatting>
  <conditionalFormatting sqref="E312">
    <cfRule type="expression" dxfId="3670" priority="2211">
      <formula>#REF!="Level 5 - Biology"</formula>
    </cfRule>
  </conditionalFormatting>
  <conditionalFormatting sqref="E311">
    <cfRule type="expression" dxfId="3669" priority="2182">
      <formula>B130="Level 5 - Biology"</formula>
    </cfRule>
  </conditionalFormatting>
  <conditionalFormatting sqref="E308:E311">
    <cfRule type="beginsWith" dxfId="3668" priority="2179" stopIfTrue="1" operator="beginsWith" text="Functioning At Risk">
      <formula>LEFT(E308,LEN("Functioning At Risk"))="Functioning At Risk"</formula>
    </cfRule>
    <cfRule type="beginsWith" dxfId="3667" priority="2180" stopIfTrue="1" operator="beginsWith" text="Not Functioning">
      <formula>LEFT(E308,LEN("Not Functioning"))="Not Functioning"</formula>
    </cfRule>
    <cfRule type="containsText" dxfId="3666" priority="2181" operator="containsText" text="Functioning">
      <formula>NOT(ISERROR(SEARCH("Functioning",E308)))</formula>
    </cfRule>
  </conditionalFormatting>
  <conditionalFormatting sqref="E308:E310">
    <cfRule type="expression" dxfId="3665" priority="2183">
      <formula>B129="Level 5 - Biology"</formula>
    </cfRule>
  </conditionalFormatting>
  <conditionalFormatting sqref="E353">
    <cfRule type="beginsWith" dxfId="3664" priority="2167" stopIfTrue="1" operator="beginsWith" text="Functioning At Risk">
      <formula>LEFT(E353,LEN("Functioning At Risk"))="Functioning At Risk"</formula>
    </cfRule>
    <cfRule type="beginsWith" dxfId="3663" priority="2168" stopIfTrue="1" operator="beginsWith" text="Not Functioning">
      <formula>LEFT(E353,LEN("Not Functioning"))="Not Functioning"</formula>
    </cfRule>
    <cfRule type="containsText" dxfId="3662" priority="2169" operator="containsText" text="Functioning">
      <formula>NOT(ISERROR(SEARCH("Functioning",E353)))</formula>
    </cfRule>
  </conditionalFormatting>
  <conditionalFormatting sqref="E353">
    <cfRule type="expression" dxfId="3661" priority="2163">
      <formula>#REF!="Level 5 - Biology"</formula>
    </cfRule>
  </conditionalFormatting>
  <conditionalFormatting sqref="E352">
    <cfRule type="expression" dxfId="3660" priority="2178">
      <formula>#REF!="Level 5 - Biology"</formula>
    </cfRule>
  </conditionalFormatting>
  <conditionalFormatting sqref="E351">
    <cfRule type="expression" dxfId="3659" priority="2149">
      <formula>B170="Level 5 - Biology"</formula>
    </cfRule>
  </conditionalFormatting>
  <conditionalFormatting sqref="E348:E351">
    <cfRule type="beginsWith" dxfId="3658" priority="2146" stopIfTrue="1" operator="beginsWith" text="Functioning At Risk">
      <formula>LEFT(E348,LEN("Functioning At Risk"))="Functioning At Risk"</formula>
    </cfRule>
    <cfRule type="beginsWith" dxfId="3657" priority="2147" stopIfTrue="1" operator="beginsWith" text="Not Functioning">
      <formula>LEFT(E348,LEN("Not Functioning"))="Not Functioning"</formula>
    </cfRule>
    <cfRule type="containsText" dxfId="3656" priority="2148" operator="containsText" text="Functioning">
      <formula>NOT(ISERROR(SEARCH("Functioning",E348)))</formula>
    </cfRule>
  </conditionalFormatting>
  <conditionalFormatting sqref="E348:E350">
    <cfRule type="expression" dxfId="3655" priority="2150">
      <formula>B169="Level 5 - Biology"</formula>
    </cfRule>
  </conditionalFormatting>
  <conditionalFormatting sqref="E392 E360:E361">
    <cfRule type="beginsWith" dxfId="3654" priority="2137" stopIfTrue="1" operator="beginsWith" text="Functioning At Risk">
      <formula>LEFT(E360,LEN("Functioning At Risk"))="Functioning At Risk"</formula>
    </cfRule>
    <cfRule type="beginsWith" dxfId="3653" priority="2138" stopIfTrue="1" operator="beginsWith" text="Not Functioning">
      <formula>LEFT(E360,LEN("Not Functioning"))="Not Functioning"</formula>
    </cfRule>
    <cfRule type="containsText" dxfId="3652" priority="2139" operator="containsText" text="Functioning">
      <formula>NOT(ISERROR(SEARCH("Functioning",E360)))</formula>
    </cfRule>
  </conditionalFormatting>
  <conditionalFormatting sqref="E393">
    <cfRule type="beginsWith" dxfId="3651" priority="2134" stopIfTrue="1" operator="beginsWith" text="Functioning At Risk">
      <formula>LEFT(E393,LEN("Functioning At Risk"))="Functioning At Risk"</formula>
    </cfRule>
    <cfRule type="beginsWith" dxfId="3650" priority="2135" stopIfTrue="1" operator="beginsWith" text="Not Functioning">
      <formula>LEFT(E393,LEN("Not Functioning"))="Not Functioning"</formula>
    </cfRule>
    <cfRule type="containsText" dxfId="3649" priority="2136" operator="containsText" text="Functioning">
      <formula>NOT(ISERROR(SEARCH("Functioning",E393)))</formula>
    </cfRule>
  </conditionalFormatting>
  <conditionalFormatting sqref="E393">
    <cfRule type="expression" dxfId="3648" priority="2130">
      <formula>#REF!="Level 5 - Biology"</formula>
    </cfRule>
  </conditionalFormatting>
  <conditionalFormatting sqref="E392">
    <cfRule type="expression" dxfId="3647" priority="2145">
      <formula>#REF!="Level 5 - Biology"</formula>
    </cfRule>
  </conditionalFormatting>
  <conditionalFormatting sqref="E391">
    <cfRule type="expression" dxfId="3646" priority="2116">
      <formula>B210="Level 5 - Biology"</formula>
    </cfRule>
  </conditionalFormatting>
  <conditionalFormatting sqref="E388:E391">
    <cfRule type="beginsWith" dxfId="3645" priority="2113" stopIfTrue="1" operator="beginsWith" text="Functioning At Risk">
      <formula>LEFT(E388,LEN("Functioning At Risk"))="Functioning At Risk"</formula>
    </cfRule>
    <cfRule type="beginsWith" dxfId="3644" priority="2114" stopIfTrue="1" operator="beginsWith" text="Not Functioning">
      <formula>LEFT(E388,LEN("Not Functioning"))="Not Functioning"</formula>
    </cfRule>
    <cfRule type="containsText" dxfId="3643" priority="2115" operator="containsText" text="Functioning">
      <formula>NOT(ISERROR(SEARCH("Functioning",E388)))</formula>
    </cfRule>
  </conditionalFormatting>
  <conditionalFormatting sqref="E388:E390">
    <cfRule type="expression" dxfId="3642" priority="2117">
      <formula>B209="Level 5 - Biology"</formula>
    </cfRule>
  </conditionalFormatting>
  <conditionalFormatting sqref="E432 E400:E401">
    <cfRule type="beginsWith" dxfId="3641" priority="2104" stopIfTrue="1" operator="beginsWith" text="Functioning At Risk">
      <formula>LEFT(E400,LEN("Functioning At Risk"))="Functioning At Risk"</formula>
    </cfRule>
    <cfRule type="beginsWith" dxfId="3640" priority="2105" stopIfTrue="1" operator="beginsWith" text="Not Functioning">
      <formula>LEFT(E400,LEN("Not Functioning"))="Not Functioning"</formula>
    </cfRule>
    <cfRule type="containsText" dxfId="3639" priority="2106" operator="containsText" text="Functioning">
      <formula>NOT(ISERROR(SEARCH("Functioning",E400)))</formula>
    </cfRule>
  </conditionalFormatting>
  <conditionalFormatting sqref="E433">
    <cfRule type="beginsWith" dxfId="3638" priority="2101" stopIfTrue="1" operator="beginsWith" text="Functioning At Risk">
      <formula>LEFT(E433,LEN("Functioning At Risk"))="Functioning At Risk"</formula>
    </cfRule>
    <cfRule type="beginsWith" dxfId="3637" priority="2102" stopIfTrue="1" operator="beginsWith" text="Not Functioning">
      <formula>LEFT(E433,LEN("Not Functioning"))="Not Functioning"</formula>
    </cfRule>
    <cfRule type="containsText" dxfId="3636" priority="2103" operator="containsText" text="Functioning">
      <formula>NOT(ISERROR(SEARCH("Functioning",E433)))</formula>
    </cfRule>
  </conditionalFormatting>
  <conditionalFormatting sqref="E433">
    <cfRule type="expression" dxfId="3635" priority="2097">
      <formula>#REF!="Level 5 - Biology"</formula>
    </cfRule>
  </conditionalFormatting>
  <conditionalFormatting sqref="E432">
    <cfRule type="expression" dxfId="3634" priority="2112">
      <formula>#REF!="Level 5 - Biology"</formula>
    </cfRule>
  </conditionalFormatting>
  <conditionalFormatting sqref="E431">
    <cfRule type="expression" dxfId="3633" priority="2083">
      <formula>B250="Level 5 - Biology"</formula>
    </cfRule>
  </conditionalFormatting>
  <conditionalFormatting sqref="E428:E431">
    <cfRule type="beginsWith" dxfId="3632" priority="2080" stopIfTrue="1" operator="beginsWith" text="Functioning At Risk">
      <formula>LEFT(E428,LEN("Functioning At Risk"))="Functioning At Risk"</formula>
    </cfRule>
    <cfRule type="beginsWith" dxfId="3631" priority="2081" stopIfTrue="1" operator="beginsWith" text="Not Functioning">
      <formula>LEFT(E428,LEN("Not Functioning"))="Not Functioning"</formula>
    </cfRule>
    <cfRule type="containsText" dxfId="3630" priority="2082" operator="containsText" text="Functioning">
      <formula>NOT(ISERROR(SEARCH("Functioning",E428)))</formula>
    </cfRule>
  </conditionalFormatting>
  <conditionalFormatting sqref="E428:E430">
    <cfRule type="expression" dxfId="3629" priority="2084">
      <formula>B249="Level 5 - Biology"</formula>
    </cfRule>
  </conditionalFormatting>
  <conditionalFormatting sqref="B72:B74">
    <cfRule type="beginsWith" dxfId="3628" priority="2077" stopIfTrue="1" operator="beginsWith" text="Functioning At Risk">
      <formula>LEFT(B72,LEN("Functioning At Risk"))="Functioning At Risk"</formula>
    </cfRule>
    <cfRule type="beginsWith" dxfId="3627" priority="2078" stopIfTrue="1" operator="beginsWith" text="Not Functioning">
      <formula>LEFT(B72,LEN("Not Functioning"))="Not Functioning"</formula>
    </cfRule>
    <cfRule type="containsText" dxfId="3626" priority="2079" operator="containsText" text="Functioning">
      <formula>NOT(ISERROR(SEARCH("Functioning",B72)))</formula>
    </cfRule>
  </conditionalFormatting>
  <conditionalFormatting sqref="B111:B113">
    <cfRule type="beginsWith" dxfId="3625" priority="2074" stopIfTrue="1" operator="beginsWith" text="Functioning At Risk">
      <formula>LEFT(B111,LEN("Functioning At Risk"))="Functioning At Risk"</formula>
    </cfRule>
    <cfRule type="beginsWith" dxfId="3624" priority="2075" stopIfTrue="1" operator="beginsWith" text="Not Functioning">
      <formula>LEFT(B111,LEN("Not Functioning"))="Not Functioning"</formula>
    </cfRule>
    <cfRule type="containsText" dxfId="3623" priority="2076" operator="containsText" text="Functioning">
      <formula>NOT(ISERROR(SEARCH("Functioning",B111)))</formula>
    </cfRule>
  </conditionalFormatting>
  <conditionalFormatting sqref="B150:B152">
    <cfRule type="beginsWith" dxfId="3622" priority="2071" stopIfTrue="1" operator="beginsWith" text="Functioning At Risk">
      <formula>LEFT(B150,LEN("Functioning At Risk"))="Functioning At Risk"</formula>
    </cfRule>
    <cfRule type="beginsWith" dxfId="3621" priority="2072" stopIfTrue="1" operator="beginsWith" text="Not Functioning">
      <formula>LEFT(B150,LEN("Not Functioning"))="Not Functioning"</formula>
    </cfRule>
    <cfRule type="containsText" dxfId="3620" priority="2073" operator="containsText" text="Functioning">
      <formula>NOT(ISERROR(SEARCH("Functioning",B150)))</formula>
    </cfRule>
  </conditionalFormatting>
  <conditionalFormatting sqref="B189:B191">
    <cfRule type="beginsWith" dxfId="3619" priority="2068" stopIfTrue="1" operator="beginsWith" text="Functioning At Risk">
      <formula>LEFT(B189,LEN("Functioning At Risk"))="Functioning At Risk"</formula>
    </cfRule>
    <cfRule type="beginsWith" dxfId="3618" priority="2069" stopIfTrue="1" operator="beginsWith" text="Not Functioning">
      <formula>LEFT(B189,LEN("Not Functioning"))="Not Functioning"</formula>
    </cfRule>
    <cfRule type="containsText" dxfId="3617" priority="2070" operator="containsText" text="Functioning">
      <formula>NOT(ISERROR(SEARCH("Functioning",B189)))</formula>
    </cfRule>
  </conditionalFormatting>
  <conditionalFormatting sqref="B228:B230">
    <cfRule type="beginsWith" dxfId="3616" priority="2065" stopIfTrue="1" operator="beginsWith" text="Functioning At Risk">
      <formula>LEFT(B228,LEN("Functioning At Risk"))="Functioning At Risk"</formula>
    </cfRule>
    <cfRule type="beginsWith" dxfId="3615" priority="2066" stopIfTrue="1" operator="beginsWith" text="Not Functioning">
      <formula>LEFT(B228,LEN("Not Functioning"))="Not Functioning"</formula>
    </cfRule>
    <cfRule type="containsText" dxfId="3614" priority="2067" operator="containsText" text="Functioning">
      <formula>NOT(ISERROR(SEARCH("Functioning",B228)))</formula>
    </cfRule>
  </conditionalFormatting>
  <conditionalFormatting sqref="B268:B270">
    <cfRule type="beginsWith" dxfId="3613" priority="2062" stopIfTrue="1" operator="beginsWith" text="Functioning At Risk">
      <formula>LEFT(B268,LEN("Functioning At Risk"))="Functioning At Risk"</formula>
    </cfRule>
    <cfRule type="beginsWith" dxfId="3612" priority="2063" stopIfTrue="1" operator="beginsWith" text="Not Functioning">
      <formula>LEFT(B268,LEN("Not Functioning"))="Not Functioning"</formula>
    </cfRule>
    <cfRule type="containsText" dxfId="3611" priority="2064" operator="containsText" text="Functioning">
      <formula>NOT(ISERROR(SEARCH("Functioning",B268)))</formula>
    </cfRule>
  </conditionalFormatting>
  <conditionalFormatting sqref="B308:B310">
    <cfRule type="beginsWith" dxfId="3610" priority="2059" stopIfTrue="1" operator="beginsWith" text="Functioning At Risk">
      <formula>LEFT(B308,LEN("Functioning At Risk"))="Functioning At Risk"</formula>
    </cfRule>
    <cfRule type="beginsWith" dxfId="3609" priority="2060" stopIfTrue="1" operator="beginsWith" text="Not Functioning">
      <formula>LEFT(B308,LEN("Not Functioning"))="Not Functioning"</formula>
    </cfRule>
    <cfRule type="containsText" dxfId="3608" priority="2061" operator="containsText" text="Functioning">
      <formula>NOT(ISERROR(SEARCH("Functioning",B308)))</formula>
    </cfRule>
  </conditionalFormatting>
  <conditionalFormatting sqref="B348:B350">
    <cfRule type="beginsWith" dxfId="3607" priority="2056" stopIfTrue="1" operator="beginsWith" text="Functioning At Risk">
      <formula>LEFT(B348,LEN("Functioning At Risk"))="Functioning At Risk"</formula>
    </cfRule>
    <cfRule type="beginsWith" dxfId="3606" priority="2057" stopIfTrue="1" operator="beginsWith" text="Not Functioning">
      <formula>LEFT(B348,LEN("Not Functioning"))="Not Functioning"</formula>
    </cfRule>
    <cfRule type="containsText" dxfId="3605" priority="2058" operator="containsText" text="Functioning">
      <formula>NOT(ISERROR(SEARCH("Functioning",B348)))</formula>
    </cfRule>
  </conditionalFormatting>
  <conditionalFormatting sqref="B388:B390">
    <cfRule type="beginsWith" dxfId="3604" priority="2053" stopIfTrue="1" operator="beginsWith" text="Functioning At Risk">
      <formula>LEFT(B388,LEN("Functioning At Risk"))="Functioning At Risk"</formula>
    </cfRule>
    <cfRule type="beginsWith" dxfId="3603" priority="2054" stopIfTrue="1" operator="beginsWith" text="Not Functioning">
      <formula>LEFT(B388,LEN("Not Functioning"))="Not Functioning"</formula>
    </cfRule>
    <cfRule type="containsText" dxfId="3602" priority="2055" operator="containsText" text="Functioning">
      <formula>NOT(ISERROR(SEARCH("Functioning",B388)))</formula>
    </cfRule>
  </conditionalFormatting>
  <conditionalFormatting sqref="B428:B430">
    <cfRule type="beginsWith" dxfId="3601" priority="2050" stopIfTrue="1" operator="beginsWith" text="Functioning At Risk">
      <formula>LEFT(B428,LEN("Functioning At Risk"))="Functioning At Risk"</formula>
    </cfRule>
    <cfRule type="beginsWith" dxfId="3600" priority="2051" stopIfTrue="1" operator="beginsWith" text="Not Functioning">
      <formula>LEFT(B428,LEN("Not Functioning"))="Not Functioning"</formula>
    </cfRule>
    <cfRule type="containsText" dxfId="3599" priority="2052" operator="containsText" text="Functioning">
      <formula>NOT(ISERROR(SEARCH("Functioning",B428)))</formula>
    </cfRule>
  </conditionalFormatting>
  <conditionalFormatting sqref="C13:C15 C30:C31 C24:C25 C36 C28 C5:C8 C33:C34">
    <cfRule type="beginsWith" dxfId="3598" priority="2017" stopIfTrue="1" operator="beginsWith" text="Functioning At Risk">
      <formula>LEFT(C5,LEN("Functioning At Risk"))="Functioning At Risk"</formula>
    </cfRule>
    <cfRule type="beginsWith" dxfId="3597" priority="2018" stopIfTrue="1" operator="beginsWith" text="Not Functioning">
      <formula>LEFT(C5,LEN("Not Functioning"))="Not Functioning"</formula>
    </cfRule>
    <cfRule type="containsText" dxfId="3596" priority="2019" operator="containsText" text="Functioning">
      <formula>NOT(ISERROR(SEARCH("Functioning",C5)))</formula>
    </cfRule>
  </conditionalFormatting>
  <conditionalFormatting sqref="C16">
    <cfRule type="beginsWith" dxfId="3595" priority="2014" stopIfTrue="1" operator="beginsWith" text="Functioning At Risk">
      <formula>LEFT(C16,LEN("Functioning At Risk"))="Functioning At Risk"</formula>
    </cfRule>
    <cfRule type="beginsWith" dxfId="3594" priority="2015" stopIfTrue="1" operator="beginsWith" text="Not Functioning">
      <formula>LEFT(C16,LEN("Not Functioning"))="Not Functioning"</formula>
    </cfRule>
    <cfRule type="containsText" dxfId="3593" priority="2016" operator="containsText" text="Functioning">
      <formula>NOT(ISERROR(SEARCH("Functioning",C16)))</formula>
    </cfRule>
  </conditionalFormatting>
  <conditionalFormatting sqref="C23">
    <cfRule type="beginsWith" dxfId="3592" priority="2011" stopIfTrue="1" operator="beginsWith" text="Functioning At Risk">
      <formula>LEFT(C23,LEN("Functioning At Risk"))="Functioning At Risk"</formula>
    </cfRule>
    <cfRule type="beginsWith" dxfId="3591" priority="2012" stopIfTrue="1" operator="beginsWith" text="Not Functioning">
      <formula>LEFT(C23,LEN("Not Functioning"))="Not Functioning"</formula>
    </cfRule>
    <cfRule type="containsText" dxfId="3590" priority="2013" operator="containsText" text="Functioning">
      <formula>NOT(ISERROR(SEARCH("Functioning",C23)))</formula>
    </cfRule>
  </conditionalFormatting>
  <conditionalFormatting sqref="C17:C20">
    <cfRule type="beginsWith" dxfId="3589" priority="2008" stopIfTrue="1" operator="beginsWith" text="Functioning At Risk">
      <formula>LEFT(C17,LEN("Functioning At Risk"))="Functioning At Risk"</formula>
    </cfRule>
    <cfRule type="beginsWith" dxfId="3588" priority="2009" stopIfTrue="1" operator="beginsWith" text="Not Functioning">
      <formula>LEFT(C17,LEN("Not Functioning"))="Not Functioning"</formula>
    </cfRule>
    <cfRule type="containsText" dxfId="3587" priority="2010" operator="containsText" text="Functioning">
      <formula>NOT(ISERROR(SEARCH("Functioning",C17)))</formula>
    </cfRule>
  </conditionalFormatting>
  <conditionalFormatting sqref="C26">
    <cfRule type="beginsWith" dxfId="3586" priority="2005" stopIfTrue="1" operator="beginsWith" text="Functioning At Risk">
      <formula>LEFT(C26,LEN("Functioning At Risk"))="Functioning At Risk"</formula>
    </cfRule>
    <cfRule type="beginsWith" dxfId="3585" priority="2006" stopIfTrue="1" operator="beginsWith" text="Not Functioning">
      <formula>LEFT(C26,LEN("Not Functioning"))="Not Functioning"</formula>
    </cfRule>
    <cfRule type="containsText" dxfId="3584" priority="2007" operator="containsText" text="Functioning">
      <formula>NOT(ISERROR(SEARCH("Functioning",C26)))</formula>
    </cfRule>
  </conditionalFormatting>
  <conditionalFormatting sqref="C27">
    <cfRule type="beginsWith" dxfId="3583" priority="2002" stopIfTrue="1" operator="beginsWith" text="Functioning At Risk">
      <formula>LEFT(C27,LEN("Functioning At Risk"))="Functioning At Risk"</formula>
    </cfRule>
    <cfRule type="beginsWith" dxfId="3582" priority="2003" stopIfTrue="1" operator="beginsWith" text="Not Functioning">
      <formula>LEFT(C27,LEN("Not Functioning"))="Not Functioning"</formula>
    </cfRule>
    <cfRule type="containsText" dxfId="3581" priority="2004" operator="containsText" text="Functioning">
      <formula>NOT(ISERROR(SEARCH("Functioning",C27)))</formula>
    </cfRule>
  </conditionalFormatting>
  <conditionalFormatting sqref="C38">
    <cfRule type="beginsWith" dxfId="3580" priority="1996" stopIfTrue="1" operator="beginsWith" text="Functioning At Risk">
      <formula>LEFT(C38,LEN("Functioning At Risk"))="Functioning At Risk"</formula>
    </cfRule>
    <cfRule type="beginsWith" dxfId="3579" priority="1997" stopIfTrue="1" operator="beginsWith" text="Not Functioning">
      <formula>LEFT(C38,LEN("Not Functioning"))="Not Functioning"</formula>
    </cfRule>
    <cfRule type="containsText" dxfId="3578" priority="1998" operator="containsText" text="Functioning">
      <formula>NOT(ISERROR(SEARCH("Functioning",C38)))</formula>
    </cfRule>
  </conditionalFormatting>
  <conditionalFormatting sqref="C37">
    <cfRule type="beginsWith" dxfId="3577" priority="1999" stopIfTrue="1" operator="beginsWith" text="Functioning At Risk">
      <formula>LEFT(C37,LEN("Functioning At Risk"))="Functioning At Risk"</formula>
    </cfRule>
    <cfRule type="beginsWith" dxfId="3576" priority="2000" stopIfTrue="1" operator="beginsWith" text="Not Functioning">
      <formula>LEFT(C37,LEN("Not Functioning"))="Not Functioning"</formula>
    </cfRule>
    <cfRule type="containsText" dxfId="3575" priority="2001" operator="containsText" text="Functioning">
      <formula>NOT(ISERROR(SEARCH("Functioning",C37)))</formula>
    </cfRule>
  </conditionalFormatting>
  <conditionalFormatting sqref="C35">
    <cfRule type="beginsWith" dxfId="3574" priority="1993" stopIfTrue="1" operator="beginsWith" text="Functioning At Risk">
      <formula>LEFT(C35,LEN("Functioning At Risk"))="Functioning At Risk"</formula>
    </cfRule>
    <cfRule type="beginsWith" dxfId="3573" priority="1994" stopIfTrue="1" operator="beginsWith" text="Not Functioning">
      <formula>LEFT(C35,LEN("Not Functioning"))="Not Functioning"</formula>
    </cfRule>
    <cfRule type="containsText" dxfId="3572" priority="1995" operator="containsText" text="Functioning">
      <formula>NOT(ISERROR(SEARCH("Functioning",C35)))</formula>
    </cfRule>
  </conditionalFormatting>
  <conditionalFormatting sqref="C21:C22">
    <cfRule type="beginsWith" dxfId="3571" priority="1990" stopIfTrue="1" operator="beginsWith" text="Functioning At Risk">
      <formula>LEFT(C21,LEN("Functioning At Risk"))="Functioning At Risk"</formula>
    </cfRule>
    <cfRule type="beginsWith" dxfId="3570" priority="1991" stopIfTrue="1" operator="beginsWith" text="Not Functioning">
      <formula>LEFT(C21,LEN("Not Functioning"))="Not Functioning"</formula>
    </cfRule>
    <cfRule type="containsText" dxfId="3569" priority="1992" operator="containsText" text="Functioning">
      <formula>NOT(ISERROR(SEARCH("Functioning",C21)))</formula>
    </cfRule>
  </conditionalFormatting>
  <conditionalFormatting sqref="C52:C54 C69:C70 C63:C64 C75 C67 C44:C47 C72:C73">
    <cfRule type="beginsWith" dxfId="3568" priority="1987" stopIfTrue="1" operator="beginsWith" text="Functioning At Risk">
      <formula>LEFT(C44,LEN("Functioning At Risk"))="Functioning At Risk"</formula>
    </cfRule>
    <cfRule type="beginsWith" dxfId="3567" priority="1988" stopIfTrue="1" operator="beginsWith" text="Not Functioning">
      <formula>LEFT(C44,LEN("Not Functioning"))="Not Functioning"</formula>
    </cfRule>
    <cfRule type="containsText" dxfId="3566" priority="1989" operator="containsText" text="Functioning">
      <formula>NOT(ISERROR(SEARCH("Functioning",C44)))</formula>
    </cfRule>
  </conditionalFormatting>
  <conditionalFormatting sqref="C55">
    <cfRule type="beginsWith" dxfId="3565" priority="1984" stopIfTrue="1" operator="beginsWith" text="Functioning At Risk">
      <formula>LEFT(C55,LEN("Functioning At Risk"))="Functioning At Risk"</formula>
    </cfRule>
    <cfRule type="beginsWith" dxfId="3564" priority="1985" stopIfTrue="1" operator="beginsWith" text="Not Functioning">
      <formula>LEFT(C55,LEN("Not Functioning"))="Not Functioning"</formula>
    </cfRule>
    <cfRule type="containsText" dxfId="3563" priority="1986" operator="containsText" text="Functioning">
      <formula>NOT(ISERROR(SEARCH("Functioning",C55)))</formula>
    </cfRule>
  </conditionalFormatting>
  <conditionalFormatting sqref="C62">
    <cfRule type="beginsWith" dxfId="3562" priority="1981" stopIfTrue="1" operator="beginsWith" text="Functioning At Risk">
      <formula>LEFT(C62,LEN("Functioning At Risk"))="Functioning At Risk"</formula>
    </cfRule>
    <cfRule type="beginsWith" dxfId="3561" priority="1982" stopIfTrue="1" operator="beginsWith" text="Not Functioning">
      <formula>LEFT(C62,LEN("Not Functioning"))="Not Functioning"</formula>
    </cfRule>
    <cfRule type="containsText" dxfId="3560" priority="1983" operator="containsText" text="Functioning">
      <formula>NOT(ISERROR(SEARCH("Functioning",C62)))</formula>
    </cfRule>
  </conditionalFormatting>
  <conditionalFormatting sqref="C56:C59">
    <cfRule type="beginsWith" dxfId="3559" priority="1978" stopIfTrue="1" operator="beginsWith" text="Functioning At Risk">
      <formula>LEFT(C56,LEN("Functioning At Risk"))="Functioning At Risk"</formula>
    </cfRule>
    <cfRule type="beginsWith" dxfId="3558" priority="1979" stopIfTrue="1" operator="beginsWith" text="Not Functioning">
      <formula>LEFT(C56,LEN("Not Functioning"))="Not Functioning"</formula>
    </cfRule>
    <cfRule type="containsText" dxfId="3557" priority="1980" operator="containsText" text="Functioning">
      <formula>NOT(ISERROR(SEARCH("Functioning",C56)))</formula>
    </cfRule>
  </conditionalFormatting>
  <conditionalFormatting sqref="C65">
    <cfRule type="beginsWith" dxfId="3556" priority="1975" stopIfTrue="1" operator="beginsWith" text="Functioning At Risk">
      <formula>LEFT(C65,LEN("Functioning At Risk"))="Functioning At Risk"</formula>
    </cfRule>
    <cfRule type="beginsWith" dxfId="3555" priority="1976" stopIfTrue="1" operator="beginsWith" text="Not Functioning">
      <formula>LEFT(C65,LEN("Not Functioning"))="Not Functioning"</formula>
    </cfRule>
    <cfRule type="containsText" dxfId="3554" priority="1977" operator="containsText" text="Functioning">
      <formula>NOT(ISERROR(SEARCH("Functioning",C65)))</formula>
    </cfRule>
  </conditionalFormatting>
  <conditionalFormatting sqref="C66">
    <cfRule type="beginsWith" dxfId="3553" priority="1972" stopIfTrue="1" operator="beginsWith" text="Functioning At Risk">
      <formula>LEFT(C66,LEN("Functioning At Risk"))="Functioning At Risk"</formula>
    </cfRule>
    <cfRule type="beginsWith" dxfId="3552" priority="1973" stopIfTrue="1" operator="beginsWith" text="Not Functioning">
      <formula>LEFT(C66,LEN("Not Functioning"))="Not Functioning"</formula>
    </cfRule>
    <cfRule type="containsText" dxfId="3551" priority="1974" operator="containsText" text="Functioning">
      <formula>NOT(ISERROR(SEARCH("Functioning",C66)))</formula>
    </cfRule>
  </conditionalFormatting>
  <conditionalFormatting sqref="C77">
    <cfRule type="beginsWith" dxfId="3550" priority="1966" stopIfTrue="1" operator="beginsWith" text="Functioning At Risk">
      <formula>LEFT(C77,LEN("Functioning At Risk"))="Functioning At Risk"</formula>
    </cfRule>
    <cfRule type="beginsWith" dxfId="3549" priority="1967" stopIfTrue="1" operator="beginsWith" text="Not Functioning">
      <formula>LEFT(C77,LEN("Not Functioning"))="Not Functioning"</formula>
    </cfRule>
    <cfRule type="containsText" dxfId="3548" priority="1968" operator="containsText" text="Functioning">
      <formula>NOT(ISERROR(SEARCH("Functioning",C77)))</formula>
    </cfRule>
  </conditionalFormatting>
  <conditionalFormatting sqref="C76">
    <cfRule type="beginsWith" dxfId="3547" priority="1969" stopIfTrue="1" operator="beginsWith" text="Functioning At Risk">
      <formula>LEFT(C76,LEN("Functioning At Risk"))="Functioning At Risk"</formula>
    </cfRule>
    <cfRule type="beginsWith" dxfId="3546" priority="1970" stopIfTrue="1" operator="beginsWith" text="Not Functioning">
      <formula>LEFT(C76,LEN("Not Functioning"))="Not Functioning"</formula>
    </cfRule>
    <cfRule type="containsText" dxfId="3545" priority="1971" operator="containsText" text="Functioning">
      <formula>NOT(ISERROR(SEARCH("Functioning",C76)))</formula>
    </cfRule>
  </conditionalFormatting>
  <conditionalFormatting sqref="C74">
    <cfRule type="beginsWith" dxfId="3544" priority="1963" stopIfTrue="1" operator="beginsWith" text="Functioning At Risk">
      <formula>LEFT(C74,LEN("Functioning At Risk"))="Functioning At Risk"</formula>
    </cfRule>
    <cfRule type="beginsWith" dxfId="3543" priority="1964" stopIfTrue="1" operator="beginsWith" text="Not Functioning">
      <formula>LEFT(C74,LEN("Not Functioning"))="Not Functioning"</formula>
    </cfRule>
    <cfRule type="containsText" dxfId="3542" priority="1965" operator="containsText" text="Functioning">
      <formula>NOT(ISERROR(SEARCH("Functioning",C74)))</formula>
    </cfRule>
  </conditionalFormatting>
  <conditionalFormatting sqref="C60:C61">
    <cfRule type="beginsWith" dxfId="3541" priority="1960" stopIfTrue="1" operator="beginsWith" text="Functioning At Risk">
      <formula>LEFT(C60,LEN("Functioning At Risk"))="Functioning At Risk"</formula>
    </cfRule>
    <cfRule type="beginsWith" dxfId="3540" priority="1961" stopIfTrue="1" operator="beginsWith" text="Not Functioning">
      <formula>LEFT(C60,LEN("Not Functioning"))="Not Functioning"</formula>
    </cfRule>
    <cfRule type="containsText" dxfId="3539" priority="1962" operator="containsText" text="Functioning">
      <formula>NOT(ISERROR(SEARCH("Functioning",C60)))</formula>
    </cfRule>
  </conditionalFormatting>
  <conditionalFormatting sqref="C91:C93 C108:C109 C102:C103 C114 C106 C83:C86 C111:C112">
    <cfRule type="beginsWith" dxfId="3538" priority="1957" stopIfTrue="1" operator="beginsWith" text="Functioning At Risk">
      <formula>LEFT(C83,LEN("Functioning At Risk"))="Functioning At Risk"</formula>
    </cfRule>
    <cfRule type="beginsWith" dxfId="3537" priority="1958" stopIfTrue="1" operator="beginsWith" text="Not Functioning">
      <formula>LEFT(C83,LEN("Not Functioning"))="Not Functioning"</formula>
    </cfRule>
    <cfRule type="containsText" dxfId="3536" priority="1959" operator="containsText" text="Functioning">
      <formula>NOT(ISERROR(SEARCH("Functioning",C83)))</formula>
    </cfRule>
  </conditionalFormatting>
  <conditionalFormatting sqref="C94">
    <cfRule type="beginsWith" dxfId="3535" priority="1954" stopIfTrue="1" operator="beginsWith" text="Functioning At Risk">
      <formula>LEFT(C94,LEN("Functioning At Risk"))="Functioning At Risk"</formula>
    </cfRule>
    <cfRule type="beginsWith" dxfId="3534" priority="1955" stopIfTrue="1" operator="beginsWith" text="Not Functioning">
      <formula>LEFT(C94,LEN("Not Functioning"))="Not Functioning"</formula>
    </cfRule>
    <cfRule type="containsText" dxfId="3533" priority="1956" operator="containsText" text="Functioning">
      <formula>NOT(ISERROR(SEARCH("Functioning",C94)))</formula>
    </cfRule>
  </conditionalFormatting>
  <conditionalFormatting sqref="C101">
    <cfRule type="beginsWith" dxfId="3532" priority="1951" stopIfTrue="1" operator="beginsWith" text="Functioning At Risk">
      <formula>LEFT(C101,LEN("Functioning At Risk"))="Functioning At Risk"</formula>
    </cfRule>
    <cfRule type="beginsWith" dxfId="3531" priority="1952" stopIfTrue="1" operator="beginsWith" text="Not Functioning">
      <formula>LEFT(C101,LEN("Not Functioning"))="Not Functioning"</formula>
    </cfRule>
    <cfRule type="containsText" dxfId="3530" priority="1953" operator="containsText" text="Functioning">
      <formula>NOT(ISERROR(SEARCH("Functioning",C101)))</formula>
    </cfRule>
  </conditionalFormatting>
  <conditionalFormatting sqref="C95:C98">
    <cfRule type="beginsWith" dxfId="3529" priority="1948" stopIfTrue="1" operator="beginsWith" text="Functioning At Risk">
      <formula>LEFT(C95,LEN("Functioning At Risk"))="Functioning At Risk"</formula>
    </cfRule>
    <cfRule type="beginsWith" dxfId="3528" priority="1949" stopIfTrue="1" operator="beginsWith" text="Not Functioning">
      <formula>LEFT(C95,LEN("Not Functioning"))="Not Functioning"</formula>
    </cfRule>
    <cfRule type="containsText" dxfId="3527" priority="1950" operator="containsText" text="Functioning">
      <formula>NOT(ISERROR(SEARCH("Functioning",C95)))</formula>
    </cfRule>
  </conditionalFormatting>
  <conditionalFormatting sqref="C104">
    <cfRule type="beginsWith" dxfId="3526" priority="1945" stopIfTrue="1" operator="beginsWith" text="Functioning At Risk">
      <formula>LEFT(C104,LEN("Functioning At Risk"))="Functioning At Risk"</formula>
    </cfRule>
    <cfRule type="beginsWith" dxfId="3525" priority="1946" stopIfTrue="1" operator="beginsWith" text="Not Functioning">
      <formula>LEFT(C104,LEN("Not Functioning"))="Not Functioning"</formula>
    </cfRule>
    <cfRule type="containsText" dxfId="3524" priority="1947" operator="containsText" text="Functioning">
      <formula>NOT(ISERROR(SEARCH("Functioning",C104)))</formula>
    </cfRule>
  </conditionalFormatting>
  <conditionalFormatting sqref="C105">
    <cfRule type="beginsWith" dxfId="3523" priority="1942" stopIfTrue="1" operator="beginsWith" text="Functioning At Risk">
      <formula>LEFT(C105,LEN("Functioning At Risk"))="Functioning At Risk"</formula>
    </cfRule>
    <cfRule type="beginsWith" dxfId="3522" priority="1943" stopIfTrue="1" operator="beginsWith" text="Not Functioning">
      <formula>LEFT(C105,LEN("Not Functioning"))="Not Functioning"</formula>
    </cfRule>
    <cfRule type="containsText" dxfId="3521" priority="1944" operator="containsText" text="Functioning">
      <formula>NOT(ISERROR(SEARCH("Functioning",C105)))</formula>
    </cfRule>
  </conditionalFormatting>
  <conditionalFormatting sqref="C116">
    <cfRule type="beginsWith" dxfId="3520" priority="1936" stopIfTrue="1" operator="beginsWith" text="Functioning At Risk">
      <formula>LEFT(C116,LEN("Functioning At Risk"))="Functioning At Risk"</formula>
    </cfRule>
    <cfRule type="beginsWith" dxfId="3519" priority="1937" stopIfTrue="1" operator="beginsWith" text="Not Functioning">
      <formula>LEFT(C116,LEN("Not Functioning"))="Not Functioning"</formula>
    </cfRule>
    <cfRule type="containsText" dxfId="3518" priority="1938" operator="containsText" text="Functioning">
      <formula>NOT(ISERROR(SEARCH("Functioning",C116)))</formula>
    </cfRule>
  </conditionalFormatting>
  <conditionalFormatting sqref="C115">
    <cfRule type="beginsWith" dxfId="3517" priority="1939" stopIfTrue="1" operator="beginsWith" text="Functioning At Risk">
      <formula>LEFT(C115,LEN("Functioning At Risk"))="Functioning At Risk"</formula>
    </cfRule>
    <cfRule type="beginsWith" dxfId="3516" priority="1940" stopIfTrue="1" operator="beginsWith" text="Not Functioning">
      <formula>LEFT(C115,LEN("Not Functioning"))="Not Functioning"</formula>
    </cfRule>
    <cfRule type="containsText" dxfId="3515" priority="1941" operator="containsText" text="Functioning">
      <formula>NOT(ISERROR(SEARCH("Functioning",C115)))</formula>
    </cfRule>
  </conditionalFormatting>
  <conditionalFormatting sqref="C113">
    <cfRule type="beginsWith" dxfId="3514" priority="1933" stopIfTrue="1" operator="beginsWith" text="Functioning At Risk">
      <formula>LEFT(C113,LEN("Functioning At Risk"))="Functioning At Risk"</formula>
    </cfRule>
    <cfRule type="beginsWith" dxfId="3513" priority="1934" stopIfTrue="1" operator="beginsWith" text="Not Functioning">
      <formula>LEFT(C113,LEN("Not Functioning"))="Not Functioning"</formula>
    </cfRule>
    <cfRule type="containsText" dxfId="3512" priority="1935" operator="containsText" text="Functioning">
      <formula>NOT(ISERROR(SEARCH("Functioning",C113)))</formula>
    </cfRule>
  </conditionalFormatting>
  <conditionalFormatting sqref="C99:C100">
    <cfRule type="beginsWith" dxfId="3511" priority="1930" stopIfTrue="1" operator="beginsWith" text="Functioning At Risk">
      <formula>LEFT(C99,LEN("Functioning At Risk"))="Functioning At Risk"</formula>
    </cfRule>
    <cfRule type="beginsWith" dxfId="3510" priority="1931" stopIfTrue="1" operator="beginsWith" text="Not Functioning">
      <formula>LEFT(C99,LEN("Not Functioning"))="Not Functioning"</formula>
    </cfRule>
    <cfRule type="containsText" dxfId="3509" priority="1932" operator="containsText" text="Functioning">
      <formula>NOT(ISERROR(SEARCH("Functioning",C99)))</formula>
    </cfRule>
  </conditionalFormatting>
  <conditionalFormatting sqref="C130:C132 C147:C148 C141:C142 C153 C145 C122:C125 C150:C151">
    <cfRule type="beginsWith" dxfId="3508" priority="1927" stopIfTrue="1" operator="beginsWith" text="Functioning At Risk">
      <formula>LEFT(C122,LEN("Functioning At Risk"))="Functioning At Risk"</formula>
    </cfRule>
    <cfRule type="beginsWith" dxfId="3507" priority="1928" stopIfTrue="1" operator="beginsWith" text="Not Functioning">
      <formula>LEFT(C122,LEN("Not Functioning"))="Not Functioning"</formula>
    </cfRule>
    <cfRule type="containsText" dxfId="3506" priority="1929" operator="containsText" text="Functioning">
      <formula>NOT(ISERROR(SEARCH("Functioning",C122)))</formula>
    </cfRule>
  </conditionalFormatting>
  <conditionalFormatting sqref="C133">
    <cfRule type="beginsWith" dxfId="3505" priority="1924" stopIfTrue="1" operator="beginsWith" text="Functioning At Risk">
      <formula>LEFT(C133,LEN("Functioning At Risk"))="Functioning At Risk"</formula>
    </cfRule>
    <cfRule type="beginsWith" dxfId="3504" priority="1925" stopIfTrue="1" operator="beginsWith" text="Not Functioning">
      <formula>LEFT(C133,LEN("Not Functioning"))="Not Functioning"</formula>
    </cfRule>
    <cfRule type="containsText" dxfId="3503" priority="1926" operator="containsText" text="Functioning">
      <formula>NOT(ISERROR(SEARCH("Functioning",C133)))</formula>
    </cfRule>
  </conditionalFormatting>
  <conditionalFormatting sqref="C140">
    <cfRule type="beginsWith" dxfId="3502" priority="1921" stopIfTrue="1" operator="beginsWith" text="Functioning At Risk">
      <formula>LEFT(C140,LEN("Functioning At Risk"))="Functioning At Risk"</formula>
    </cfRule>
    <cfRule type="beginsWith" dxfId="3501" priority="1922" stopIfTrue="1" operator="beginsWith" text="Not Functioning">
      <formula>LEFT(C140,LEN("Not Functioning"))="Not Functioning"</formula>
    </cfRule>
    <cfRule type="containsText" dxfId="3500" priority="1923" operator="containsText" text="Functioning">
      <formula>NOT(ISERROR(SEARCH("Functioning",C140)))</formula>
    </cfRule>
  </conditionalFormatting>
  <conditionalFormatting sqref="C134:C137">
    <cfRule type="beginsWith" dxfId="3499" priority="1918" stopIfTrue="1" operator="beginsWith" text="Functioning At Risk">
      <formula>LEFT(C134,LEN("Functioning At Risk"))="Functioning At Risk"</formula>
    </cfRule>
    <cfRule type="beginsWith" dxfId="3498" priority="1919" stopIfTrue="1" operator="beginsWith" text="Not Functioning">
      <formula>LEFT(C134,LEN("Not Functioning"))="Not Functioning"</formula>
    </cfRule>
    <cfRule type="containsText" dxfId="3497" priority="1920" operator="containsText" text="Functioning">
      <formula>NOT(ISERROR(SEARCH("Functioning",C134)))</formula>
    </cfRule>
  </conditionalFormatting>
  <conditionalFormatting sqref="C143">
    <cfRule type="beginsWith" dxfId="3496" priority="1915" stopIfTrue="1" operator="beginsWith" text="Functioning At Risk">
      <formula>LEFT(C143,LEN("Functioning At Risk"))="Functioning At Risk"</formula>
    </cfRule>
    <cfRule type="beginsWith" dxfId="3495" priority="1916" stopIfTrue="1" operator="beginsWith" text="Not Functioning">
      <formula>LEFT(C143,LEN("Not Functioning"))="Not Functioning"</formula>
    </cfRule>
    <cfRule type="containsText" dxfId="3494" priority="1917" operator="containsText" text="Functioning">
      <formula>NOT(ISERROR(SEARCH("Functioning",C143)))</formula>
    </cfRule>
  </conditionalFormatting>
  <conditionalFormatting sqref="C144">
    <cfRule type="beginsWith" dxfId="3493" priority="1912" stopIfTrue="1" operator="beginsWith" text="Functioning At Risk">
      <formula>LEFT(C144,LEN("Functioning At Risk"))="Functioning At Risk"</formula>
    </cfRule>
    <cfRule type="beginsWith" dxfId="3492" priority="1913" stopIfTrue="1" operator="beginsWith" text="Not Functioning">
      <formula>LEFT(C144,LEN("Not Functioning"))="Not Functioning"</formula>
    </cfRule>
    <cfRule type="containsText" dxfId="3491" priority="1914" operator="containsText" text="Functioning">
      <formula>NOT(ISERROR(SEARCH("Functioning",C144)))</formula>
    </cfRule>
  </conditionalFormatting>
  <conditionalFormatting sqref="C155">
    <cfRule type="beginsWith" dxfId="3490" priority="1906" stopIfTrue="1" operator="beginsWith" text="Functioning At Risk">
      <formula>LEFT(C155,LEN("Functioning At Risk"))="Functioning At Risk"</formula>
    </cfRule>
    <cfRule type="beginsWith" dxfId="3489" priority="1907" stopIfTrue="1" operator="beginsWith" text="Not Functioning">
      <formula>LEFT(C155,LEN("Not Functioning"))="Not Functioning"</formula>
    </cfRule>
    <cfRule type="containsText" dxfId="3488" priority="1908" operator="containsText" text="Functioning">
      <formula>NOT(ISERROR(SEARCH("Functioning",C155)))</formula>
    </cfRule>
  </conditionalFormatting>
  <conditionalFormatting sqref="C154">
    <cfRule type="beginsWith" dxfId="3487" priority="1909" stopIfTrue="1" operator="beginsWith" text="Functioning At Risk">
      <formula>LEFT(C154,LEN("Functioning At Risk"))="Functioning At Risk"</formula>
    </cfRule>
    <cfRule type="beginsWith" dxfId="3486" priority="1910" stopIfTrue="1" operator="beginsWith" text="Not Functioning">
      <formula>LEFT(C154,LEN("Not Functioning"))="Not Functioning"</formula>
    </cfRule>
    <cfRule type="containsText" dxfId="3485" priority="1911" operator="containsText" text="Functioning">
      <formula>NOT(ISERROR(SEARCH("Functioning",C154)))</formula>
    </cfRule>
  </conditionalFormatting>
  <conditionalFormatting sqref="C152">
    <cfRule type="beginsWith" dxfId="3484" priority="1903" stopIfTrue="1" operator="beginsWith" text="Functioning At Risk">
      <formula>LEFT(C152,LEN("Functioning At Risk"))="Functioning At Risk"</formula>
    </cfRule>
    <cfRule type="beginsWith" dxfId="3483" priority="1904" stopIfTrue="1" operator="beginsWith" text="Not Functioning">
      <formula>LEFT(C152,LEN("Not Functioning"))="Not Functioning"</formula>
    </cfRule>
    <cfRule type="containsText" dxfId="3482" priority="1905" operator="containsText" text="Functioning">
      <formula>NOT(ISERROR(SEARCH("Functioning",C152)))</formula>
    </cfRule>
  </conditionalFormatting>
  <conditionalFormatting sqref="C138:C139">
    <cfRule type="beginsWith" dxfId="3481" priority="1900" stopIfTrue="1" operator="beginsWith" text="Functioning At Risk">
      <formula>LEFT(C138,LEN("Functioning At Risk"))="Functioning At Risk"</formula>
    </cfRule>
    <cfRule type="beginsWith" dxfId="3480" priority="1901" stopIfTrue="1" operator="beginsWith" text="Not Functioning">
      <formula>LEFT(C138,LEN("Not Functioning"))="Not Functioning"</formula>
    </cfRule>
    <cfRule type="containsText" dxfId="3479" priority="1902" operator="containsText" text="Functioning">
      <formula>NOT(ISERROR(SEARCH("Functioning",C138)))</formula>
    </cfRule>
  </conditionalFormatting>
  <conditionalFormatting sqref="C169:C171 C186:C187 C180:C181 C192 C184 C161:C164 C189:C190">
    <cfRule type="beginsWith" dxfId="3478" priority="1897" stopIfTrue="1" operator="beginsWith" text="Functioning At Risk">
      <formula>LEFT(C161,LEN("Functioning At Risk"))="Functioning At Risk"</formula>
    </cfRule>
    <cfRule type="beginsWith" dxfId="3477" priority="1898" stopIfTrue="1" operator="beginsWith" text="Not Functioning">
      <formula>LEFT(C161,LEN("Not Functioning"))="Not Functioning"</formula>
    </cfRule>
    <cfRule type="containsText" dxfId="3476" priority="1899" operator="containsText" text="Functioning">
      <formula>NOT(ISERROR(SEARCH("Functioning",C161)))</formula>
    </cfRule>
  </conditionalFormatting>
  <conditionalFormatting sqref="C172">
    <cfRule type="beginsWith" dxfId="3475" priority="1894" stopIfTrue="1" operator="beginsWith" text="Functioning At Risk">
      <formula>LEFT(C172,LEN("Functioning At Risk"))="Functioning At Risk"</formula>
    </cfRule>
    <cfRule type="beginsWith" dxfId="3474" priority="1895" stopIfTrue="1" operator="beginsWith" text="Not Functioning">
      <formula>LEFT(C172,LEN("Not Functioning"))="Not Functioning"</formula>
    </cfRule>
    <cfRule type="containsText" dxfId="3473" priority="1896" operator="containsText" text="Functioning">
      <formula>NOT(ISERROR(SEARCH("Functioning",C172)))</formula>
    </cfRule>
  </conditionalFormatting>
  <conditionalFormatting sqref="C179">
    <cfRule type="beginsWith" dxfId="3472" priority="1891" stopIfTrue="1" operator="beginsWith" text="Functioning At Risk">
      <formula>LEFT(C179,LEN("Functioning At Risk"))="Functioning At Risk"</formula>
    </cfRule>
    <cfRule type="beginsWith" dxfId="3471" priority="1892" stopIfTrue="1" operator="beginsWith" text="Not Functioning">
      <formula>LEFT(C179,LEN("Not Functioning"))="Not Functioning"</formula>
    </cfRule>
    <cfRule type="containsText" dxfId="3470" priority="1893" operator="containsText" text="Functioning">
      <formula>NOT(ISERROR(SEARCH("Functioning",C179)))</formula>
    </cfRule>
  </conditionalFormatting>
  <conditionalFormatting sqref="C173:C176">
    <cfRule type="beginsWith" dxfId="3469" priority="1888" stopIfTrue="1" operator="beginsWith" text="Functioning At Risk">
      <formula>LEFT(C173,LEN("Functioning At Risk"))="Functioning At Risk"</formula>
    </cfRule>
    <cfRule type="beginsWith" dxfId="3468" priority="1889" stopIfTrue="1" operator="beginsWith" text="Not Functioning">
      <formula>LEFT(C173,LEN("Not Functioning"))="Not Functioning"</formula>
    </cfRule>
    <cfRule type="containsText" dxfId="3467" priority="1890" operator="containsText" text="Functioning">
      <formula>NOT(ISERROR(SEARCH("Functioning",C173)))</formula>
    </cfRule>
  </conditionalFormatting>
  <conditionalFormatting sqref="C182">
    <cfRule type="beginsWith" dxfId="3466" priority="1885" stopIfTrue="1" operator="beginsWith" text="Functioning At Risk">
      <formula>LEFT(C182,LEN("Functioning At Risk"))="Functioning At Risk"</formula>
    </cfRule>
    <cfRule type="beginsWith" dxfId="3465" priority="1886" stopIfTrue="1" operator="beginsWith" text="Not Functioning">
      <formula>LEFT(C182,LEN("Not Functioning"))="Not Functioning"</formula>
    </cfRule>
    <cfRule type="containsText" dxfId="3464" priority="1887" operator="containsText" text="Functioning">
      <formula>NOT(ISERROR(SEARCH("Functioning",C182)))</formula>
    </cfRule>
  </conditionalFormatting>
  <conditionalFormatting sqref="C183">
    <cfRule type="beginsWith" dxfId="3463" priority="1882" stopIfTrue="1" operator="beginsWith" text="Functioning At Risk">
      <formula>LEFT(C183,LEN("Functioning At Risk"))="Functioning At Risk"</formula>
    </cfRule>
    <cfRule type="beginsWith" dxfId="3462" priority="1883" stopIfTrue="1" operator="beginsWith" text="Not Functioning">
      <formula>LEFT(C183,LEN("Not Functioning"))="Not Functioning"</formula>
    </cfRule>
    <cfRule type="containsText" dxfId="3461" priority="1884" operator="containsText" text="Functioning">
      <formula>NOT(ISERROR(SEARCH("Functioning",C183)))</formula>
    </cfRule>
  </conditionalFormatting>
  <conditionalFormatting sqref="C194">
    <cfRule type="beginsWith" dxfId="3460" priority="1876" stopIfTrue="1" operator="beginsWith" text="Functioning At Risk">
      <formula>LEFT(C194,LEN("Functioning At Risk"))="Functioning At Risk"</formula>
    </cfRule>
    <cfRule type="beginsWith" dxfId="3459" priority="1877" stopIfTrue="1" operator="beginsWith" text="Not Functioning">
      <formula>LEFT(C194,LEN("Not Functioning"))="Not Functioning"</formula>
    </cfRule>
    <cfRule type="containsText" dxfId="3458" priority="1878" operator="containsText" text="Functioning">
      <formula>NOT(ISERROR(SEARCH("Functioning",C194)))</formula>
    </cfRule>
  </conditionalFormatting>
  <conditionalFormatting sqref="C193">
    <cfRule type="beginsWith" dxfId="3457" priority="1879" stopIfTrue="1" operator="beginsWith" text="Functioning At Risk">
      <formula>LEFT(C193,LEN("Functioning At Risk"))="Functioning At Risk"</formula>
    </cfRule>
    <cfRule type="beginsWith" dxfId="3456" priority="1880" stopIfTrue="1" operator="beginsWith" text="Not Functioning">
      <formula>LEFT(C193,LEN("Not Functioning"))="Not Functioning"</formula>
    </cfRule>
    <cfRule type="containsText" dxfId="3455" priority="1881" operator="containsText" text="Functioning">
      <formula>NOT(ISERROR(SEARCH("Functioning",C193)))</formula>
    </cfRule>
  </conditionalFormatting>
  <conditionalFormatting sqref="C191">
    <cfRule type="beginsWith" dxfId="3454" priority="1873" stopIfTrue="1" operator="beginsWith" text="Functioning At Risk">
      <formula>LEFT(C191,LEN("Functioning At Risk"))="Functioning At Risk"</formula>
    </cfRule>
    <cfRule type="beginsWith" dxfId="3453" priority="1874" stopIfTrue="1" operator="beginsWith" text="Not Functioning">
      <formula>LEFT(C191,LEN("Not Functioning"))="Not Functioning"</formula>
    </cfRule>
    <cfRule type="containsText" dxfId="3452" priority="1875" operator="containsText" text="Functioning">
      <formula>NOT(ISERROR(SEARCH("Functioning",C191)))</formula>
    </cfRule>
  </conditionalFormatting>
  <conditionalFormatting sqref="C177:C178">
    <cfRule type="beginsWith" dxfId="3451" priority="1870" stopIfTrue="1" operator="beginsWith" text="Functioning At Risk">
      <formula>LEFT(C177,LEN("Functioning At Risk"))="Functioning At Risk"</formula>
    </cfRule>
    <cfRule type="beginsWith" dxfId="3450" priority="1871" stopIfTrue="1" operator="beginsWith" text="Not Functioning">
      <formula>LEFT(C177,LEN("Not Functioning"))="Not Functioning"</formula>
    </cfRule>
    <cfRule type="containsText" dxfId="3449" priority="1872" operator="containsText" text="Functioning">
      <formula>NOT(ISERROR(SEARCH("Functioning",C177)))</formula>
    </cfRule>
  </conditionalFormatting>
  <conditionalFormatting sqref="C208:C210 C225:C226 C219:C220 C231 C223 C200:C203 C228:C229">
    <cfRule type="beginsWith" dxfId="3448" priority="1867" stopIfTrue="1" operator="beginsWith" text="Functioning At Risk">
      <formula>LEFT(C200,LEN("Functioning At Risk"))="Functioning At Risk"</formula>
    </cfRule>
    <cfRule type="beginsWith" dxfId="3447" priority="1868" stopIfTrue="1" operator="beginsWith" text="Not Functioning">
      <formula>LEFT(C200,LEN("Not Functioning"))="Not Functioning"</formula>
    </cfRule>
    <cfRule type="containsText" dxfId="3446" priority="1869" operator="containsText" text="Functioning">
      <formula>NOT(ISERROR(SEARCH("Functioning",C200)))</formula>
    </cfRule>
  </conditionalFormatting>
  <conditionalFormatting sqref="C211">
    <cfRule type="beginsWith" dxfId="3445" priority="1864" stopIfTrue="1" operator="beginsWith" text="Functioning At Risk">
      <formula>LEFT(C211,LEN("Functioning At Risk"))="Functioning At Risk"</formula>
    </cfRule>
    <cfRule type="beginsWith" dxfId="3444" priority="1865" stopIfTrue="1" operator="beginsWith" text="Not Functioning">
      <formula>LEFT(C211,LEN("Not Functioning"))="Not Functioning"</formula>
    </cfRule>
    <cfRule type="containsText" dxfId="3443" priority="1866" operator="containsText" text="Functioning">
      <formula>NOT(ISERROR(SEARCH("Functioning",C211)))</formula>
    </cfRule>
  </conditionalFormatting>
  <conditionalFormatting sqref="C218">
    <cfRule type="beginsWith" dxfId="3442" priority="1861" stopIfTrue="1" operator="beginsWith" text="Functioning At Risk">
      <formula>LEFT(C218,LEN("Functioning At Risk"))="Functioning At Risk"</formula>
    </cfRule>
    <cfRule type="beginsWith" dxfId="3441" priority="1862" stopIfTrue="1" operator="beginsWith" text="Not Functioning">
      <formula>LEFT(C218,LEN("Not Functioning"))="Not Functioning"</formula>
    </cfRule>
    <cfRule type="containsText" dxfId="3440" priority="1863" operator="containsText" text="Functioning">
      <formula>NOT(ISERROR(SEARCH("Functioning",C218)))</formula>
    </cfRule>
  </conditionalFormatting>
  <conditionalFormatting sqref="C212:C215">
    <cfRule type="beginsWith" dxfId="3439" priority="1858" stopIfTrue="1" operator="beginsWith" text="Functioning At Risk">
      <formula>LEFT(C212,LEN("Functioning At Risk"))="Functioning At Risk"</formula>
    </cfRule>
    <cfRule type="beginsWith" dxfId="3438" priority="1859" stopIfTrue="1" operator="beginsWith" text="Not Functioning">
      <formula>LEFT(C212,LEN("Not Functioning"))="Not Functioning"</formula>
    </cfRule>
    <cfRule type="containsText" dxfId="3437" priority="1860" operator="containsText" text="Functioning">
      <formula>NOT(ISERROR(SEARCH("Functioning",C212)))</formula>
    </cfRule>
  </conditionalFormatting>
  <conditionalFormatting sqref="C221">
    <cfRule type="beginsWith" dxfId="3436" priority="1855" stopIfTrue="1" operator="beginsWith" text="Functioning At Risk">
      <formula>LEFT(C221,LEN("Functioning At Risk"))="Functioning At Risk"</formula>
    </cfRule>
    <cfRule type="beginsWith" dxfId="3435" priority="1856" stopIfTrue="1" operator="beginsWith" text="Not Functioning">
      <formula>LEFT(C221,LEN("Not Functioning"))="Not Functioning"</formula>
    </cfRule>
    <cfRule type="containsText" dxfId="3434" priority="1857" operator="containsText" text="Functioning">
      <formula>NOT(ISERROR(SEARCH("Functioning",C221)))</formula>
    </cfRule>
  </conditionalFormatting>
  <conditionalFormatting sqref="C222">
    <cfRule type="beginsWith" dxfId="3433" priority="1852" stopIfTrue="1" operator="beginsWith" text="Functioning At Risk">
      <formula>LEFT(C222,LEN("Functioning At Risk"))="Functioning At Risk"</formula>
    </cfRule>
    <cfRule type="beginsWith" dxfId="3432" priority="1853" stopIfTrue="1" operator="beginsWith" text="Not Functioning">
      <formula>LEFT(C222,LEN("Not Functioning"))="Not Functioning"</formula>
    </cfRule>
    <cfRule type="containsText" dxfId="3431" priority="1854" operator="containsText" text="Functioning">
      <formula>NOT(ISERROR(SEARCH("Functioning",C222)))</formula>
    </cfRule>
  </conditionalFormatting>
  <conditionalFormatting sqref="C233">
    <cfRule type="beginsWith" dxfId="3430" priority="1846" stopIfTrue="1" operator="beginsWith" text="Functioning At Risk">
      <formula>LEFT(C233,LEN("Functioning At Risk"))="Functioning At Risk"</formula>
    </cfRule>
    <cfRule type="beginsWith" dxfId="3429" priority="1847" stopIfTrue="1" operator="beginsWith" text="Not Functioning">
      <formula>LEFT(C233,LEN("Not Functioning"))="Not Functioning"</formula>
    </cfRule>
    <cfRule type="containsText" dxfId="3428" priority="1848" operator="containsText" text="Functioning">
      <formula>NOT(ISERROR(SEARCH("Functioning",C233)))</formula>
    </cfRule>
  </conditionalFormatting>
  <conditionalFormatting sqref="C232">
    <cfRule type="beginsWith" dxfId="3427" priority="1849" stopIfTrue="1" operator="beginsWith" text="Functioning At Risk">
      <formula>LEFT(C232,LEN("Functioning At Risk"))="Functioning At Risk"</formula>
    </cfRule>
    <cfRule type="beginsWith" dxfId="3426" priority="1850" stopIfTrue="1" operator="beginsWith" text="Not Functioning">
      <formula>LEFT(C232,LEN("Not Functioning"))="Not Functioning"</formula>
    </cfRule>
    <cfRule type="containsText" dxfId="3425" priority="1851" operator="containsText" text="Functioning">
      <formula>NOT(ISERROR(SEARCH("Functioning",C232)))</formula>
    </cfRule>
  </conditionalFormatting>
  <conditionalFormatting sqref="C230">
    <cfRule type="beginsWith" dxfId="3424" priority="1843" stopIfTrue="1" operator="beginsWith" text="Functioning At Risk">
      <formula>LEFT(C230,LEN("Functioning At Risk"))="Functioning At Risk"</formula>
    </cfRule>
    <cfRule type="beginsWith" dxfId="3423" priority="1844" stopIfTrue="1" operator="beginsWith" text="Not Functioning">
      <formula>LEFT(C230,LEN("Not Functioning"))="Not Functioning"</formula>
    </cfRule>
    <cfRule type="containsText" dxfId="3422" priority="1845" operator="containsText" text="Functioning">
      <formula>NOT(ISERROR(SEARCH("Functioning",C230)))</formula>
    </cfRule>
  </conditionalFormatting>
  <conditionalFormatting sqref="C216:C217">
    <cfRule type="beginsWith" dxfId="3421" priority="1840" stopIfTrue="1" operator="beginsWith" text="Functioning At Risk">
      <formula>LEFT(C216,LEN("Functioning At Risk"))="Functioning At Risk"</formula>
    </cfRule>
    <cfRule type="beginsWith" dxfId="3420" priority="1841" stopIfTrue="1" operator="beginsWith" text="Not Functioning">
      <formula>LEFT(C216,LEN("Not Functioning"))="Not Functioning"</formula>
    </cfRule>
    <cfRule type="containsText" dxfId="3419" priority="1842" operator="containsText" text="Functioning">
      <formula>NOT(ISERROR(SEARCH("Functioning",C216)))</formula>
    </cfRule>
  </conditionalFormatting>
  <conditionalFormatting sqref="C248:C250 C265:C266 C259:C260 C271 C263 C240:C243 C268:C269">
    <cfRule type="beginsWith" dxfId="3418" priority="1837" stopIfTrue="1" operator="beginsWith" text="Functioning At Risk">
      <formula>LEFT(C240,LEN("Functioning At Risk"))="Functioning At Risk"</formula>
    </cfRule>
    <cfRule type="beginsWith" dxfId="3417" priority="1838" stopIfTrue="1" operator="beginsWith" text="Not Functioning">
      <formula>LEFT(C240,LEN("Not Functioning"))="Not Functioning"</formula>
    </cfRule>
    <cfRule type="containsText" dxfId="3416" priority="1839" operator="containsText" text="Functioning">
      <formula>NOT(ISERROR(SEARCH("Functioning",C240)))</formula>
    </cfRule>
  </conditionalFormatting>
  <conditionalFormatting sqref="C251">
    <cfRule type="beginsWith" dxfId="3415" priority="1834" stopIfTrue="1" operator="beginsWith" text="Functioning At Risk">
      <formula>LEFT(C251,LEN("Functioning At Risk"))="Functioning At Risk"</formula>
    </cfRule>
    <cfRule type="beginsWith" dxfId="3414" priority="1835" stopIfTrue="1" operator="beginsWith" text="Not Functioning">
      <formula>LEFT(C251,LEN("Not Functioning"))="Not Functioning"</formula>
    </cfRule>
    <cfRule type="containsText" dxfId="3413" priority="1836" operator="containsText" text="Functioning">
      <formula>NOT(ISERROR(SEARCH("Functioning",C251)))</formula>
    </cfRule>
  </conditionalFormatting>
  <conditionalFormatting sqref="C258">
    <cfRule type="beginsWith" dxfId="3412" priority="1831" stopIfTrue="1" operator="beginsWith" text="Functioning At Risk">
      <formula>LEFT(C258,LEN("Functioning At Risk"))="Functioning At Risk"</formula>
    </cfRule>
    <cfRule type="beginsWith" dxfId="3411" priority="1832" stopIfTrue="1" operator="beginsWith" text="Not Functioning">
      <formula>LEFT(C258,LEN("Not Functioning"))="Not Functioning"</formula>
    </cfRule>
    <cfRule type="containsText" dxfId="3410" priority="1833" operator="containsText" text="Functioning">
      <formula>NOT(ISERROR(SEARCH("Functioning",C258)))</formula>
    </cfRule>
  </conditionalFormatting>
  <conditionalFormatting sqref="C252:C255">
    <cfRule type="beginsWith" dxfId="3409" priority="1828" stopIfTrue="1" operator="beginsWith" text="Functioning At Risk">
      <formula>LEFT(C252,LEN("Functioning At Risk"))="Functioning At Risk"</formula>
    </cfRule>
    <cfRule type="beginsWith" dxfId="3408" priority="1829" stopIfTrue="1" operator="beginsWith" text="Not Functioning">
      <formula>LEFT(C252,LEN("Not Functioning"))="Not Functioning"</formula>
    </cfRule>
    <cfRule type="containsText" dxfId="3407" priority="1830" operator="containsText" text="Functioning">
      <formula>NOT(ISERROR(SEARCH("Functioning",C252)))</formula>
    </cfRule>
  </conditionalFormatting>
  <conditionalFormatting sqref="C261">
    <cfRule type="beginsWith" dxfId="3406" priority="1825" stopIfTrue="1" operator="beginsWith" text="Functioning At Risk">
      <formula>LEFT(C261,LEN("Functioning At Risk"))="Functioning At Risk"</formula>
    </cfRule>
    <cfRule type="beginsWith" dxfId="3405" priority="1826" stopIfTrue="1" operator="beginsWith" text="Not Functioning">
      <formula>LEFT(C261,LEN("Not Functioning"))="Not Functioning"</formula>
    </cfRule>
    <cfRule type="containsText" dxfId="3404" priority="1827" operator="containsText" text="Functioning">
      <formula>NOT(ISERROR(SEARCH("Functioning",C261)))</formula>
    </cfRule>
  </conditionalFormatting>
  <conditionalFormatting sqref="C262">
    <cfRule type="beginsWith" dxfId="3403" priority="1822" stopIfTrue="1" operator="beginsWith" text="Functioning At Risk">
      <formula>LEFT(C262,LEN("Functioning At Risk"))="Functioning At Risk"</formula>
    </cfRule>
    <cfRule type="beginsWith" dxfId="3402" priority="1823" stopIfTrue="1" operator="beginsWith" text="Not Functioning">
      <formula>LEFT(C262,LEN("Not Functioning"))="Not Functioning"</formula>
    </cfRule>
    <cfRule type="containsText" dxfId="3401" priority="1824" operator="containsText" text="Functioning">
      <formula>NOT(ISERROR(SEARCH("Functioning",C262)))</formula>
    </cfRule>
  </conditionalFormatting>
  <conditionalFormatting sqref="C273">
    <cfRule type="beginsWith" dxfId="3400" priority="1816" stopIfTrue="1" operator="beginsWith" text="Functioning At Risk">
      <formula>LEFT(C273,LEN("Functioning At Risk"))="Functioning At Risk"</formula>
    </cfRule>
    <cfRule type="beginsWith" dxfId="3399" priority="1817" stopIfTrue="1" operator="beginsWith" text="Not Functioning">
      <formula>LEFT(C273,LEN("Not Functioning"))="Not Functioning"</formula>
    </cfRule>
    <cfRule type="containsText" dxfId="3398" priority="1818" operator="containsText" text="Functioning">
      <formula>NOT(ISERROR(SEARCH("Functioning",C273)))</formula>
    </cfRule>
  </conditionalFormatting>
  <conditionalFormatting sqref="C272">
    <cfRule type="beginsWith" dxfId="3397" priority="1819" stopIfTrue="1" operator="beginsWith" text="Functioning At Risk">
      <formula>LEFT(C272,LEN("Functioning At Risk"))="Functioning At Risk"</formula>
    </cfRule>
    <cfRule type="beginsWith" dxfId="3396" priority="1820" stopIfTrue="1" operator="beginsWith" text="Not Functioning">
      <formula>LEFT(C272,LEN("Not Functioning"))="Not Functioning"</formula>
    </cfRule>
    <cfRule type="containsText" dxfId="3395" priority="1821" operator="containsText" text="Functioning">
      <formula>NOT(ISERROR(SEARCH("Functioning",C272)))</formula>
    </cfRule>
  </conditionalFormatting>
  <conditionalFormatting sqref="C270">
    <cfRule type="beginsWith" dxfId="3394" priority="1813" stopIfTrue="1" operator="beginsWith" text="Functioning At Risk">
      <formula>LEFT(C270,LEN("Functioning At Risk"))="Functioning At Risk"</formula>
    </cfRule>
    <cfRule type="beginsWith" dxfId="3393" priority="1814" stopIfTrue="1" operator="beginsWith" text="Not Functioning">
      <formula>LEFT(C270,LEN("Not Functioning"))="Not Functioning"</formula>
    </cfRule>
    <cfRule type="containsText" dxfId="3392" priority="1815" operator="containsText" text="Functioning">
      <formula>NOT(ISERROR(SEARCH("Functioning",C270)))</formula>
    </cfRule>
  </conditionalFormatting>
  <conditionalFormatting sqref="C256:C257">
    <cfRule type="beginsWith" dxfId="3391" priority="1810" stopIfTrue="1" operator="beginsWith" text="Functioning At Risk">
      <formula>LEFT(C256,LEN("Functioning At Risk"))="Functioning At Risk"</formula>
    </cfRule>
    <cfRule type="beginsWith" dxfId="3390" priority="1811" stopIfTrue="1" operator="beginsWith" text="Not Functioning">
      <formula>LEFT(C256,LEN("Not Functioning"))="Not Functioning"</formula>
    </cfRule>
    <cfRule type="containsText" dxfId="3389" priority="1812" operator="containsText" text="Functioning">
      <formula>NOT(ISERROR(SEARCH("Functioning",C256)))</formula>
    </cfRule>
  </conditionalFormatting>
  <conditionalFormatting sqref="C288:C290 C305:C306 C299:C300 C311 C303 C280:C283 C308:C309">
    <cfRule type="beginsWith" dxfId="3388" priority="1807" stopIfTrue="1" operator="beginsWith" text="Functioning At Risk">
      <formula>LEFT(C280,LEN("Functioning At Risk"))="Functioning At Risk"</formula>
    </cfRule>
    <cfRule type="beginsWith" dxfId="3387" priority="1808" stopIfTrue="1" operator="beginsWith" text="Not Functioning">
      <formula>LEFT(C280,LEN("Not Functioning"))="Not Functioning"</formula>
    </cfRule>
    <cfRule type="containsText" dxfId="3386" priority="1809" operator="containsText" text="Functioning">
      <formula>NOT(ISERROR(SEARCH("Functioning",C280)))</formula>
    </cfRule>
  </conditionalFormatting>
  <conditionalFormatting sqref="C291">
    <cfRule type="beginsWith" dxfId="3385" priority="1804" stopIfTrue="1" operator="beginsWith" text="Functioning At Risk">
      <formula>LEFT(C291,LEN("Functioning At Risk"))="Functioning At Risk"</formula>
    </cfRule>
    <cfRule type="beginsWith" dxfId="3384" priority="1805" stopIfTrue="1" operator="beginsWith" text="Not Functioning">
      <formula>LEFT(C291,LEN("Not Functioning"))="Not Functioning"</formula>
    </cfRule>
    <cfRule type="containsText" dxfId="3383" priority="1806" operator="containsText" text="Functioning">
      <formula>NOT(ISERROR(SEARCH("Functioning",C291)))</formula>
    </cfRule>
  </conditionalFormatting>
  <conditionalFormatting sqref="C298">
    <cfRule type="beginsWith" dxfId="3382" priority="1801" stopIfTrue="1" operator="beginsWith" text="Functioning At Risk">
      <formula>LEFT(C298,LEN("Functioning At Risk"))="Functioning At Risk"</formula>
    </cfRule>
    <cfRule type="beginsWith" dxfId="3381" priority="1802" stopIfTrue="1" operator="beginsWith" text="Not Functioning">
      <formula>LEFT(C298,LEN("Not Functioning"))="Not Functioning"</formula>
    </cfRule>
    <cfRule type="containsText" dxfId="3380" priority="1803" operator="containsText" text="Functioning">
      <formula>NOT(ISERROR(SEARCH("Functioning",C298)))</formula>
    </cfRule>
  </conditionalFormatting>
  <conditionalFormatting sqref="C292:C295">
    <cfRule type="beginsWith" dxfId="3379" priority="1798" stopIfTrue="1" operator="beginsWith" text="Functioning At Risk">
      <formula>LEFT(C292,LEN("Functioning At Risk"))="Functioning At Risk"</formula>
    </cfRule>
    <cfRule type="beginsWith" dxfId="3378" priority="1799" stopIfTrue="1" operator="beginsWith" text="Not Functioning">
      <formula>LEFT(C292,LEN("Not Functioning"))="Not Functioning"</formula>
    </cfRule>
    <cfRule type="containsText" dxfId="3377" priority="1800" operator="containsText" text="Functioning">
      <formula>NOT(ISERROR(SEARCH("Functioning",C292)))</formula>
    </cfRule>
  </conditionalFormatting>
  <conditionalFormatting sqref="C301">
    <cfRule type="beginsWith" dxfId="3376" priority="1795" stopIfTrue="1" operator="beginsWith" text="Functioning At Risk">
      <formula>LEFT(C301,LEN("Functioning At Risk"))="Functioning At Risk"</formula>
    </cfRule>
    <cfRule type="beginsWith" dxfId="3375" priority="1796" stopIfTrue="1" operator="beginsWith" text="Not Functioning">
      <formula>LEFT(C301,LEN("Not Functioning"))="Not Functioning"</formula>
    </cfRule>
    <cfRule type="containsText" dxfId="3374" priority="1797" operator="containsText" text="Functioning">
      <formula>NOT(ISERROR(SEARCH("Functioning",C301)))</formula>
    </cfRule>
  </conditionalFormatting>
  <conditionalFormatting sqref="C302">
    <cfRule type="beginsWith" dxfId="3373" priority="1792" stopIfTrue="1" operator="beginsWith" text="Functioning At Risk">
      <formula>LEFT(C302,LEN("Functioning At Risk"))="Functioning At Risk"</formula>
    </cfRule>
    <cfRule type="beginsWith" dxfId="3372" priority="1793" stopIfTrue="1" operator="beginsWith" text="Not Functioning">
      <formula>LEFT(C302,LEN("Not Functioning"))="Not Functioning"</formula>
    </cfRule>
    <cfRule type="containsText" dxfId="3371" priority="1794" operator="containsText" text="Functioning">
      <formula>NOT(ISERROR(SEARCH("Functioning",C302)))</formula>
    </cfRule>
  </conditionalFormatting>
  <conditionalFormatting sqref="C313">
    <cfRule type="beginsWith" dxfId="3370" priority="1786" stopIfTrue="1" operator="beginsWith" text="Functioning At Risk">
      <formula>LEFT(C313,LEN("Functioning At Risk"))="Functioning At Risk"</formula>
    </cfRule>
    <cfRule type="beginsWith" dxfId="3369" priority="1787" stopIfTrue="1" operator="beginsWith" text="Not Functioning">
      <formula>LEFT(C313,LEN("Not Functioning"))="Not Functioning"</formula>
    </cfRule>
    <cfRule type="containsText" dxfId="3368" priority="1788" operator="containsText" text="Functioning">
      <formula>NOT(ISERROR(SEARCH("Functioning",C313)))</formula>
    </cfRule>
  </conditionalFormatting>
  <conditionalFormatting sqref="C312">
    <cfRule type="beginsWith" dxfId="3367" priority="1789" stopIfTrue="1" operator="beginsWith" text="Functioning At Risk">
      <formula>LEFT(C312,LEN("Functioning At Risk"))="Functioning At Risk"</formula>
    </cfRule>
    <cfRule type="beginsWith" dxfId="3366" priority="1790" stopIfTrue="1" operator="beginsWith" text="Not Functioning">
      <formula>LEFT(C312,LEN("Not Functioning"))="Not Functioning"</formula>
    </cfRule>
    <cfRule type="containsText" dxfId="3365" priority="1791" operator="containsText" text="Functioning">
      <formula>NOT(ISERROR(SEARCH("Functioning",C312)))</formula>
    </cfRule>
  </conditionalFormatting>
  <conditionalFormatting sqref="C310">
    <cfRule type="beginsWith" dxfId="3364" priority="1783" stopIfTrue="1" operator="beginsWith" text="Functioning At Risk">
      <formula>LEFT(C310,LEN("Functioning At Risk"))="Functioning At Risk"</formula>
    </cfRule>
    <cfRule type="beginsWith" dxfId="3363" priority="1784" stopIfTrue="1" operator="beginsWith" text="Not Functioning">
      <formula>LEFT(C310,LEN("Not Functioning"))="Not Functioning"</formula>
    </cfRule>
    <cfRule type="containsText" dxfId="3362" priority="1785" operator="containsText" text="Functioning">
      <formula>NOT(ISERROR(SEARCH("Functioning",C310)))</formula>
    </cfRule>
  </conditionalFormatting>
  <conditionalFormatting sqref="C296:C297">
    <cfRule type="beginsWith" dxfId="3361" priority="1780" stopIfTrue="1" operator="beginsWith" text="Functioning At Risk">
      <formula>LEFT(C296,LEN("Functioning At Risk"))="Functioning At Risk"</formula>
    </cfRule>
    <cfRule type="beginsWith" dxfId="3360" priority="1781" stopIfTrue="1" operator="beginsWith" text="Not Functioning">
      <formula>LEFT(C296,LEN("Not Functioning"))="Not Functioning"</formula>
    </cfRule>
    <cfRule type="containsText" dxfId="3359" priority="1782" operator="containsText" text="Functioning">
      <formula>NOT(ISERROR(SEARCH("Functioning",C296)))</formula>
    </cfRule>
  </conditionalFormatting>
  <conditionalFormatting sqref="C328:C330 C345:C346 C339:C340 C351 C343 C320:C323 C348:C349">
    <cfRule type="beginsWith" dxfId="3358" priority="1777" stopIfTrue="1" operator="beginsWith" text="Functioning At Risk">
      <formula>LEFT(C320,LEN("Functioning At Risk"))="Functioning At Risk"</formula>
    </cfRule>
    <cfRule type="beginsWith" dxfId="3357" priority="1778" stopIfTrue="1" operator="beginsWith" text="Not Functioning">
      <formula>LEFT(C320,LEN("Not Functioning"))="Not Functioning"</formula>
    </cfRule>
    <cfRule type="containsText" dxfId="3356" priority="1779" operator="containsText" text="Functioning">
      <formula>NOT(ISERROR(SEARCH("Functioning",C320)))</formula>
    </cfRule>
  </conditionalFormatting>
  <conditionalFormatting sqref="C331">
    <cfRule type="beginsWith" dxfId="3355" priority="1774" stopIfTrue="1" operator="beginsWith" text="Functioning At Risk">
      <formula>LEFT(C331,LEN("Functioning At Risk"))="Functioning At Risk"</formula>
    </cfRule>
    <cfRule type="beginsWith" dxfId="3354" priority="1775" stopIfTrue="1" operator="beginsWith" text="Not Functioning">
      <formula>LEFT(C331,LEN("Not Functioning"))="Not Functioning"</formula>
    </cfRule>
    <cfRule type="containsText" dxfId="3353" priority="1776" operator="containsText" text="Functioning">
      <formula>NOT(ISERROR(SEARCH("Functioning",C331)))</formula>
    </cfRule>
  </conditionalFormatting>
  <conditionalFormatting sqref="C338">
    <cfRule type="beginsWith" dxfId="3352" priority="1771" stopIfTrue="1" operator="beginsWith" text="Functioning At Risk">
      <formula>LEFT(C338,LEN("Functioning At Risk"))="Functioning At Risk"</formula>
    </cfRule>
    <cfRule type="beginsWith" dxfId="3351" priority="1772" stopIfTrue="1" operator="beginsWith" text="Not Functioning">
      <formula>LEFT(C338,LEN("Not Functioning"))="Not Functioning"</formula>
    </cfRule>
    <cfRule type="containsText" dxfId="3350" priority="1773" operator="containsText" text="Functioning">
      <formula>NOT(ISERROR(SEARCH("Functioning",C338)))</formula>
    </cfRule>
  </conditionalFormatting>
  <conditionalFormatting sqref="C332:C335">
    <cfRule type="beginsWith" dxfId="3349" priority="1768" stopIfTrue="1" operator="beginsWith" text="Functioning At Risk">
      <formula>LEFT(C332,LEN("Functioning At Risk"))="Functioning At Risk"</formula>
    </cfRule>
    <cfRule type="beginsWith" dxfId="3348" priority="1769" stopIfTrue="1" operator="beginsWith" text="Not Functioning">
      <formula>LEFT(C332,LEN("Not Functioning"))="Not Functioning"</formula>
    </cfRule>
    <cfRule type="containsText" dxfId="3347" priority="1770" operator="containsText" text="Functioning">
      <formula>NOT(ISERROR(SEARCH("Functioning",C332)))</formula>
    </cfRule>
  </conditionalFormatting>
  <conditionalFormatting sqref="C341">
    <cfRule type="beginsWith" dxfId="3346" priority="1765" stopIfTrue="1" operator="beginsWith" text="Functioning At Risk">
      <formula>LEFT(C341,LEN("Functioning At Risk"))="Functioning At Risk"</formula>
    </cfRule>
    <cfRule type="beginsWith" dxfId="3345" priority="1766" stopIfTrue="1" operator="beginsWith" text="Not Functioning">
      <formula>LEFT(C341,LEN("Not Functioning"))="Not Functioning"</formula>
    </cfRule>
    <cfRule type="containsText" dxfId="3344" priority="1767" operator="containsText" text="Functioning">
      <formula>NOT(ISERROR(SEARCH("Functioning",C341)))</formula>
    </cfRule>
  </conditionalFormatting>
  <conditionalFormatting sqref="C342">
    <cfRule type="beginsWith" dxfId="3343" priority="1762" stopIfTrue="1" operator="beginsWith" text="Functioning At Risk">
      <formula>LEFT(C342,LEN("Functioning At Risk"))="Functioning At Risk"</formula>
    </cfRule>
    <cfRule type="beginsWith" dxfId="3342" priority="1763" stopIfTrue="1" operator="beginsWith" text="Not Functioning">
      <formula>LEFT(C342,LEN("Not Functioning"))="Not Functioning"</formula>
    </cfRule>
    <cfRule type="containsText" dxfId="3341" priority="1764" operator="containsText" text="Functioning">
      <formula>NOT(ISERROR(SEARCH("Functioning",C342)))</formula>
    </cfRule>
  </conditionalFormatting>
  <conditionalFormatting sqref="C353">
    <cfRule type="beginsWith" dxfId="3340" priority="1756" stopIfTrue="1" operator="beginsWith" text="Functioning At Risk">
      <formula>LEFT(C353,LEN("Functioning At Risk"))="Functioning At Risk"</formula>
    </cfRule>
    <cfRule type="beginsWith" dxfId="3339" priority="1757" stopIfTrue="1" operator="beginsWith" text="Not Functioning">
      <formula>LEFT(C353,LEN("Not Functioning"))="Not Functioning"</formula>
    </cfRule>
    <cfRule type="containsText" dxfId="3338" priority="1758" operator="containsText" text="Functioning">
      <formula>NOT(ISERROR(SEARCH("Functioning",C353)))</formula>
    </cfRule>
  </conditionalFormatting>
  <conditionalFormatting sqref="C352">
    <cfRule type="beginsWith" dxfId="3337" priority="1759" stopIfTrue="1" operator="beginsWith" text="Functioning At Risk">
      <formula>LEFT(C352,LEN("Functioning At Risk"))="Functioning At Risk"</formula>
    </cfRule>
    <cfRule type="beginsWith" dxfId="3336" priority="1760" stopIfTrue="1" operator="beginsWith" text="Not Functioning">
      <formula>LEFT(C352,LEN("Not Functioning"))="Not Functioning"</formula>
    </cfRule>
    <cfRule type="containsText" dxfId="3335" priority="1761" operator="containsText" text="Functioning">
      <formula>NOT(ISERROR(SEARCH("Functioning",C352)))</formula>
    </cfRule>
  </conditionalFormatting>
  <conditionalFormatting sqref="C350">
    <cfRule type="beginsWith" dxfId="3334" priority="1753" stopIfTrue="1" operator="beginsWith" text="Functioning At Risk">
      <formula>LEFT(C350,LEN("Functioning At Risk"))="Functioning At Risk"</formula>
    </cfRule>
    <cfRule type="beginsWith" dxfId="3333" priority="1754" stopIfTrue="1" operator="beginsWith" text="Not Functioning">
      <formula>LEFT(C350,LEN("Not Functioning"))="Not Functioning"</formula>
    </cfRule>
    <cfRule type="containsText" dxfId="3332" priority="1755" operator="containsText" text="Functioning">
      <formula>NOT(ISERROR(SEARCH("Functioning",C350)))</formula>
    </cfRule>
  </conditionalFormatting>
  <conditionalFormatting sqref="C336:C337">
    <cfRule type="beginsWith" dxfId="3331" priority="1750" stopIfTrue="1" operator="beginsWith" text="Functioning At Risk">
      <formula>LEFT(C336,LEN("Functioning At Risk"))="Functioning At Risk"</formula>
    </cfRule>
    <cfRule type="beginsWith" dxfId="3330" priority="1751" stopIfTrue="1" operator="beginsWith" text="Not Functioning">
      <formula>LEFT(C336,LEN("Not Functioning"))="Not Functioning"</formula>
    </cfRule>
    <cfRule type="containsText" dxfId="3329" priority="1752" operator="containsText" text="Functioning">
      <formula>NOT(ISERROR(SEARCH("Functioning",C336)))</formula>
    </cfRule>
  </conditionalFormatting>
  <conditionalFormatting sqref="C368:C370 C385:C386 C379:C380 C391 C383 C360:C363 C388:C389">
    <cfRule type="beginsWith" dxfId="3328" priority="1747" stopIfTrue="1" operator="beginsWith" text="Functioning At Risk">
      <formula>LEFT(C360,LEN("Functioning At Risk"))="Functioning At Risk"</formula>
    </cfRule>
    <cfRule type="beginsWith" dxfId="3327" priority="1748" stopIfTrue="1" operator="beginsWith" text="Not Functioning">
      <formula>LEFT(C360,LEN("Not Functioning"))="Not Functioning"</formula>
    </cfRule>
    <cfRule type="containsText" dxfId="3326" priority="1749" operator="containsText" text="Functioning">
      <formula>NOT(ISERROR(SEARCH("Functioning",C360)))</formula>
    </cfRule>
  </conditionalFormatting>
  <conditionalFormatting sqref="C371">
    <cfRule type="beginsWith" dxfId="3325" priority="1744" stopIfTrue="1" operator="beginsWith" text="Functioning At Risk">
      <formula>LEFT(C371,LEN("Functioning At Risk"))="Functioning At Risk"</formula>
    </cfRule>
    <cfRule type="beginsWith" dxfId="3324" priority="1745" stopIfTrue="1" operator="beginsWith" text="Not Functioning">
      <formula>LEFT(C371,LEN("Not Functioning"))="Not Functioning"</formula>
    </cfRule>
    <cfRule type="containsText" dxfId="3323" priority="1746" operator="containsText" text="Functioning">
      <formula>NOT(ISERROR(SEARCH("Functioning",C371)))</formula>
    </cfRule>
  </conditionalFormatting>
  <conditionalFormatting sqref="C378">
    <cfRule type="beginsWith" dxfId="3322" priority="1741" stopIfTrue="1" operator="beginsWith" text="Functioning At Risk">
      <formula>LEFT(C378,LEN("Functioning At Risk"))="Functioning At Risk"</formula>
    </cfRule>
    <cfRule type="beginsWith" dxfId="3321" priority="1742" stopIfTrue="1" operator="beginsWith" text="Not Functioning">
      <formula>LEFT(C378,LEN("Not Functioning"))="Not Functioning"</formula>
    </cfRule>
    <cfRule type="containsText" dxfId="3320" priority="1743" operator="containsText" text="Functioning">
      <formula>NOT(ISERROR(SEARCH("Functioning",C378)))</formula>
    </cfRule>
  </conditionalFormatting>
  <conditionalFormatting sqref="C372:C375">
    <cfRule type="beginsWith" dxfId="3319" priority="1738" stopIfTrue="1" operator="beginsWith" text="Functioning At Risk">
      <formula>LEFT(C372,LEN("Functioning At Risk"))="Functioning At Risk"</formula>
    </cfRule>
    <cfRule type="beginsWith" dxfId="3318" priority="1739" stopIfTrue="1" operator="beginsWith" text="Not Functioning">
      <formula>LEFT(C372,LEN("Not Functioning"))="Not Functioning"</formula>
    </cfRule>
    <cfRule type="containsText" dxfId="3317" priority="1740" operator="containsText" text="Functioning">
      <formula>NOT(ISERROR(SEARCH("Functioning",C372)))</formula>
    </cfRule>
  </conditionalFormatting>
  <conditionalFormatting sqref="C381">
    <cfRule type="beginsWith" dxfId="3316" priority="1735" stopIfTrue="1" operator="beginsWith" text="Functioning At Risk">
      <formula>LEFT(C381,LEN("Functioning At Risk"))="Functioning At Risk"</formula>
    </cfRule>
    <cfRule type="beginsWith" dxfId="3315" priority="1736" stopIfTrue="1" operator="beginsWith" text="Not Functioning">
      <formula>LEFT(C381,LEN("Not Functioning"))="Not Functioning"</formula>
    </cfRule>
    <cfRule type="containsText" dxfId="3314" priority="1737" operator="containsText" text="Functioning">
      <formula>NOT(ISERROR(SEARCH("Functioning",C381)))</formula>
    </cfRule>
  </conditionalFormatting>
  <conditionalFormatting sqref="C382">
    <cfRule type="beginsWith" dxfId="3313" priority="1732" stopIfTrue="1" operator="beginsWith" text="Functioning At Risk">
      <formula>LEFT(C382,LEN("Functioning At Risk"))="Functioning At Risk"</formula>
    </cfRule>
    <cfRule type="beginsWith" dxfId="3312" priority="1733" stopIfTrue="1" operator="beginsWith" text="Not Functioning">
      <formula>LEFT(C382,LEN("Not Functioning"))="Not Functioning"</formula>
    </cfRule>
    <cfRule type="containsText" dxfId="3311" priority="1734" operator="containsText" text="Functioning">
      <formula>NOT(ISERROR(SEARCH("Functioning",C382)))</formula>
    </cfRule>
  </conditionalFormatting>
  <conditionalFormatting sqref="C393">
    <cfRule type="beginsWith" dxfId="3310" priority="1726" stopIfTrue="1" operator="beginsWith" text="Functioning At Risk">
      <formula>LEFT(C393,LEN("Functioning At Risk"))="Functioning At Risk"</formula>
    </cfRule>
    <cfRule type="beginsWith" dxfId="3309" priority="1727" stopIfTrue="1" operator="beginsWith" text="Not Functioning">
      <formula>LEFT(C393,LEN("Not Functioning"))="Not Functioning"</formula>
    </cfRule>
    <cfRule type="containsText" dxfId="3308" priority="1728" operator="containsText" text="Functioning">
      <formula>NOT(ISERROR(SEARCH("Functioning",C393)))</formula>
    </cfRule>
  </conditionalFormatting>
  <conditionalFormatting sqref="C392">
    <cfRule type="beginsWith" dxfId="3307" priority="1729" stopIfTrue="1" operator="beginsWith" text="Functioning At Risk">
      <formula>LEFT(C392,LEN("Functioning At Risk"))="Functioning At Risk"</formula>
    </cfRule>
    <cfRule type="beginsWith" dxfId="3306" priority="1730" stopIfTrue="1" operator="beginsWith" text="Not Functioning">
      <formula>LEFT(C392,LEN("Not Functioning"))="Not Functioning"</formula>
    </cfRule>
    <cfRule type="containsText" dxfId="3305" priority="1731" operator="containsText" text="Functioning">
      <formula>NOT(ISERROR(SEARCH("Functioning",C392)))</formula>
    </cfRule>
  </conditionalFormatting>
  <conditionalFormatting sqref="C390">
    <cfRule type="beginsWith" dxfId="3304" priority="1723" stopIfTrue="1" operator="beginsWith" text="Functioning At Risk">
      <formula>LEFT(C390,LEN("Functioning At Risk"))="Functioning At Risk"</formula>
    </cfRule>
    <cfRule type="beginsWith" dxfId="3303" priority="1724" stopIfTrue="1" operator="beginsWith" text="Not Functioning">
      <formula>LEFT(C390,LEN("Not Functioning"))="Not Functioning"</formula>
    </cfRule>
    <cfRule type="containsText" dxfId="3302" priority="1725" operator="containsText" text="Functioning">
      <formula>NOT(ISERROR(SEARCH("Functioning",C390)))</formula>
    </cfRule>
  </conditionalFormatting>
  <conditionalFormatting sqref="C376:C377">
    <cfRule type="beginsWith" dxfId="3301" priority="1720" stopIfTrue="1" operator="beginsWith" text="Functioning At Risk">
      <formula>LEFT(C376,LEN("Functioning At Risk"))="Functioning At Risk"</formula>
    </cfRule>
    <cfRule type="beginsWith" dxfId="3300" priority="1721" stopIfTrue="1" operator="beginsWith" text="Not Functioning">
      <formula>LEFT(C376,LEN("Not Functioning"))="Not Functioning"</formula>
    </cfRule>
    <cfRule type="containsText" dxfId="3299" priority="1722" operator="containsText" text="Functioning">
      <formula>NOT(ISERROR(SEARCH("Functioning",C376)))</formula>
    </cfRule>
  </conditionalFormatting>
  <conditionalFormatting sqref="C408:C410 C425:C426 C419:C420 C431 C423 C400:C403 C428:C429">
    <cfRule type="beginsWith" dxfId="3298" priority="1717" stopIfTrue="1" operator="beginsWith" text="Functioning At Risk">
      <formula>LEFT(C400,LEN("Functioning At Risk"))="Functioning At Risk"</formula>
    </cfRule>
    <cfRule type="beginsWith" dxfId="3297" priority="1718" stopIfTrue="1" operator="beginsWith" text="Not Functioning">
      <formula>LEFT(C400,LEN("Not Functioning"))="Not Functioning"</formula>
    </cfRule>
    <cfRule type="containsText" dxfId="3296" priority="1719" operator="containsText" text="Functioning">
      <formula>NOT(ISERROR(SEARCH("Functioning",C400)))</formula>
    </cfRule>
  </conditionalFormatting>
  <conditionalFormatting sqref="C411">
    <cfRule type="beginsWith" dxfId="3295" priority="1714" stopIfTrue="1" operator="beginsWith" text="Functioning At Risk">
      <formula>LEFT(C411,LEN("Functioning At Risk"))="Functioning At Risk"</formula>
    </cfRule>
    <cfRule type="beginsWith" dxfId="3294" priority="1715" stopIfTrue="1" operator="beginsWith" text="Not Functioning">
      <formula>LEFT(C411,LEN("Not Functioning"))="Not Functioning"</formula>
    </cfRule>
    <cfRule type="containsText" dxfId="3293" priority="1716" operator="containsText" text="Functioning">
      <formula>NOT(ISERROR(SEARCH("Functioning",C411)))</formula>
    </cfRule>
  </conditionalFormatting>
  <conditionalFormatting sqref="C418">
    <cfRule type="beginsWith" dxfId="3292" priority="1711" stopIfTrue="1" operator="beginsWith" text="Functioning At Risk">
      <formula>LEFT(C418,LEN("Functioning At Risk"))="Functioning At Risk"</formula>
    </cfRule>
    <cfRule type="beginsWith" dxfId="3291" priority="1712" stopIfTrue="1" operator="beginsWith" text="Not Functioning">
      <formula>LEFT(C418,LEN("Not Functioning"))="Not Functioning"</formula>
    </cfRule>
    <cfRule type="containsText" dxfId="3290" priority="1713" operator="containsText" text="Functioning">
      <formula>NOT(ISERROR(SEARCH("Functioning",C418)))</formula>
    </cfRule>
  </conditionalFormatting>
  <conditionalFormatting sqref="C412:C415">
    <cfRule type="beginsWith" dxfId="3289" priority="1708" stopIfTrue="1" operator="beginsWith" text="Functioning At Risk">
      <formula>LEFT(C412,LEN("Functioning At Risk"))="Functioning At Risk"</formula>
    </cfRule>
    <cfRule type="beginsWith" dxfId="3288" priority="1709" stopIfTrue="1" operator="beginsWith" text="Not Functioning">
      <formula>LEFT(C412,LEN("Not Functioning"))="Not Functioning"</formula>
    </cfRule>
    <cfRule type="containsText" dxfId="3287" priority="1710" operator="containsText" text="Functioning">
      <formula>NOT(ISERROR(SEARCH("Functioning",C412)))</formula>
    </cfRule>
  </conditionalFormatting>
  <conditionalFormatting sqref="C421">
    <cfRule type="beginsWith" dxfId="3286" priority="1705" stopIfTrue="1" operator="beginsWith" text="Functioning At Risk">
      <formula>LEFT(C421,LEN("Functioning At Risk"))="Functioning At Risk"</formula>
    </cfRule>
    <cfRule type="beginsWith" dxfId="3285" priority="1706" stopIfTrue="1" operator="beginsWith" text="Not Functioning">
      <formula>LEFT(C421,LEN("Not Functioning"))="Not Functioning"</formula>
    </cfRule>
    <cfRule type="containsText" dxfId="3284" priority="1707" operator="containsText" text="Functioning">
      <formula>NOT(ISERROR(SEARCH("Functioning",C421)))</formula>
    </cfRule>
  </conditionalFormatting>
  <conditionalFormatting sqref="C422">
    <cfRule type="beginsWith" dxfId="3283" priority="1702" stopIfTrue="1" operator="beginsWith" text="Functioning At Risk">
      <formula>LEFT(C422,LEN("Functioning At Risk"))="Functioning At Risk"</formula>
    </cfRule>
    <cfRule type="beginsWith" dxfId="3282" priority="1703" stopIfTrue="1" operator="beginsWith" text="Not Functioning">
      <formula>LEFT(C422,LEN("Not Functioning"))="Not Functioning"</formula>
    </cfRule>
    <cfRule type="containsText" dxfId="3281" priority="1704" operator="containsText" text="Functioning">
      <formula>NOT(ISERROR(SEARCH("Functioning",C422)))</formula>
    </cfRule>
  </conditionalFormatting>
  <conditionalFormatting sqref="C433">
    <cfRule type="beginsWith" dxfId="3280" priority="1696" stopIfTrue="1" operator="beginsWith" text="Functioning At Risk">
      <formula>LEFT(C433,LEN("Functioning At Risk"))="Functioning At Risk"</formula>
    </cfRule>
    <cfRule type="beginsWith" dxfId="3279" priority="1697" stopIfTrue="1" operator="beginsWith" text="Not Functioning">
      <formula>LEFT(C433,LEN("Not Functioning"))="Not Functioning"</formula>
    </cfRule>
    <cfRule type="containsText" dxfId="3278" priority="1698" operator="containsText" text="Functioning">
      <formula>NOT(ISERROR(SEARCH("Functioning",C433)))</formula>
    </cfRule>
  </conditionalFormatting>
  <conditionalFormatting sqref="C432">
    <cfRule type="beginsWith" dxfId="3277" priority="1699" stopIfTrue="1" operator="beginsWith" text="Functioning At Risk">
      <formula>LEFT(C432,LEN("Functioning At Risk"))="Functioning At Risk"</formula>
    </cfRule>
    <cfRule type="beginsWith" dxfId="3276" priority="1700" stopIfTrue="1" operator="beginsWith" text="Not Functioning">
      <formula>LEFT(C432,LEN("Not Functioning"))="Not Functioning"</formula>
    </cfRule>
    <cfRule type="containsText" dxfId="3275" priority="1701" operator="containsText" text="Functioning">
      <formula>NOT(ISERROR(SEARCH("Functioning",C432)))</formula>
    </cfRule>
  </conditionalFormatting>
  <conditionalFormatting sqref="C430">
    <cfRule type="beginsWith" dxfId="3274" priority="1693" stopIfTrue="1" operator="beginsWith" text="Functioning At Risk">
      <formula>LEFT(C430,LEN("Functioning At Risk"))="Functioning At Risk"</formula>
    </cfRule>
    <cfRule type="beginsWith" dxfId="3273" priority="1694" stopIfTrue="1" operator="beginsWith" text="Not Functioning">
      <formula>LEFT(C430,LEN("Not Functioning"))="Not Functioning"</formula>
    </cfRule>
    <cfRule type="containsText" dxfId="3272" priority="1695" operator="containsText" text="Functioning">
      <formula>NOT(ISERROR(SEARCH("Functioning",C430)))</formula>
    </cfRule>
  </conditionalFormatting>
  <conditionalFormatting sqref="C416:C417">
    <cfRule type="beginsWith" dxfId="3271" priority="1690" stopIfTrue="1" operator="beginsWith" text="Functioning At Risk">
      <formula>LEFT(C416,LEN("Functioning At Risk"))="Functioning At Risk"</formula>
    </cfRule>
    <cfRule type="beginsWith" dxfId="3270" priority="1691" stopIfTrue="1" operator="beginsWith" text="Not Functioning">
      <formula>LEFT(C416,LEN("Not Functioning"))="Not Functioning"</formula>
    </cfRule>
    <cfRule type="containsText" dxfId="3269" priority="1692" operator="containsText" text="Functioning">
      <formula>NOT(ISERROR(SEARCH("Functioning",C416)))</formula>
    </cfRule>
  </conditionalFormatting>
  <conditionalFormatting sqref="E24">
    <cfRule type="beginsWith" dxfId="3268" priority="1543" stopIfTrue="1" operator="beginsWith" text="Functioning At Risk">
      <formula>LEFT(E24,LEN("Functioning At Risk"))="Functioning At Risk"</formula>
    </cfRule>
    <cfRule type="beginsWith" dxfId="3267" priority="1544" stopIfTrue="1" operator="beginsWith" text="Not Functioning">
      <formula>LEFT(E24,LEN("Not Functioning"))="Not Functioning"</formula>
    </cfRule>
    <cfRule type="containsText" dxfId="3266" priority="1545" operator="containsText" text="Functioning">
      <formula>NOT(ISERROR(SEARCH("Functioning",E24)))</formula>
    </cfRule>
  </conditionalFormatting>
  <conditionalFormatting sqref="E26">
    <cfRule type="beginsWith" dxfId="3265" priority="1537" stopIfTrue="1" operator="beginsWith" text="Functioning At Risk">
      <formula>LEFT(E26,LEN("Functioning At Risk"))="Functioning At Risk"</formula>
    </cfRule>
    <cfRule type="beginsWith" dxfId="3264" priority="1538" stopIfTrue="1" operator="beginsWith" text="Not Functioning">
      <formula>LEFT(E26,LEN("Not Functioning"))="Not Functioning"</formula>
    </cfRule>
    <cfRule type="containsText" dxfId="3263" priority="1539" operator="containsText" text="Functioning">
      <formula>NOT(ISERROR(SEARCH("Functioning",E26)))</formula>
    </cfRule>
  </conditionalFormatting>
  <conditionalFormatting sqref="C9:D11">
    <cfRule type="beginsWith" dxfId="3262" priority="1198" stopIfTrue="1" operator="beginsWith" text="Functioning At Risk">
      <formula>LEFT(C9,LEN("Functioning At Risk"))="Functioning At Risk"</formula>
    </cfRule>
    <cfRule type="beginsWith" dxfId="3261" priority="1199" stopIfTrue="1" operator="beginsWith" text="Not Functioning">
      <formula>LEFT(C9,LEN("Not Functioning"))="Not Functioning"</formula>
    </cfRule>
    <cfRule type="containsText" dxfId="3260" priority="1200" operator="containsText" text="Functioning">
      <formula>NOT(ISERROR(SEARCH("Functioning",C9)))</formula>
    </cfRule>
  </conditionalFormatting>
  <conditionalFormatting sqref="B9">
    <cfRule type="beginsWith" dxfId="3259" priority="1195" stopIfTrue="1" operator="beginsWith" text="Functioning At Risk">
      <formula>LEFT(B9,LEN("Functioning At Risk"))="Functioning At Risk"</formula>
    </cfRule>
    <cfRule type="beginsWith" dxfId="3258" priority="1196" stopIfTrue="1" operator="beginsWith" text="Not Functioning">
      <formula>LEFT(B9,LEN("Not Functioning"))="Not Functioning"</formula>
    </cfRule>
    <cfRule type="containsText" dxfId="3257" priority="1197" operator="containsText" text="Functioning">
      <formula>NOT(ISERROR(SEARCH("Functioning",B9)))</formula>
    </cfRule>
  </conditionalFormatting>
  <conditionalFormatting sqref="E25">
    <cfRule type="beginsWith" dxfId="3256" priority="1207" stopIfTrue="1" operator="beginsWith" text="Functioning At Risk">
      <formula>LEFT(E25,LEN("Functioning At Risk"))="Functioning At Risk"</formula>
    </cfRule>
    <cfRule type="beginsWith" dxfId="3255" priority="1208" stopIfTrue="1" operator="beginsWith" text="Not Functioning">
      <formula>LEFT(E25,LEN("Not Functioning"))="Not Functioning"</formula>
    </cfRule>
    <cfRule type="containsText" dxfId="3254" priority="1209" operator="containsText" text="Functioning">
      <formula>NOT(ISERROR(SEARCH("Functioning",E25)))</formula>
    </cfRule>
  </conditionalFormatting>
  <conditionalFormatting sqref="E228:E230">
    <cfRule type="expression" dxfId="3253" priority="7838">
      <formula>B48="Level 5 - Biology"</formula>
    </cfRule>
  </conditionalFormatting>
  <conditionalFormatting sqref="E268:E270">
    <cfRule type="expression" dxfId="3252" priority="7854">
      <formula>B88="Level 5 - Biology"</formula>
    </cfRule>
  </conditionalFormatting>
  <conditionalFormatting sqref="E10">
    <cfRule type="beginsWith" dxfId="3251" priority="1192" stopIfTrue="1" operator="beginsWith" text="Functioning At Risk">
      <formula>LEFT(E10,LEN("Functioning At Risk"))="Functioning At Risk"</formula>
    </cfRule>
    <cfRule type="beginsWith" dxfId="3250" priority="1193" stopIfTrue="1" operator="beginsWith" text="Not Functioning">
      <formula>LEFT(E10,LEN("Not Functioning"))="Not Functioning"</formula>
    </cfRule>
    <cfRule type="containsText" dxfId="3249" priority="1194" operator="containsText" text="Functioning">
      <formula>NOT(ISERROR(SEARCH("Functioning",E10)))</formula>
    </cfRule>
  </conditionalFormatting>
  <conditionalFormatting sqref="E9">
    <cfRule type="beginsWith" dxfId="3248" priority="1189" stopIfTrue="1" operator="beginsWith" text="Functioning At Risk">
      <formula>LEFT(E9,LEN("Functioning At Risk"))="Functioning At Risk"</formula>
    </cfRule>
    <cfRule type="beginsWith" dxfId="3247" priority="1190" stopIfTrue="1" operator="beginsWith" text="Not Functioning">
      <formula>LEFT(E9,LEN("Not Functioning"))="Not Functioning"</formula>
    </cfRule>
    <cfRule type="containsText" dxfId="3246" priority="1191" operator="containsText" text="Functioning">
      <formula>NOT(ISERROR(SEARCH("Functioning",E9)))</formula>
    </cfRule>
  </conditionalFormatting>
  <conditionalFormatting sqref="E9">
    <cfRule type="expression" dxfId="3245" priority="1188" stopIfTrue="1">
      <formula>ISBLANK($B$13)</formula>
    </cfRule>
  </conditionalFormatting>
  <conditionalFormatting sqref="E11:E12">
    <cfRule type="beginsWith" dxfId="3244" priority="1185" stopIfTrue="1" operator="beginsWith" text="Functioning At Risk">
      <formula>LEFT(E11,LEN("Functioning At Risk"))="Functioning At Risk"</formula>
    </cfRule>
    <cfRule type="beginsWith" dxfId="3243" priority="1186" stopIfTrue="1" operator="beginsWith" text="Not Functioning">
      <formula>LEFT(E11,LEN("Not Functioning"))="Not Functioning"</formula>
    </cfRule>
    <cfRule type="containsText" dxfId="3242" priority="1187" operator="containsText" text="Functioning">
      <formula>NOT(ISERROR(SEARCH("Functioning",E11)))</formula>
    </cfRule>
  </conditionalFormatting>
  <conditionalFormatting sqref="C48:D50">
    <cfRule type="beginsWith" dxfId="3241" priority="1179" stopIfTrue="1" operator="beginsWith" text="Functioning At Risk">
      <formula>LEFT(C48,LEN("Functioning At Risk"))="Functioning At Risk"</formula>
    </cfRule>
    <cfRule type="beginsWith" dxfId="3240" priority="1180" stopIfTrue="1" operator="beginsWith" text="Not Functioning">
      <formula>LEFT(C48,LEN("Not Functioning"))="Not Functioning"</formula>
    </cfRule>
    <cfRule type="containsText" dxfId="3239" priority="1181" operator="containsText" text="Functioning">
      <formula>NOT(ISERROR(SEARCH("Functioning",C48)))</formula>
    </cfRule>
  </conditionalFormatting>
  <conditionalFormatting sqref="B48">
    <cfRule type="beginsWith" dxfId="3238" priority="1176" stopIfTrue="1" operator="beginsWith" text="Functioning At Risk">
      <formula>LEFT(B48,LEN("Functioning At Risk"))="Functioning At Risk"</formula>
    </cfRule>
    <cfRule type="beginsWith" dxfId="3237" priority="1177" stopIfTrue="1" operator="beginsWith" text="Not Functioning">
      <formula>LEFT(B48,LEN("Not Functioning"))="Not Functioning"</formula>
    </cfRule>
    <cfRule type="containsText" dxfId="3236" priority="1178" operator="containsText" text="Functioning">
      <formula>NOT(ISERROR(SEARCH("Functioning",B48)))</formula>
    </cfRule>
  </conditionalFormatting>
  <conditionalFormatting sqref="E49">
    <cfRule type="beginsWith" dxfId="3235" priority="1173" stopIfTrue="1" operator="beginsWith" text="Functioning At Risk">
      <formula>LEFT(E49,LEN("Functioning At Risk"))="Functioning At Risk"</formula>
    </cfRule>
    <cfRule type="beginsWith" dxfId="3234" priority="1174" stopIfTrue="1" operator="beginsWith" text="Not Functioning">
      <formula>LEFT(E49,LEN("Not Functioning"))="Not Functioning"</formula>
    </cfRule>
    <cfRule type="containsText" dxfId="3233" priority="1175" operator="containsText" text="Functioning">
      <formula>NOT(ISERROR(SEARCH("Functioning",E49)))</formula>
    </cfRule>
  </conditionalFormatting>
  <conditionalFormatting sqref="E48">
    <cfRule type="beginsWith" dxfId="3232" priority="1170" stopIfTrue="1" operator="beginsWith" text="Functioning At Risk">
      <formula>LEFT(E48,LEN("Functioning At Risk"))="Functioning At Risk"</formula>
    </cfRule>
    <cfRule type="beginsWith" dxfId="3231" priority="1171" stopIfTrue="1" operator="beginsWith" text="Not Functioning">
      <formula>LEFT(E48,LEN("Not Functioning"))="Not Functioning"</formula>
    </cfRule>
    <cfRule type="containsText" dxfId="3230" priority="1172" operator="containsText" text="Functioning">
      <formula>NOT(ISERROR(SEARCH("Functioning",E48)))</formula>
    </cfRule>
  </conditionalFormatting>
  <conditionalFormatting sqref="E48">
    <cfRule type="expression" dxfId="3229" priority="1169" stopIfTrue="1">
      <formula>ISBLANK($B$13)</formula>
    </cfRule>
  </conditionalFormatting>
  <conditionalFormatting sqref="E50:E51">
    <cfRule type="beginsWith" dxfId="3228" priority="1166" stopIfTrue="1" operator="beginsWith" text="Functioning At Risk">
      <formula>LEFT(E50,LEN("Functioning At Risk"))="Functioning At Risk"</formula>
    </cfRule>
    <cfRule type="beginsWith" dxfId="3227" priority="1167" stopIfTrue="1" operator="beginsWith" text="Not Functioning">
      <formula>LEFT(E50,LEN("Not Functioning"))="Not Functioning"</formula>
    </cfRule>
    <cfRule type="containsText" dxfId="3226" priority="1168" operator="containsText" text="Functioning">
      <formula>NOT(ISERROR(SEARCH("Functioning",E50)))</formula>
    </cfRule>
  </conditionalFormatting>
  <conditionalFormatting sqref="C87:D89">
    <cfRule type="beginsWith" dxfId="3225" priority="1160" stopIfTrue="1" operator="beginsWith" text="Functioning At Risk">
      <formula>LEFT(C87,LEN("Functioning At Risk"))="Functioning At Risk"</formula>
    </cfRule>
    <cfRule type="beginsWith" dxfId="3224" priority="1161" stopIfTrue="1" operator="beginsWith" text="Not Functioning">
      <formula>LEFT(C87,LEN("Not Functioning"))="Not Functioning"</formula>
    </cfRule>
    <cfRule type="containsText" dxfId="3223" priority="1162" operator="containsText" text="Functioning">
      <formula>NOT(ISERROR(SEARCH("Functioning",C87)))</formula>
    </cfRule>
  </conditionalFormatting>
  <conditionalFormatting sqref="B87">
    <cfRule type="beginsWith" dxfId="3222" priority="1157" stopIfTrue="1" operator="beginsWith" text="Functioning At Risk">
      <formula>LEFT(B87,LEN("Functioning At Risk"))="Functioning At Risk"</formula>
    </cfRule>
    <cfRule type="beginsWith" dxfId="3221" priority="1158" stopIfTrue="1" operator="beginsWith" text="Not Functioning">
      <formula>LEFT(B87,LEN("Not Functioning"))="Not Functioning"</formula>
    </cfRule>
    <cfRule type="containsText" dxfId="3220" priority="1159" operator="containsText" text="Functioning">
      <formula>NOT(ISERROR(SEARCH("Functioning",B87)))</formula>
    </cfRule>
  </conditionalFormatting>
  <conditionalFormatting sqref="E88">
    <cfRule type="beginsWith" dxfId="3219" priority="1154" stopIfTrue="1" operator="beginsWith" text="Functioning At Risk">
      <formula>LEFT(E88,LEN("Functioning At Risk"))="Functioning At Risk"</formula>
    </cfRule>
    <cfRule type="beginsWith" dxfId="3218" priority="1155" stopIfTrue="1" operator="beginsWith" text="Not Functioning">
      <formula>LEFT(E88,LEN("Not Functioning"))="Not Functioning"</formula>
    </cfRule>
    <cfRule type="containsText" dxfId="3217" priority="1156" operator="containsText" text="Functioning">
      <formula>NOT(ISERROR(SEARCH("Functioning",E88)))</formula>
    </cfRule>
  </conditionalFormatting>
  <conditionalFormatting sqref="E87">
    <cfRule type="beginsWith" dxfId="3216" priority="1151" stopIfTrue="1" operator="beginsWith" text="Functioning At Risk">
      <formula>LEFT(E87,LEN("Functioning At Risk"))="Functioning At Risk"</formula>
    </cfRule>
    <cfRule type="beginsWith" dxfId="3215" priority="1152" stopIfTrue="1" operator="beginsWith" text="Not Functioning">
      <formula>LEFT(E87,LEN("Not Functioning"))="Not Functioning"</formula>
    </cfRule>
    <cfRule type="containsText" dxfId="3214" priority="1153" operator="containsText" text="Functioning">
      <formula>NOT(ISERROR(SEARCH("Functioning",E87)))</formula>
    </cfRule>
  </conditionalFormatting>
  <conditionalFormatting sqref="E87">
    <cfRule type="expression" dxfId="3213" priority="1150" stopIfTrue="1">
      <formula>ISBLANK($B$13)</formula>
    </cfRule>
  </conditionalFormatting>
  <conditionalFormatting sqref="E89:E90">
    <cfRule type="beginsWith" dxfId="3212" priority="1147" stopIfTrue="1" operator="beginsWith" text="Functioning At Risk">
      <formula>LEFT(E89,LEN("Functioning At Risk"))="Functioning At Risk"</formula>
    </cfRule>
    <cfRule type="beginsWith" dxfId="3211" priority="1148" stopIfTrue="1" operator="beginsWith" text="Not Functioning">
      <formula>LEFT(E89,LEN("Not Functioning"))="Not Functioning"</formula>
    </cfRule>
    <cfRule type="containsText" dxfId="3210" priority="1149" operator="containsText" text="Functioning">
      <formula>NOT(ISERROR(SEARCH("Functioning",E89)))</formula>
    </cfRule>
  </conditionalFormatting>
  <conditionalFormatting sqref="C126:D128">
    <cfRule type="beginsWith" dxfId="3209" priority="1141" stopIfTrue="1" operator="beginsWith" text="Functioning At Risk">
      <formula>LEFT(C126,LEN("Functioning At Risk"))="Functioning At Risk"</formula>
    </cfRule>
    <cfRule type="beginsWith" dxfId="3208" priority="1142" stopIfTrue="1" operator="beginsWith" text="Not Functioning">
      <formula>LEFT(C126,LEN("Not Functioning"))="Not Functioning"</formula>
    </cfRule>
    <cfRule type="containsText" dxfId="3207" priority="1143" operator="containsText" text="Functioning">
      <formula>NOT(ISERROR(SEARCH("Functioning",C126)))</formula>
    </cfRule>
  </conditionalFormatting>
  <conditionalFormatting sqref="B126">
    <cfRule type="beginsWith" dxfId="3206" priority="1138" stopIfTrue="1" operator="beginsWith" text="Functioning At Risk">
      <formula>LEFT(B126,LEN("Functioning At Risk"))="Functioning At Risk"</formula>
    </cfRule>
    <cfRule type="beginsWith" dxfId="3205" priority="1139" stopIfTrue="1" operator="beginsWith" text="Not Functioning">
      <formula>LEFT(B126,LEN("Not Functioning"))="Not Functioning"</formula>
    </cfRule>
    <cfRule type="containsText" dxfId="3204" priority="1140" operator="containsText" text="Functioning">
      <formula>NOT(ISERROR(SEARCH("Functioning",B126)))</formula>
    </cfRule>
  </conditionalFormatting>
  <conditionalFormatting sqref="E127">
    <cfRule type="beginsWith" dxfId="3203" priority="1135" stopIfTrue="1" operator="beginsWith" text="Functioning At Risk">
      <formula>LEFT(E127,LEN("Functioning At Risk"))="Functioning At Risk"</formula>
    </cfRule>
    <cfRule type="beginsWith" dxfId="3202" priority="1136" stopIfTrue="1" operator="beginsWith" text="Not Functioning">
      <formula>LEFT(E127,LEN("Not Functioning"))="Not Functioning"</formula>
    </cfRule>
    <cfRule type="containsText" dxfId="3201" priority="1137" operator="containsText" text="Functioning">
      <formula>NOT(ISERROR(SEARCH("Functioning",E127)))</formula>
    </cfRule>
  </conditionalFormatting>
  <conditionalFormatting sqref="E126">
    <cfRule type="beginsWith" dxfId="3200" priority="1132" stopIfTrue="1" operator="beginsWith" text="Functioning At Risk">
      <formula>LEFT(E126,LEN("Functioning At Risk"))="Functioning At Risk"</formula>
    </cfRule>
    <cfRule type="beginsWith" dxfId="3199" priority="1133" stopIfTrue="1" operator="beginsWith" text="Not Functioning">
      <formula>LEFT(E126,LEN("Not Functioning"))="Not Functioning"</formula>
    </cfRule>
    <cfRule type="containsText" dxfId="3198" priority="1134" operator="containsText" text="Functioning">
      <formula>NOT(ISERROR(SEARCH("Functioning",E126)))</formula>
    </cfRule>
  </conditionalFormatting>
  <conditionalFormatting sqref="E126">
    <cfRule type="expression" dxfId="3197" priority="1131" stopIfTrue="1">
      <formula>ISBLANK($B$13)</formula>
    </cfRule>
  </conditionalFormatting>
  <conditionalFormatting sqref="E128:E129">
    <cfRule type="beginsWith" dxfId="3196" priority="1128" stopIfTrue="1" operator="beginsWith" text="Functioning At Risk">
      <formula>LEFT(E128,LEN("Functioning At Risk"))="Functioning At Risk"</formula>
    </cfRule>
    <cfRule type="beginsWith" dxfId="3195" priority="1129" stopIfTrue="1" operator="beginsWith" text="Not Functioning">
      <formula>LEFT(E128,LEN("Not Functioning"))="Not Functioning"</formula>
    </cfRule>
    <cfRule type="containsText" dxfId="3194" priority="1130" operator="containsText" text="Functioning">
      <formula>NOT(ISERROR(SEARCH("Functioning",E128)))</formula>
    </cfRule>
  </conditionalFormatting>
  <conditionalFormatting sqref="C165:D167">
    <cfRule type="beginsWith" dxfId="3193" priority="1122" stopIfTrue="1" operator="beginsWith" text="Functioning At Risk">
      <formula>LEFT(C165,LEN("Functioning At Risk"))="Functioning At Risk"</formula>
    </cfRule>
    <cfRule type="beginsWith" dxfId="3192" priority="1123" stopIfTrue="1" operator="beginsWith" text="Not Functioning">
      <formula>LEFT(C165,LEN("Not Functioning"))="Not Functioning"</formula>
    </cfRule>
    <cfRule type="containsText" dxfId="3191" priority="1124" operator="containsText" text="Functioning">
      <formula>NOT(ISERROR(SEARCH("Functioning",C165)))</formula>
    </cfRule>
  </conditionalFormatting>
  <conditionalFormatting sqref="B165">
    <cfRule type="beginsWith" dxfId="3190" priority="1119" stopIfTrue="1" operator="beginsWith" text="Functioning At Risk">
      <formula>LEFT(B165,LEN("Functioning At Risk"))="Functioning At Risk"</formula>
    </cfRule>
    <cfRule type="beginsWith" dxfId="3189" priority="1120" stopIfTrue="1" operator="beginsWith" text="Not Functioning">
      <formula>LEFT(B165,LEN("Not Functioning"))="Not Functioning"</formula>
    </cfRule>
    <cfRule type="containsText" dxfId="3188" priority="1121" operator="containsText" text="Functioning">
      <formula>NOT(ISERROR(SEARCH("Functioning",B165)))</formula>
    </cfRule>
  </conditionalFormatting>
  <conditionalFormatting sqref="E166">
    <cfRule type="beginsWith" dxfId="3187" priority="1116" stopIfTrue="1" operator="beginsWith" text="Functioning At Risk">
      <formula>LEFT(E166,LEN("Functioning At Risk"))="Functioning At Risk"</formula>
    </cfRule>
    <cfRule type="beginsWith" dxfId="3186" priority="1117" stopIfTrue="1" operator="beginsWith" text="Not Functioning">
      <formula>LEFT(E166,LEN("Not Functioning"))="Not Functioning"</formula>
    </cfRule>
    <cfRule type="containsText" dxfId="3185" priority="1118" operator="containsText" text="Functioning">
      <formula>NOT(ISERROR(SEARCH("Functioning",E166)))</formula>
    </cfRule>
  </conditionalFormatting>
  <conditionalFormatting sqref="E165">
    <cfRule type="beginsWith" dxfId="3184" priority="1113" stopIfTrue="1" operator="beginsWith" text="Functioning At Risk">
      <formula>LEFT(E165,LEN("Functioning At Risk"))="Functioning At Risk"</formula>
    </cfRule>
    <cfRule type="beginsWith" dxfId="3183" priority="1114" stopIfTrue="1" operator="beginsWith" text="Not Functioning">
      <formula>LEFT(E165,LEN("Not Functioning"))="Not Functioning"</formula>
    </cfRule>
    <cfRule type="containsText" dxfId="3182" priority="1115" operator="containsText" text="Functioning">
      <formula>NOT(ISERROR(SEARCH("Functioning",E165)))</formula>
    </cfRule>
  </conditionalFormatting>
  <conditionalFormatting sqref="E165">
    <cfRule type="expression" dxfId="3181" priority="1112" stopIfTrue="1">
      <formula>ISBLANK($B$13)</formula>
    </cfRule>
  </conditionalFormatting>
  <conditionalFormatting sqref="E167:E168">
    <cfRule type="beginsWith" dxfId="3180" priority="1109" stopIfTrue="1" operator="beginsWith" text="Functioning At Risk">
      <formula>LEFT(E167,LEN("Functioning At Risk"))="Functioning At Risk"</formula>
    </cfRule>
    <cfRule type="beginsWith" dxfId="3179" priority="1110" stopIfTrue="1" operator="beginsWith" text="Not Functioning">
      <formula>LEFT(E167,LEN("Not Functioning"))="Not Functioning"</formula>
    </cfRule>
    <cfRule type="containsText" dxfId="3178" priority="1111" operator="containsText" text="Functioning">
      <formula>NOT(ISERROR(SEARCH("Functioning",E167)))</formula>
    </cfRule>
  </conditionalFormatting>
  <conditionalFormatting sqref="C204:D206">
    <cfRule type="beginsWith" dxfId="3177" priority="1103" stopIfTrue="1" operator="beginsWith" text="Functioning At Risk">
      <formula>LEFT(C204,LEN("Functioning At Risk"))="Functioning At Risk"</formula>
    </cfRule>
    <cfRule type="beginsWith" dxfId="3176" priority="1104" stopIfTrue="1" operator="beginsWith" text="Not Functioning">
      <formula>LEFT(C204,LEN("Not Functioning"))="Not Functioning"</formula>
    </cfRule>
    <cfRule type="containsText" dxfId="3175" priority="1105" operator="containsText" text="Functioning">
      <formula>NOT(ISERROR(SEARCH("Functioning",C204)))</formula>
    </cfRule>
  </conditionalFormatting>
  <conditionalFormatting sqref="B204">
    <cfRule type="beginsWith" dxfId="3174" priority="1100" stopIfTrue="1" operator="beginsWith" text="Functioning At Risk">
      <formula>LEFT(B204,LEN("Functioning At Risk"))="Functioning At Risk"</formula>
    </cfRule>
    <cfRule type="beginsWith" dxfId="3173" priority="1101" stopIfTrue="1" operator="beginsWith" text="Not Functioning">
      <formula>LEFT(B204,LEN("Not Functioning"))="Not Functioning"</formula>
    </cfRule>
    <cfRule type="containsText" dxfId="3172" priority="1102" operator="containsText" text="Functioning">
      <formula>NOT(ISERROR(SEARCH("Functioning",B204)))</formula>
    </cfRule>
  </conditionalFormatting>
  <conditionalFormatting sqref="E205">
    <cfRule type="beginsWith" dxfId="3171" priority="1097" stopIfTrue="1" operator="beginsWith" text="Functioning At Risk">
      <formula>LEFT(E205,LEN("Functioning At Risk"))="Functioning At Risk"</formula>
    </cfRule>
    <cfRule type="beginsWith" dxfId="3170" priority="1098" stopIfTrue="1" operator="beginsWith" text="Not Functioning">
      <formula>LEFT(E205,LEN("Not Functioning"))="Not Functioning"</formula>
    </cfRule>
    <cfRule type="containsText" dxfId="3169" priority="1099" operator="containsText" text="Functioning">
      <formula>NOT(ISERROR(SEARCH("Functioning",E205)))</formula>
    </cfRule>
  </conditionalFormatting>
  <conditionalFormatting sqref="E204">
    <cfRule type="beginsWith" dxfId="3168" priority="1094" stopIfTrue="1" operator="beginsWith" text="Functioning At Risk">
      <formula>LEFT(E204,LEN("Functioning At Risk"))="Functioning At Risk"</formula>
    </cfRule>
    <cfRule type="beginsWith" dxfId="3167" priority="1095" stopIfTrue="1" operator="beginsWith" text="Not Functioning">
      <formula>LEFT(E204,LEN("Not Functioning"))="Not Functioning"</formula>
    </cfRule>
    <cfRule type="containsText" dxfId="3166" priority="1096" operator="containsText" text="Functioning">
      <formula>NOT(ISERROR(SEARCH("Functioning",E204)))</formula>
    </cfRule>
  </conditionalFormatting>
  <conditionalFormatting sqref="E204">
    <cfRule type="expression" dxfId="3165" priority="1093" stopIfTrue="1">
      <formula>ISBLANK($B$13)</formula>
    </cfRule>
  </conditionalFormatting>
  <conditionalFormatting sqref="E206:E207">
    <cfRule type="beginsWith" dxfId="3164" priority="1090" stopIfTrue="1" operator="beginsWith" text="Functioning At Risk">
      <formula>LEFT(E206,LEN("Functioning At Risk"))="Functioning At Risk"</formula>
    </cfRule>
    <cfRule type="beginsWith" dxfId="3163" priority="1091" stopIfTrue="1" operator="beginsWith" text="Not Functioning">
      <formula>LEFT(E206,LEN("Not Functioning"))="Not Functioning"</formula>
    </cfRule>
    <cfRule type="containsText" dxfId="3162" priority="1092" operator="containsText" text="Functioning">
      <formula>NOT(ISERROR(SEARCH("Functioning",E206)))</formula>
    </cfRule>
  </conditionalFormatting>
  <conditionalFormatting sqref="C244:D246">
    <cfRule type="beginsWith" dxfId="3161" priority="1084" stopIfTrue="1" operator="beginsWith" text="Functioning At Risk">
      <formula>LEFT(C244,LEN("Functioning At Risk"))="Functioning At Risk"</formula>
    </cfRule>
    <cfRule type="beginsWith" dxfId="3160" priority="1085" stopIfTrue="1" operator="beginsWith" text="Not Functioning">
      <formula>LEFT(C244,LEN("Not Functioning"))="Not Functioning"</formula>
    </cfRule>
    <cfRule type="containsText" dxfId="3159" priority="1086" operator="containsText" text="Functioning">
      <formula>NOT(ISERROR(SEARCH("Functioning",C244)))</formula>
    </cfRule>
  </conditionalFormatting>
  <conditionalFormatting sqref="B244">
    <cfRule type="beginsWith" dxfId="3158" priority="1081" stopIfTrue="1" operator="beginsWith" text="Functioning At Risk">
      <formula>LEFT(B244,LEN("Functioning At Risk"))="Functioning At Risk"</formula>
    </cfRule>
    <cfRule type="beginsWith" dxfId="3157" priority="1082" stopIfTrue="1" operator="beginsWith" text="Not Functioning">
      <formula>LEFT(B244,LEN("Not Functioning"))="Not Functioning"</formula>
    </cfRule>
    <cfRule type="containsText" dxfId="3156" priority="1083" operator="containsText" text="Functioning">
      <formula>NOT(ISERROR(SEARCH("Functioning",B244)))</formula>
    </cfRule>
  </conditionalFormatting>
  <conditionalFormatting sqref="E245">
    <cfRule type="beginsWith" dxfId="3155" priority="1078" stopIfTrue="1" operator="beginsWith" text="Functioning At Risk">
      <formula>LEFT(E245,LEN("Functioning At Risk"))="Functioning At Risk"</formula>
    </cfRule>
    <cfRule type="beginsWith" dxfId="3154" priority="1079" stopIfTrue="1" operator="beginsWith" text="Not Functioning">
      <formula>LEFT(E245,LEN("Not Functioning"))="Not Functioning"</formula>
    </cfRule>
    <cfRule type="containsText" dxfId="3153" priority="1080" operator="containsText" text="Functioning">
      <formula>NOT(ISERROR(SEARCH("Functioning",E245)))</formula>
    </cfRule>
  </conditionalFormatting>
  <conditionalFormatting sqref="E244">
    <cfRule type="beginsWith" dxfId="3152" priority="1075" stopIfTrue="1" operator="beginsWith" text="Functioning At Risk">
      <formula>LEFT(E244,LEN("Functioning At Risk"))="Functioning At Risk"</formula>
    </cfRule>
    <cfRule type="beginsWith" dxfId="3151" priority="1076" stopIfTrue="1" operator="beginsWith" text="Not Functioning">
      <formula>LEFT(E244,LEN("Not Functioning"))="Not Functioning"</formula>
    </cfRule>
    <cfRule type="containsText" dxfId="3150" priority="1077" operator="containsText" text="Functioning">
      <formula>NOT(ISERROR(SEARCH("Functioning",E244)))</formula>
    </cfRule>
  </conditionalFormatting>
  <conditionalFormatting sqref="E244">
    <cfRule type="expression" dxfId="3149" priority="1074" stopIfTrue="1">
      <formula>ISBLANK($B$13)</formula>
    </cfRule>
  </conditionalFormatting>
  <conditionalFormatting sqref="E246:E247">
    <cfRule type="beginsWith" dxfId="3148" priority="1071" stopIfTrue="1" operator="beginsWith" text="Functioning At Risk">
      <formula>LEFT(E246,LEN("Functioning At Risk"))="Functioning At Risk"</formula>
    </cfRule>
    <cfRule type="beginsWith" dxfId="3147" priority="1072" stopIfTrue="1" operator="beginsWith" text="Not Functioning">
      <formula>LEFT(E246,LEN("Not Functioning"))="Not Functioning"</formula>
    </cfRule>
    <cfRule type="containsText" dxfId="3146" priority="1073" operator="containsText" text="Functioning">
      <formula>NOT(ISERROR(SEARCH("Functioning",E246)))</formula>
    </cfRule>
  </conditionalFormatting>
  <conditionalFormatting sqref="C284:D286">
    <cfRule type="beginsWith" dxfId="3145" priority="1065" stopIfTrue="1" operator="beginsWith" text="Functioning At Risk">
      <formula>LEFT(C284,LEN("Functioning At Risk"))="Functioning At Risk"</formula>
    </cfRule>
    <cfRule type="beginsWith" dxfId="3144" priority="1066" stopIfTrue="1" operator="beginsWith" text="Not Functioning">
      <formula>LEFT(C284,LEN("Not Functioning"))="Not Functioning"</formula>
    </cfRule>
    <cfRule type="containsText" dxfId="3143" priority="1067" operator="containsText" text="Functioning">
      <formula>NOT(ISERROR(SEARCH("Functioning",C284)))</formula>
    </cfRule>
  </conditionalFormatting>
  <conditionalFormatting sqref="B284">
    <cfRule type="beginsWith" dxfId="3142" priority="1062" stopIfTrue="1" operator="beginsWith" text="Functioning At Risk">
      <formula>LEFT(B284,LEN("Functioning At Risk"))="Functioning At Risk"</formula>
    </cfRule>
    <cfRule type="beginsWith" dxfId="3141" priority="1063" stopIfTrue="1" operator="beginsWith" text="Not Functioning">
      <formula>LEFT(B284,LEN("Not Functioning"))="Not Functioning"</formula>
    </cfRule>
    <cfRule type="containsText" dxfId="3140" priority="1064" operator="containsText" text="Functioning">
      <formula>NOT(ISERROR(SEARCH("Functioning",B284)))</formula>
    </cfRule>
  </conditionalFormatting>
  <conditionalFormatting sqref="E285">
    <cfRule type="beginsWith" dxfId="3139" priority="1059" stopIfTrue="1" operator="beginsWith" text="Functioning At Risk">
      <formula>LEFT(E285,LEN("Functioning At Risk"))="Functioning At Risk"</formula>
    </cfRule>
    <cfRule type="beginsWith" dxfId="3138" priority="1060" stopIfTrue="1" operator="beginsWith" text="Not Functioning">
      <formula>LEFT(E285,LEN("Not Functioning"))="Not Functioning"</formula>
    </cfRule>
    <cfRule type="containsText" dxfId="3137" priority="1061" operator="containsText" text="Functioning">
      <formula>NOT(ISERROR(SEARCH("Functioning",E285)))</formula>
    </cfRule>
  </conditionalFormatting>
  <conditionalFormatting sqref="E284">
    <cfRule type="beginsWith" dxfId="3136" priority="1056" stopIfTrue="1" operator="beginsWith" text="Functioning At Risk">
      <formula>LEFT(E284,LEN("Functioning At Risk"))="Functioning At Risk"</formula>
    </cfRule>
    <cfRule type="beginsWith" dxfId="3135" priority="1057" stopIfTrue="1" operator="beginsWith" text="Not Functioning">
      <formula>LEFT(E284,LEN("Not Functioning"))="Not Functioning"</formula>
    </cfRule>
    <cfRule type="containsText" dxfId="3134" priority="1058" operator="containsText" text="Functioning">
      <formula>NOT(ISERROR(SEARCH("Functioning",E284)))</formula>
    </cfRule>
  </conditionalFormatting>
  <conditionalFormatting sqref="E284">
    <cfRule type="expression" dxfId="3133" priority="1055" stopIfTrue="1">
      <formula>ISBLANK($B$13)</formula>
    </cfRule>
  </conditionalFormatting>
  <conditionalFormatting sqref="E286:E287">
    <cfRule type="beginsWith" dxfId="3132" priority="1052" stopIfTrue="1" operator="beginsWith" text="Functioning At Risk">
      <formula>LEFT(E286,LEN("Functioning At Risk"))="Functioning At Risk"</formula>
    </cfRule>
    <cfRule type="beginsWith" dxfId="3131" priority="1053" stopIfTrue="1" operator="beginsWith" text="Not Functioning">
      <formula>LEFT(E286,LEN("Not Functioning"))="Not Functioning"</formula>
    </cfRule>
    <cfRule type="containsText" dxfId="3130" priority="1054" operator="containsText" text="Functioning">
      <formula>NOT(ISERROR(SEARCH("Functioning",E286)))</formula>
    </cfRule>
  </conditionalFormatting>
  <conditionalFormatting sqref="C324:D326">
    <cfRule type="beginsWith" dxfId="3129" priority="1046" stopIfTrue="1" operator="beginsWith" text="Functioning At Risk">
      <formula>LEFT(C324,LEN("Functioning At Risk"))="Functioning At Risk"</formula>
    </cfRule>
    <cfRule type="beginsWith" dxfId="3128" priority="1047" stopIfTrue="1" operator="beginsWith" text="Not Functioning">
      <formula>LEFT(C324,LEN("Not Functioning"))="Not Functioning"</formula>
    </cfRule>
    <cfRule type="containsText" dxfId="3127" priority="1048" operator="containsText" text="Functioning">
      <formula>NOT(ISERROR(SEARCH("Functioning",C324)))</formula>
    </cfRule>
  </conditionalFormatting>
  <conditionalFormatting sqref="B324">
    <cfRule type="beginsWith" dxfId="3126" priority="1043" stopIfTrue="1" operator="beginsWith" text="Functioning At Risk">
      <formula>LEFT(B324,LEN("Functioning At Risk"))="Functioning At Risk"</formula>
    </cfRule>
    <cfRule type="beginsWith" dxfId="3125" priority="1044" stopIfTrue="1" operator="beginsWith" text="Not Functioning">
      <formula>LEFT(B324,LEN("Not Functioning"))="Not Functioning"</formula>
    </cfRule>
    <cfRule type="containsText" dxfId="3124" priority="1045" operator="containsText" text="Functioning">
      <formula>NOT(ISERROR(SEARCH("Functioning",B324)))</formula>
    </cfRule>
  </conditionalFormatting>
  <conditionalFormatting sqref="E325">
    <cfRule type="beginsWith" dxfId="3123" priority="1040" stopIfTrue="1" operator="beginsWith" text="Functioning At Risk">
      <formula>LEFT(E325,LEN("Functioning At Risk"))="Functioning At Risk"</formula>
    </cfRule>
    <cfRule type="beginsWith" dxfId="3122" priority="1041" stopIfTrue="1" operator="beginsWith" text="Not Functioning">
      <formula>LEFT(E325,LEN("Not Functioning"))="Not Functioning"</formula>
    </cfRule>
    <cfRule type="containsText" dxfId="3121" priority="1042" operator="containsText" text="Functioning">
      <formula>NOT(ISERROR(SEARCH("Functioning",E325)))</formula>
    </cfRule>
  </conditionalFormatting>
  <conditionalFormatting sqref="E324">
    <cfRule type="beginsWith" dxfId="3120" priority="1037" stopIfTrue="1" operator="beginsWith" text="Functioning At Risk">
      <formula>LEFT(E324,LEN("Functioning At Risk"))="Functioning At Risk"</formula>
    </cfRule>
    <cfRule type="beginsWith" dxfId="3119" priority="1038" stopIfTrue="1" operator="beginsWith" text="Not Functioning">
      <formula>LEFT(E324,LEN("Not Functioning"))="Not Functioning"</formula>
    </cfRule>
    <cfRule type="containsText" dxfId="3118" priority="1039" operator="containsText" text="Functioning">
      <formula>NOT(ISERROR(SEARCH("Functioning",E324)))</formula>
    </cfRule>
  </conditionalFormatting>
  <conditionalFormatting sqref="E324">
    <cfRule type="expression" dxfId="3117" priority="1036" stopIfTrue="1">
      <formula>ISBLANK($B$13)</formula>
    </cfRule>
  </conditionalFormatting>
  <conditionalFormatting sqref="E326:E327">
    <cfRule type="beginsWith" dxfId="3116" priority="1033" stopIfTrue="1" operator="beginsWith" text="Functioning At Risk">
      <formula>LEFT(E326,LEN("Functioning At Risk"))="Functioning At Risk"</formula>
    </cfRule>
    <cfRule type="beginsWith" dxfId="3115" priority="1034" stopIfTrue="1" operator="beginsWith" text="Not Functioning">
      <formula>LEFT(E326,LEN("Not Functioning"))="Not Functioning"</formula>
    </cfRule>
    <cfRule type="containsText" dxfId="3114" priority="1035" operator="containsText" text="Functioning">
      <formula>NOT(ISERROR(SEARCH("Functioning",E326)))</formula>
    </cfRule>
  </conditionalFormatting>
  <conditionalFormatting sqref="C364:D366">
    <cfRule type="beginsWith" dxfId="3113" priority="1027" stopIfTrue="1" operator="beginsWith" text="Functioning At Risk">
      <formula>LEFT(C364,LEN("Functioning At Risk"))="Functioning At Risk"</formula>
    </cfRule>
    <cfRule type="beginsWith" dxfId="3112" priority="1028" stopIfTrue="1" operator="beginsWith" text="Not Functioning">
      <formula>LEFT(C364,LEN("Not Functioning"))="Not Functioning"</formula>
    </cfRule>
    <cfRule type="containsText" dxfId="3111" priority="1029" operator="containsText" text="Functioning">
      <formula>NOT(ISERROR(SEARCH("Functioning",C364)))</formula>
    </cfRule>
  </conditionalFormatting>
  <conditionalFormatting sqref="B364">
    <cfRule type="beginsWith" dxfId="3110" priority="1024" stopIfTrue="1" operator="beginsWith" text="Functioning At Risk">
      <formula>LEFT(B364,LEN("Functioning At Risk"))="Functioning At Risk"</formula>
    </cfRule>
    <cfRule type="beginsWith" dxfId="3109" priority="1025" stopIfTrue="1" operator="beginsWith" text="Not Functioning">
      <formula>LEFT(B364,LEN("Not Functioning"))="Not Functioning"</formula>
    </cfRule>
    <cfRule type="containsText" dxfId="3108" priority="1026" operator="containsText" text="Functioning">
      <formula>NOT(ISERROR(SEARCH("Functioning",B364)))</formula>
    </cfRule>
  </conditionalFormatting>
  <conditionalFormatting sqref="E365">
    <cfRule type="beginsWith" dxfId="3107" priority="1021" stopIfTrue="1" operator="beginsWith" text="Functioning At Risk">
      <formula>LEFT(E365,LEN("Functioning At Risk"))="Functioning At Risk"</formula>
    </cfRule>
    <cfRule type="beginsWith" dxfId="3106" priority="1022" stopIfTrue="1" operator="beginsWith" text="Not Functioning">
      <formula>LEFT(E365,LEN("Not Functioning"))="Not Functioning"</formula>
    </cfRule>
    <cfRule type="containsText" dxfId="3105" priority="1023" operator="containsText" text="Functioning">
      <formula>NOT(ISERROR(SEARCH("Functioning",E365)))</formula>
    </cfRule>
  </conditionalFormatting>
  <conditionalFormatting sqref="E364">
    <cfRule type="beginsWith" dxfId="3104" priority="1018" stopIfTrue="1" operator="beginsWith" text="Functioning At Risk">
      <formula>LEFT(E364,LEN("Functioning At Risk"))="Functioning At Risk"</formula>
    </cfRule>
    <cfRule type="beginsWith" dxfId="3103" priority="1019" stopIfTrue="1" operator="beginsWith" text="Not Functioning">
      <formula>LEFT(E364,LEN("Not Functioning"))="Not Functioning"</formula>
    </cfRule>
    <cfRule type="containsText" dxfId="3102" priority="1020" operator="containsText" text="Functioning">
      <formula>NOT(ISERROR(SEARCH("Functioning",E364)))</formula>
    </cfRule>
  </conditionalFormatting>
  <conditionalFormatting sqref="E364">
    <cfRule type="expression" dxfId="3101" priority="1017" stopIfTrue="1">
      <formula>ISBLANK($B$13)</formula>
    </cfRule>
  </conditionalFormatting>
  <conditionalFormatting sqref="E366:E367">
    <cfRule type="beginsWith" dxfId="3100" priority="1014" stopIfTrue="1" operator="beginsWith" text="Functioning At Risk">
      <formula>LEFT(E366,LEN("Functioning At Risk"))="Functioning At Risk"</formula>
    </cfRule>
    <cfRule type="beginsWith" dxfId="3099" priority="1015" stopIfTrue="1" operator="beginsWith" text="Not Functioning">
      <formula>LEFT(E366,LEN("Not Functioning"))="Not Functioning"</formula>
    </cfRule>
    <cfRule type="containsText" dxfId="3098" priority="1016" operator="containsText" text="Functioning">
      <formula>NOT(ISERROR(SEARCH("Functioning",E366)))</formula>
    </cfRule>
  </conditionalFormatting>
  <conditionalFormatting sqref="C404:D406">
    <cfRule type="beginsWith" dxfId="3097" priority="1008" stopIfTrue="1" operator="beginsWith" text="Functioning At Risk">
      <formula>LEFT(C404,LEN("Functioning At Risk"))="Functioning At Risk"</formula>
    </cfRule>
    <cfRule type="beginsWith" dxfId="3096" priority="1009" stopIfTrue="1" operator="beginsWith" text="Not Functioning">
      <formula>LEFT(C404,LEN("Not Functioning"))="Not Functioning"</formula>
    </cfRule>
    <cfRule type="containsText" dxfId="3095" priority="1010" operator="containsText" text="Functioning">
      <formula>NOT(ISERROR(SEARCH("Functioning",C404)))</formula>
    </cfRule>
  </conditionalFormatting>
  <conditionalFormatting sqref="B404">
    <cfRule type="beginsWith" dxfId="3094" priority="1005" stopIfTrue="1" operator="beginsWith" text="Functioning At Risk">
      <formula>LEFT(B404,LEN("Functioning At Risk"))="Functioning At Risk"</formula>
    </cfRule>
    <cfRule type="beginsWith" dxfId="3093" priority="1006" stopIfTrue="1" operator="beginsWith" text="Not Functioning">
      <formula>LEFT(B404,LEN("Not Functioning"))="Not Functioning"</formula>
    </cfRule>
    <cfRule type="containsText" dxfId="3092" priority="1007" operator="containsText" text="Functioning">
      <formula>NOT(ISERROR(SEARCH("Functioning",B404)))</formula>
    </cfRule>
  </conditionalFormatting>
  <conditionalFormatting sqref="E405">
    <cfRule type="beginsWith" dxfId="3091" priority="1002" stopIfTrue="1" operator="beginsWith" text="Functioning At Risk">
      <formula>LEFT(E405,LEN("Functioning At Risk"))="Functioning At Risk"</formula>
    </cfRule>
    <cfRule type="beginsWith" dxfId="3090" priority="1003" stopIfTrue="1" operator="beginsWith" text="Not Functioning">
      <formula>LEFT(E405,LEN("Not Functioning"))="Not Functioning"</formula>
    </cfRule>
    <cfRule type="containsText" dxfId="3089" priority="1004" operator="containsText" text="Functioning">
      <formula>NOT(ISERROR(SEARCH("Functioning",E405)))</formula>
    </cfRule>
  </conditionalFormatting>
  <conditionalFormatting sqref="E404">
    <cfRule type="beginsWith" dxfId="3088" priority="999" stopIfTrue="1" operator="beginsWith" text="Functioning At Risk">
      <formula>LEFT(E404,LEN("Functioning At Risk"))="Functioning At Risk"</formula>
    </cfRule>
    <cfRule type="beginsWith" dxfId="3087" priority="1000" stopIfTrue="1" operator="beginsWith" text="Not Functioning">
      <formula>LEFT(E404,LEN("Not Functioning"))="Not Functioning"</formula>
    </cfRule>
    <cfRule type="containsText" dxfId="3086" priority="1001" operator="containsText" text="Functioning">
      <formula>NOT(ISERROR(SEARCH("Functioning",E404)))</formula>
    </cfRule>
  </conditionalFormatting>
  <conditionalFormatting sqref="E404">
    <cfRule type="expression" dxfId="3085" priority="998" stopIfTrue="1">
      <formula>ISBLANK($B$13)</formula>
    </cfRule>
  </conditionalFormatting>
  <conditionalFormatting sqref="E406:E407">
    <cfRule type="beginsWith" dxfId="3084" priority="995" stopIfTrue="1" operator="beginsWith" text="Functioning At Risk">
      <formula>LEFT(E406,LEN("Functioning At Risk"))="Functioning At Risk"</formula>
    </cfRule>
    <cfRule type="beginsWith" dxfId="3083" priority="996" stopIfTrue="1" operator="beginsWith" text="Not Functioning">
      <formula>LEFT(E406,LEN("Not Functioning"))="Not Functioning"</formula>
    </cfRule>
    <cfRule type="containsText" dxfId="3082" priority="997" operator="containsText" text="Functioning">
      <formula>NOT(ISERROR(SEARCH("Functioning",E406)))</formula>
    </cfRule>
  </conditionalFormatting>
  <conditionalFormatting sqref="J397:K397">
    <cfRule type="beginsWith" dxfId="3081" priority="962" stopIfTrue="1" operator="beginsWith" text="Functioning At Risk">
      <formula>LEFT(J397,LEN("Functioning At Risk"))="Functioning At Risk"</formula>
    </cfRule>
    <cfRule type="beginsWith" dxfId="3080" priority="963" stopIfTrue="1" operator="beginsWith" text="Not Functioning">
      <formula>LEFT(J397,LEN("Not Functioning"))="Not Functioning"</formula>
    </cfRule>
    <cfRule type="containsText" dxfId="3079" priority="964" operator="containsText" text="Functioning">
      <formula>NOT(ISERROR(SEARCH("Functioning",J397)))</formula>
    </cfRule>
  </conditionalFormatting>
  <conditionalFormatting sqref="J357:K357">
    <cfRule type="beginsWith" dxfId="3078" priority="959" stopIfTrue="1" operator="beginsWith" text="Functioning At Risk">
      <formula>LEFT(J357,LEN("Functioning At Risk"))="Functioning At Risk"</formula>
    </cfRule>
    <cfRule type="beginsWith" dxfId="3077" priority="960" stopIfTrue="1" operator="beginsWith" text="Not Functioning">
      <formula>LEFT(J357,LEN("Not Functioning"))="Not Functioning"</formula>
    </cfRule>
    <cfRule type="containsText" dxfId="3076" priority="961" operator="containsText" text="Functioning">
      <formula>NOT(ISERROR(SEARCH("Functioning",J357)))</formula>
    </cfRule>
  </conditionalFormatting>
  <conditionalFormatting sqref="J317:K317">
    <cfRule type="beginsWith" dxfId="3075" priority="956" stopIfTrue="1" operator="beginsWith" text="Functioning At Risk">
      <formula>LEFT(J317,LEN("Functioning At Risk"))="Functioning At Risk"</formula>
    </cfRule>
    <cfRule type="beginsWith" dxfId="3074" priority="957" stopIfTrue="1" operator="beginsWith" text="Not Functioning">
      <formula>LEFT(J317,LEN("Not Functioning"))="Not Functioning"</formula>
    </cfRule>
    <cfRule type="containsText" dxfId="3073" priority="958" operator="containsText" text="Functioning">
      <formula>NOT(ISERROR(SEARCH("Functioning",J317)))</formula>
    </cfRule>
  </conditionalFormatting>
  <conditionalFormatting sqref="J277:K277">
    <cfRule type="beginsWith" dxfId="3072" priority="953" stopIfTrue="1" operator="beginsWith" text="Functioning At Risk">
      <formula>LEFT(J277,LEN("Functioning At Risk"))="Functioning At Risk"</formula>
    </cfRule>
    <cfRule type="beginsWith" dxfId="3071" priority="954" stopIfTrue="1" operator="beginsWith" text="Not Functioning">
      <formula>LEFT(J277,LEN("Not Functioning"))="Not Functioning"</formula>
    </cfRule>
    <cfRule type="containsText" dxfId="3070" priority="955" operator="containsText" text="Functioning">
      <formula>NOT(ISERROR(SEARCH("Functioning",J277)))</formula>
    </cfRule>
  </conditionalFormatting>
  <conditionalFormatting sqref="J237:K237">
    <cfRule type="beginsWith" dxfId="3069" priority="950" stopIfTrue="1" operator="beginsWith" text="Functioning At Risk">
      <formula>LEFT(J237,LEN("Functioning At Risk"))="Functioning At Risk"</formula>
    </cfRule>
    <cfRule type="beginsWith" dxfId="3068" priority="951" stopIfTrue="1" operator="beginsWith" text="Not Functioning">
      <formula>LEFT(J237,LEN("Not Functioning"))="Not Functioning"</formula>
    </cfRule>
    <cfRule type="containsText" dxfId="3067" priority="952" operator="containsText" text="Functioning">
      <formula>NOT(ISERROR(SEARCH("Functioning",J237)))</formula>
    </cfRule>
  </conditionalFormatting>
  <conditionalFormatting sqref="J197:K197">
    <cfRule type="beginsWith" dxfId="3066" priority="947" stopIfTrue="1" operator="beginsWith" text="Functioning At Risk">
      <formula>LEFT(J197,LEN("Functioning At Risk"))="Functioning At Risk"</formula>
    </cfRule>
    <cfRule type="beginsWith" dxfId="3065" priority="948" stopIfTrue="1" operator="beginsWith" text="Not Functioning">
      <formula>LEFT(J197,LEN("Not Functioning"))="Not Functioning"</formula>
    </cfRule>
    <cfRule type="containsText" dxfId="3064" priority="949" operator="containsText" text="Functioning">
      <formula>NOT(ISERROR(SEARCH("Functioning",J197)))</formula>
    </cfRule>
  </conditionalFormatting>
  <conditionalFormatting sqref="J158:K158">
    <cfRule type="beginsWith" dxfId="3063" priority="944" stopIfTrue="1" operator="beginsWith" text="Functioning At Risk">
      <formula>LEFT(J158,LEN("Functioning At Risk"))="Functioning At Risk"</formula>
    </cfRule>
    <cfRule type="beginsWith" dxfId="3062" priority="945" stopIfTrue="1" operator="beginsWith" text="Not Functioning">
      <formula>LEFT(J158,LEN("Not Functioning"))="Not Functioning"</formula>
    </cfRule>
    <cfRule type="containsText" dxfId="3061" priority="946" operator="containsText" text="Functioning">
      <formula>NOT(ISERROR(SEARCH("Functioning",J158)))</formula>
    </cfRule>
  </conditionalFormatting>
  <conditionalFormatting sqref="J119:K119">
    <cfRule type="beginsWith" dxfId="3060" priority="941" stopIfTrue="1" operator="beginsWith" text="Functioning At Risk">
      <formula>LEFT(J119,LEN("Functioning At Risk"))="Functioning At Risk"</formula>
    </cfRule>
    <cfRule type="beginsWith" dxfId="3059" priority="942" stopIfTrue="1" operator="beginsWith" text="Not Functioning">
      <formula>LEFT(J119,LEN("Not Functioning"))="Not Functioning"</formula>
    </cfRule>
    <cfRule type="containsText" dxfId="3058" priority="943" operator="containsText" text="Functioning">
      <formula>NOT(ISERROR(SEARCH("Functioning",J119)))</formula>
    </cfRule>
  </conditionalFormatting>
  <conditionalFormatting sqref="J80:K80">
    <cfRule type="beginsWith" dxfId="3057" priority="938" stopIfTrue="1" operator="beginsWith" text="Functioning At Risk">
      <formula>LEFT(J80,LEN("Functioning At Risk"))="Functioning At Risk"</formula>
    </cfRule>
    <cfRule type="beginsWith" dxfId="3056" priority="939" stopIfTrue="1" operator="beginsWith" text="Not Functioning">
      <formula>LEFT(J80,LEN("Not Functioning"))="Not Functioning"</formula>
    </cfRule>
    <cfRule type="containsText" dxfId="3055" priority="940" operator="containsText" text="Functioning">
      <formula>NOT(ISERROR(SEARCH("Functioning",J80)))</formula>
    </cfRule>
  </conditionalFormatting>
  <conditionalFormatting sqref="J41:K41">
    <cfRule type="beginsWith" dxfId="3054" priority="935" stopIfTrue="1" operator="beginsWith" text="Functioning At Risk">
      <formula>LEFT(J41,LEN("Functioning At Risk"))="Functioning At Risk"</formula>
    </cfRule>
    <cfRule type="beginsWith" dxfId="3053" priority="936" stopIfTrue="1" operator="beginsWith" text="Not Functioning">
      <formula>LEFT(J41,LEN("Not Functioning"))="Not Functioning"</formula>
    </cfRule>
    <cfRule type="containsText" dxfId="3052" priority="937" operator="containsText" text="Functioning">
      <formula>NOT(ISERROR(SEARCH("Functioning",J41)))</formula>
    </cfRule>
  </conditionalFormatting>
  <conditionalFormatting sqref="J2:K2">
    <cfRule type="beginsWith" dxfId="3051" priority="932" stopIfTrue="1" operator="beginsWith" text="Functioning At Risk">
      <formula>LEFT(J2,LEN("Functioning At Risk"))="Functioning At Risk"</formula>
    </cfRule>
    <cfRule type="beginsWith" dxfId="3050" priority="933" stopIfTrue="1" operator="beginsWith" text="Not Functioning">
      <formula>LEFT(J2,LEN("Not Functioning"))="Not Functioning"</formula>
    </cfRule>
    <cfRule type="containsText" dxfId="3049" priority="934" operator="containsText" text="Functioning">
      <formula>NOT(ISERROR(SEARCH("Functioning",J2)))</formula>
    </cfRule>
  </conditionalFormatting>
  <conditionalFormatting sqref="E13:E15">
    <cfRule type="beginsWith" dxfId="3048" priority="929" stopIfTrue="1" operator="beginsWith" text="Functioning At Risk">
      <formula>LEFT(E13,LEN("Functioning At Risk"))="Functioning At Risk"</formula>
    </cfRule>
    <cfRule type="beginsWith" dxfId="3047" priority="930" stopIfTrue="1" operator="beginsWith" text="Not Functioning">
      <formula>LEFT(E13,LEN("Not Functioning"))="Not Functioning"</formula>
    </cfRule>
    <cfRule type="containsText" dxfId="3046" priority="931" operator="containsText" text="Functioning">
      <formula>NOT(ISERROR(SEARCH("Functioning",E13)))</formula>
    </cfRule>
  </conditionalFormatting>
  <conditionalFormatting sqref="E17:E18">
    <cfRule type="beginsWith" dxfId="3045" priority="926" stopIfTrue="1" operator="beginsWith" text="Functioning At Risk">
      <formula>LEFT(E17,LEN("Functioning At Risk"))="Functioning At Risk"</formula>
    </cfRule>
    <cfRule type="beginsWith" dxfId="3044" priority="927" stopIfTrue="1" operator="beginsWith" text="Not Functioning">
      <formula>LEFT(E17,LEN("Not Functioning"))="Not Functioning"</formula>
    </cfRule>
    <cfRule type="containsText" dxfId="3043" priority="928" operator="containsText" text="Functioning">
      <formula>NOT(ISERROR(SEARCH("Functioning",E17)))</formula>
    </cfRule>
  </conditionalFormatting>
  <conditionalFormatting sqref="E56:E59">
    <cfRule type="beginsWith" dxfId="3042" priority="914" stopIfTrue="1" operator="beginsWith" text="Functioning At Risk">
      <formula>LEFT(E56,LEN("Functioning At Risk"))="Functioning At Risk"</formula>
    </cfRule>
    <cfRule type="beginsWith" dxfId="3041" priority="915" stopIfTrue="1" operator="beginsWith" text="Not Functioning">
      <formula>LEFT(E56,LEN("Not Functioning"))="Not Functioning"</formula>
    </cfRule>
    <cfRule type="containsText" dxfId="3040" priority="916" operator="containsText" text="Functioning">
      <formula>NOT(ISERROR(SEARCH("Functioning",E56)))</formula>
    </cfRule>
  </conditionalFormatting>
  <conditionalFormatting sqref="E52:E54">
    <cfRule type="beginsWith" dxfId="3039" priority="917" stopIfTrue="1" operator="beginsWith" text="Functioning At Risk">
      <formula>LEFT(E52,LEN("Functioning At Risk"))="Functioning At Risk"</formula>
    </cfRule>
    <cfRule type="beginsWith" dxfId="3038" priority="918" stopIfTrue="1" operator="beginsWith" text="Not Functioning">
      <formula>LEFT(E52,LEN("Not Functioning"))="Not Functioning"</formula>
    </cfRule>
    <cfRule type="containsText" dxfId="3037" priority="919" operator="containsText" text="Functioning">
      <formula>NOT(ISERROR(SEARCH("Functioning",E52)))</formula>
    </cfRule>
  </conditionalFormatting>
  <conditionalFormatting sqref="E91:E93">
    <cfRule type="beginsWith" dxfId="3036" priority="905" stopIfTrue="1" operator="beginsWith" text="Functioning At Risk">
      <formula>LEFT(E91,LEN("Functioning At Risk"))="Functioning At Risk"</formula>
    </cfRule>
    <cfRule type="beginsWith" dxfId="3035" priority="906" stopIfTrue="1" operator="beginsWith" text="Not Functioning">
      <formula>LEFT(E91,LEN("Not Functioning"))="Not Functioning"</formula>
    </cfRule>
    <cfRule type="containsText" dxfId="3034" priority="907" operator="containsText" text="Functioning">
      <formula>NOT(ISERROR(SEARCH("Functioning",E91)))</formula>
    </cfRule>
  </conditionalFormatting>
  <conditionalFormatting sqref="E95:E98">
    <cfRule type="beginsWith" dxfId="3033" priority="902" stopIfTrue="1" operator="beginsWith" text="Functioning At Risk">
      <formula>LEFT(E95,LEN("Functioning At Risk"))="Functioning At Risk"</formula>
    </cfRule>
    <cfRule type="beginsWith" dxfId="3032" priority="903" stopIfTrue="1" operator="beginsWith" text="Not Functioning">
      <formula>LEFT(E95,LEN("Not Functioning"))="Not Functioning"</formula>
    </cfRule>
    <cfRule type="containsText" dxfId="3031" priority="904" operator="containsText" text="Functioning">
      <formula>NOT(ISERROR(SEARCH("Functioning",E95)))</formula>
    </cfRule>
  </conditionalFormatting>
  <conditionalFormatting sqref="E130:E132">
    <cfRule type="beginsWith" dxfId="3030" priority="893" stopIfTrue="1" operator="beginsWith" text="Functioning At Risk">
      <formula>LEFT(E130,LEN("Functioning At Risk"))="Functioning At Risk"</formula>
    </cfRule>
    <cfRule type="beginsWith" dxfId="3029" priority="894" stopIfTrue="1" operator="beginsWith" text="Not Functioning">
      <formula>LEFT(E130,LEN("Not Functioning"))="Not Functioning"</formula>
    </cfRule>
    <cfRule type="containsText" dxfId="3028" priority="895" operator="containsText" text="Functioning">
      <formula>NOT(ISERROR(SEARCH("Functioning",E130)))</formula>
    </cfRule>
  </conditionalFormatting>
  <conditionalFormatting sqref="E134:E137">
    <cfRule type="beginsWith" dxfId="3027" priority="890" stopIfTrue="1" operator="beginsWith" text="Functioning At Risk">
      <formula>LEFT(E134,LEN("Functioning At Risk"))="Functioning At Risk"</formula>
    </cfRule>
    <cfRule type="beginsWith" dxfId="3026" priority="891" stopIfTrue="1" operator="beginsWith" text="Not Functioning">
      <formula>LEFT(E134,LEN("Not Functioning"))="Not Functioning"</formula>
    </cfRule>
    <cfRule type="containsText" dxfId="3025" priority="892" operator="containsText" text="Functioning">
      <formula>NOT(ISERROR(SEARCH("Functioning",E134)))</formula>
    </cfRule>
  </conditionalFormatting>
  <conditionalFormatting sqref="E169:E171">
    <cfRule type="beginsWith" dxfId="3024" priority="881" stopIfTrue="1" operator="beginsWith" text="Functioning At Risk">
      <formula>LEFT(E169,LEN("Functioning At Risk"))="Functioning At Risk"</formula>
    </cfRule>
    <cfRule type="beginsWith" dxfId="3023" priority="882" stopIfTrue="1" operator="beginsWith" text="Not Functioning">
      <formula>LEFT(E169,LEN("Not Functioning"))="Not Functioning"</formula>
    </cfRule>
    <cfRule type="containsText" dxfId="3022" priority="883" operator="containsText" text="Functioning">
      <formula>NOT(ISERROR(SEARCH("Functioning",E169)))</formula>
    </cfRule>
  </conditionalFormatting>
  <conditionalFormatting sqref="E173:E176">
    <cfRule type="beginsWith" dxfId="3021" priority="878" stopIfTrue="1" operator="beginsWith" text="Functioning At Risk">
      <formula>LEFT(E173,LEN("Functioning At Risk"))="Functioning At Risk"</formula>
    </cfRule>
    <cfRule type="beginsWith" dxfId="3020" priority="879" stopIfTrue="1" operator="beginsWith" text="Not Functioning">
      <formula>LEFT(E173,LEN("Not Functioning"))="Not Functioning"</formula>
    </cfRule>
    <cfRule type="containsText" dxfId="3019" priority="880" operator="containsText" text="Functioning">
      <formula>NOT(ISERROR(SEARCH("Functioning",E173)))</formula>
    </cfRule>
  </conditionalFormatting>
  <conditionalFormatting sqref="E208:E210">
    <cfRule type="beginsWith" dxfId="3018" priority="869" stopIfTrue="1" operator="beginsWith" text="Functioning At Risk">
      <formula>LEFT(E208,LEN("Functioning At Risk"))="Functioning At Risk"</formula>
    </cfRule>
    <cfRule type="beginsWith" dxfId="3017" priority="870" stopIfTrue="1" operator="beginsWith" text="Not Functioning">
      <formula>LEFT(E208,LEN("Not Functioning"))="Not Functioning"</formula>
    </cfRule>
    <cfRule type="containsText" dxfId="3016" priority="871" operator="containsText" text="Functioning">
      <formula>NOT(ISERROR(SEARCH("Functioning",E208)))</formula>
    </cfRule>
  </conditionalFormatting>
  <conditionalFormatting sqref="E212:E215">
    <cfRule type="beginsWith" dxfId="3015" priority="866" stopIfTrue="1" operator="beginsWith" text="Functioning At Risk">
      <formula>LEFT(E212,LEN("Functioning At Risk"))="Functioning At Risk"</formula>
    </cfRule>
    <cfRule type="beginsWith" dxfId="3014" priority="867" stopIfTrue="1" operator="beginsWith" text="Not Functioning">
      <formula>LEFT(E212,LEN("Not Functioning"))="Not Functioning"</formula>
    </cfRule>
    <cfRule type="containsText" dxfId="3013" priority="868" operator="containsText" text="Functioning">
      <formula>NOT(ISERROR(SEARCH("Functioning",E212)))</formula>
    </cfRule>
  </conditionalFormatting>
  <conditionalFormatting sqref="E248:E250">
    <cfRule type="beginsWith" dxfId="3012" priority="857" stopIfTrue="1" operator="beginsWith" text="Functioning At Risk">
      <formula>LEFT(E248,LEN("Functioning At Risk"))="Functioning At Risk"</formula>
    </cfRule>
    <cfRule type="beginsWith" dxfId="3011" priority="858" stopIfTrue="1" operator="beginsWith" text="Not Functioning">
      <formula>LEFT(E248,LEN("Not Functioning"))="Not Functioning"</formula>
    </cfRule>
    <cfRule type="containsText" dxfId="3010" priority="859" operator="containsText" text="Functioning">
      <formula>NOT(ISERROR(SEARCH("Functioning",E248)))</formula>
    </cfRule>
  </conditionalFormatting>
  <conditionalFormatting sqref="E252:E255">
    <cfRule type="beginsWith" dxfId="3009" priority="854" stopIfTrue="1" operator="beginsWith" text="Functioning At Risk">
      <formula>LEFT(E252,LEN("Functioning At Risk"))="Functioning At Risk"</formula>
    </cfRule>
    <cfRule type="beginsWith" dxfId="3008" priority="855" stopIfTrue="1" operator="beginsWith" text="Not Functioning">
      <formula>LEFT(E252,LEN("Not Functioning"))="Not Functioning"</formula>
    </cfRule>
    <cfRule type="containsText" dxfId="3007" priority="856" operator="containsText" text="Functioning">
      <formula>NOT(ISERROR(SEARCH("Functioning",E252)))</formula>
    </cfRule>
  </conditionalFormatting>
  <conditionalFormatting sqref="E288:E290">
    <cfRule type="beginsWith" dxfId="3006" priority="845" stopIfTrue="1" operator="beginsWith" text="Functioning At Risk">
      <formula>LEFT(E288,LEN("Functioning At Risk"))="Functioning At Risk"</formula>
    </cfRule>
    <cfRule type="beginsWith" dxfId="3005" priority="846" stopIfTrue="1" operator="beginsWith" text="Not Functioning">
      <formula>LEFT(E288,LEN("Not Functioning"))="Not Functioning"</formula>
    </cfRule>
    <cfRule type="containsText" dxfId="3004" priority="847" operator="containsText" text="Functioning">
      <formula>NOT(ISERROR(SEARCH("Functioning",E288)))</formula>
    </cfRule>
  </conditionalFormatting>
  <conditionalFormatting sqref="E292:E295">
    <cfRule type="beginsWith" dxfId="3003" priority="842" stopIfTrue="1" operator="beginsWith" text="Functioning At Risk">
      <formula>LEFT(E292,LEN("Functioning At Risk"))="Functioning At Risk"</formula>
    </cfRule>
    <cfRule type="beginsWith" dxfId="3002" priority="843" stopIfTrue="1" operator="beginsWith" text="Not Functioning">
      <formula>LEFT(E292,LEN("Not Functioning"))="Not Functioning"</formula>
    </cfRule>
    <cfRule type="containsText" dxfId="3001" priority="844" operator="containsText" text="Functioning">
      <formula>NOT(ISERROR(SEARCH("Functioning",E292)))</formula>
    </cfRule>
  </conditionalFormatting>
  <conditionalFormatting sqref="E328:E330">
    <cfRule type="beginsWith" dxfId="3000" priority="833" stopIfTrue="1" operator="beginsWith" text="Functioning At Risk">
      <formula>LEFT(E328,LEN("Functioning At Risk"))="Functioning At Risk"</formula>
    </cfRule>
    <cfRule type="beginsWith" dxfId="2999" priority="834" stopIfTrue="1" operator="beginsWith" text="Not Functioning">
      <formula>LEFT(E328,LEN("Not Functioning"))="Not Functioning"</formula>
    </cfRule>
    <cfRule type="containsText" dxfId="2998" priority="835" operator="containsText" text="Functioning">
      <formula>NOT(ISERROR(SEARCH("Functioning",E328)))</formula>
    </cfRule>
  </conditionalFormatting>
  <conditionalFormatting sqref="E332:E335">
    <cfRule type="beginsWith" dxfId="2997" priority="830" stopIfTrue="1" operator="beginsWith" text="Functioning At Risk">
      <formula>LEFT(E332,LEN("Functioning At Risk"))="Functioning At Risk"</formula>
    </cfRule>
    <cfRule type="beginsWith" dxfId="2996" priority="831" stopIfTrue="1" operator="beginsWith" text="Not Functioning">
      <formula>LEFT(E332,LEN("Not Functioning"))="Not Functioning"</formula>
    </cfRule>
    <cfRule type="containsText" dxfId="2995" priority="832" operator="containsText" text="Functioning">
      <formula>NOT(ISERROR(SEARCH("Functioning",E332)))</formula>
    </cfRule>
  </conditionalFormatting>
  <conditionalFormatting sqref="E368:E370">
    <cfRule type="beginsWith" dxfId="2994" priority="821" stopIfTrue="1" operator="beginsWith" text="Functioning At Risk">
      <formula>LEFT(E368,LEN("Functioning At Risk"))="Functioning At Risk"</formula>
    </cfRule>
    <cfRule type="beginsWith" dxfId="2993" priority="822" stopIfTrue="1" operator="beginsWith" text="Not Functioning">
      <formula>LEFT(E368,LEN("Not Functioning"))="Not Functioning"</formula>
    </cfRule>
    <cfRule type="containsText" dxfId="2992" priority="823" operator="containsText" text="Functioning">
      <formula>NOT(ISERROR(SEARCH("Functioning",E368)))</formula>
    </cfRule>
  </conditionalFormatting>
  <conditionalFormatting sqref="E372:E375">
    <cfRule type="beginsWith" dxfId="2991" priority="818" stopIfTrue="1" operator="beginsWith" text="Functioning At Risk">
      <formula>LEFT(E372,LEN("Functioning At Risk"))="Functioning At Risk"</formula>
    </cfRule>
    <cfRule type="beginsWith" dxfId="2990" priority="819" stopIfTrue="1" operator="beginsWith" text="Not Functioning">
      <formula>LEFT(E372,LEN("Not Functioning"))="Not Functioning"</formula>
    </cfRule>
    <cfRule type="containsText" dxfId="2989" priority="820" operator="containsText" text="Functioning">
      <formula>NOT(ISERROR(SEARCH("Functioning",E372)))</formula>
    </cfRule>
  </conditionalFormatting>
  <conditionalFormatting sqref="E408:E410">
    <cfRule type="beginsWith" dxfId="2988" priority="809" stopIfTrue="1" operator="beginsWith" text="Functioning At Risk">
      <formula>LEFT(E408,LEN("Functioning At Risk"))="Functioning At Risk"</formula>
    </cfRule>
    <cfRule type="beginsWith" dxfId="2987" priority="810" stopIfTrue="1" operator="beginsWith" text="Not Functioning">
      <formula>LEFT(E408,LEN("Not Functioning"))="Not Functioning"</formula>
    </cfRule>
    <cfRule type="containsText" dxfId="2986" priority="811" operator="containsText" text="Functioning">
      <formula>NOT(ISERROR(SEARCH("Functioning",E408)))</formula>
    </cfRule>
  </conditionalFormatting>
  <conditionalFormatting sqref="E412:E415">
    <cfRule type="beginsWith" dxfId="2985" priority="806" stopIfTrue="1" operator="beginsWith" text="Functioning At Risk">
      <formula>LEFT(E412,LEN("Functioning At Risk"))="Functioning At Risk"</formula>
    </cfRule>
    <cfRule type="beginsWith" dxfId="2984" priority="807" stopIfTrue="1" operator="beginsWith" text="Not Functioning">
      <formula>LEFT(E412,LEN("Not Functioning"))="Not Functioning"</formula>
    </cfRule>
    <cfRule type="containsText" dxfId="2983" priority="808" operator="containsText" text="Functioning">
      <formula>NOT(ISERROR(SEARCH("Functioning",E412)))</formula>
    </cfRule>
  </conditionalFormatting>
  <conditionalFormatting sqref="E416">
    <cfRule type="beginsWith" dxfId="2982" priority="803" stopIfTrue="1" operator="beginsWith" text="Functioning At Risk">
      <formula>LEFT(E416,LEN("Functioning At Risk"))="Functioning At Risk"</formula>
    </cfRule>
    <cfRule type="beginsWith" dxfId="2981" priority="804" stopIfTrue="1" operator="beginsWith" text="Not Functioning">
      <formula>LEFT(E416,LEN("Not Functioning"))="Not Functioning"</formula>
    </cfRule>
    <cfRule type="containsText" dxfId="2980" priority="805" operator="containsText" text="Functioning">
      <formula>NOT(ISERROR(SEARCH("Functioning",E416)))</formula>
    </cfRule>
  </conditionalFormatting>
  <conditionalFormatting sqref="E417">
    <cfRule type="beginsWith" dxfId="2979" priority="800" stopIfTrue="1" operator="beginsWith" text="Functioning At Risk">
      <formula>LEFT(E417,LEN("Functioning At Risk"))="Functioning At Risk"</formula>
    </cfRule>
    <cfRule type="beginsWith" dxfId="2978" priority="801" stopIfTrue="1" operator="beginsWith" text="Not Functioning">
      <formula>LEFT(E417,LEN("Not Functioning"))="Not Functioning"</formula>
    </cfRule>
    <cfRule type="containsText" dxfId="2977" priority="802" operator="containsText" text="Functioning">
      <formula>NOT(ISERROR(SEARCH("Functioning",E417)))</formula>
    </cfRule>
  </conditionalFormatting>
  <conditionalFormatting sqref="E7:E8">
    <cfRule type="beginsWith" dxfId="2976" priority="796" stopIfTrue="1" operator="beginsWith" text="Functioning At Risk">
      <formula>LEFT(E7,LEN("Functioning At Risk"))="Functioning At Risk"</formula>
    </cfRule>
    <cfRule type="beginsWith" dxfId="2975" priority="797" stopIfTrue="1" operator="beginsWith" text="Not Functioning">
      <formula>LEFT(E7,LEN("Not Functioning"))="Not Functioning"</formula>
    </cfRule>
    <cfRule type="containsText" dxfId="2974" priority="798" operator="containsText" text="Functioning">
      <formula>NOT(ISERROR(SEARCH("Functioning",E7)))</formula>
    </cfRule>
  </conditionalFormatting>
  <conditionalFormatting sqref="E46:E47">
    <cfRule type="beginsWith" dxfId="2973" priority="793" stopIfTrue="1" operator="beginsWith" text="Functioning At Risk">
      <formula>LEFT(E46,LEN("Functioning At Risk"))="Functioning At Risk"</formula>
    </cfRule>
    <cfRule type="beginsWith" dxfId="2972" priority="794" stopIfTrue="1" operator="beginsWith" text="Not Functioning">
      <formula>LEFT(E46,LEN("Not Functioning"))="Not Functioning"</formula>
    </cfRule>
    <cfRule type="containsText" dxfId="2971" priority="795" operator="containsText" text="Functioning">
      <formula>NOT(ISERROR(SEARCH("Functioning",E46)))</formula>
    </cfRule>
  </conditionalFormatting>
  <conditionalFormatting sqref="E85:E86">
    <cfRule type="beginsWith" dxfId="2970" priority="790" stopIfTrue="1" operator="beginsWith" text="Functioning At Risk">
      <formula>LEFT(E85,LEN("Functioning At Risk"))="Functioning At Risk"</formula>
    </cfRule>
    <cfRule type="beginsWith" dxfId="2969" priority="791" stopIfTrue="1" operator="beginsWith" text="Not Functioning">
      <formula>LEFT(E85,LEN("Not Functioning"))="Not Functioning"</formula>
    </cfRule>
    <cfRule type="containsText" dxfId="2968" priority="792" operator="containsText" text="Functioning">
      <formula>NOT(ISERROR(SEARCH("Functioning",E85)))</formula>
    </cfRule>
  </conditionalFormatting>
  <conditionalFormatting sqref="E124:E125">
    <cfRule type="beginsWith" dxfId="2967" priority="787" stopIfTrue="1" operator="beginsWith" text="Functioning At Risk">
      <formula>LEFT(E124,LEN("Functioning At Risk"))="Functioning At Risk"</formula>
    </cfRule>
    <cfRule type="beginsWith" dxfId="2966" priority="788" stopIfTrue="1" operator="beginsWith" text="Not Functioning">
      <formula>LEFT(E124,LEN("Not Functioning"))="Not Functioning"</formula>
    </cfRule>
    <cfRule type="containsText" dxfId="2965" priority="789" operator="containsText" text="Functioning">
      <formula>NOT(ISERROR(SEARCH("Functioning",E124)))</formula>
    </cfRule>
  </conditionalFormatting>
  <conditionalFormatting sqref="E163:E164">
    <cfRule type="beginsWith" dxfId="2964" priority="784" stopIfTrue="1" operator="beginsWith" text="Functioning At Risk">
      <formula>LEFT(E163,LEN("Functioning At Risk"))="Functioning At Risk"</formula>
    </cfRule>
    <cfRule type="beginsWith" dxfId="2963" priority="785" stopIfTrue="1" operator="beginsWith" text="Not Functioning">
      <formula>LEFT(E163,LEN("Not Functioning"))="Not Functioning"</formula>
    </cfRule>
    <cfRule type="containsText" dxfId="2962" priority="786" operator="containsText" text="Functioning">
      <formula>NOT(ISERROR(SEARCH("Functioning",E163)))</formula>
    </cfRule>
  </conditionalFormatting>
  <conditionalFormatting sqref="E202:E203">
    <cfRule type="beginsWith" dxfId="2961" priority="781" stopIfTrue="1" operator="beginsWith" text="Functioning At Risk">
      <formula>LEFT(E202,LEN("Functioning At Risk"))="Functioning At Risk"</formula>
    </cfRule>
    <cfRule type="beginsWith" dxfId="2960" priority="782" stopIfTrue="1" operator="beginsWith" text="Not Functioning">
      <formula>LEFT(E202,LEN("Not Functioning"))="Not Functioning"</formula>
    </cfRule>
    <cfRule type="containsText" dxfId="2959" priority="783" operator="containsText" text="Functioning">
      <formula>NOT(ISERROR(SEARCH("Functioning",E202)))</formula>
    </cfRule>
  </conditionalFormatting>
  <conditionalFormatting sqref="E242:E243">
    <cfRule type="beginsWith" dxfId="2958" priority="778" stopIfTrue="1" operator="beginsWith" text="Functioning At Risk">
      <formula>LEFT(E242,LEN("Functioning At Risk"))="Functioning At Risk"</formula>
    </cfRule>
    <cfRule type="beginsWith" dxfId="2957" priority="779" stopIfTrue="1" operator="beginsWith" text="Not Functioning">
      <formula>LEFT(E242,LEN("Not Functioning"))="Not Functioning"</formula>
    </cfRule>
    <cfRule type="containsText" dxfId="2956" priority="780" operator="containsText" text="Functioning">
      <formula>NOT(ISERROR(SEARCH("Functioning",E242)))</formula>
    </cfRule>
  </conditionalFormatting>
  <conditionalFormatting sqref="E282:E283">
    <cfRule type="beginsWith" dxfId="2955" priority="775" stopIfTrue="1" operator="beginsWith" text="Functioning At Risk">
      <formula>LEFT(E282,LEN("Functioning At Risk"))="Functioning At Risk"</formula>
    </cfRule>
    <cfRule type="beginsWith" dxfId="2954" priority="776" stopIfTrue="1" operator="beginsWith" text="Not Functioning">
      <formula>LEFT(E282,LEN("Not Functioning"))="Not Functioning"</formula>
    </cfRule>
    <cfRule type="containsText" dxfId="2953" priority="777" operator="containsText" text="Functioning">
      <formula>NOT(ISERROR(SEARCH("Functioning",E282)))</formula>
    </cfRule>
  </conditionalFormatting>
  <conditionalFormatting sqref="E322:E323">
    <cfRule type="beginsWith" dxfId="2952" priority="772" stopIfTrue="1" operator="beginsWith" text="Functioning At Risk">
      <formula>LEFT(E322,LEN("Functioning At Risk"))="Functioning At Risk"</formula>
    </cfRule>
    <cfRule type="beginsWith" dxfId="2951" priority="773" stopIfTrue="1" operator="beginsWith" text="Not Functioning">
      <formula>LEFT(E322,LEN("Not Functioning"))="Not Functioning"</formula>
    </cfRule>
    <cfRule type="containsText" dxfId="2950" priority="774" operator="containsText" text="Functioning">
      <formula>NOT(ISERROR(SEARCH("Functioning",E322)))</formula>
    </cfRule>
  </conditionalFormatting>
  <conditionalFormatting sqref="E362:E363">
    <cfRule type="beginsWith" dxfId="2949" priority="769" stopIfTrue="1" operator="beginsWith" text="Functioning At Risk">
      <formula>LEFT(E362,LEN("Functioning At Risk"))="Functioning At Risk"</formula>
    </cfRule>
    <cfRule type="beginsWith" dxfId="2948" priority="770" stopIfTrue="1" operator="beginsWith" text="Not Functioning">
      <formula>LEFT(E362,LEN("Not Functioning"))="Not Functioning"</formula>
    </cfRule>
    <cfRule type="containsText" dxfId="2947" priority="771" operator="containsText" text="Functioning">
      <formula>NOT(ISERROR(SEARCH("Functioning",E362)))</formula>
    </cfRule>
  </conditionalFormatting>
  <conditionalFormatting sqref="E402:E403">
    <cfRule type="beginsWith" dxfId="2946" priority="766" stopIfTrue="1" operator="beginsWith" text="Functioning At Risk">
      <formula>LEFT(E402,LEN("Functioning At Risk"))="Functioning At Risk"</formula>
    </cfRule>
    <cfRule type="beginsWith" dxfId="2945" priority="767" stopIfTrue="1" operator="beginsWith" text="Not Functioning">
      <formula>LEFT(E402,LEN("Not Functioning"))="Not Functioning"</formula>
    </cfRule>
    <cfRule type="containsText" dxfId="2944" priority="768" operator="containsText" text="Functioning">
      <formula>NOT(ISERROR(SEARCH("Functioning",E402)))</formula>
    </cfRule>
  </conditionalFormatting>
  <conditionalFormatting sqref="E68">
    <cfRule type="beginsWith" dxfId="2943" priority="758" stopIfTrue="1" operator="beginsWith" text="Functioning At Risk">
      <formula>LEFT(E68,LEN("Functioning At Risk"))="Functioning At Risk"</formula>
    </cfRule>
    <cfRule type="beginsWith" dxfId="2942" priority="759" stopIfTrue="1" operator="beginsWith" text="Not Functioning">
      <formula>LEFT(E68,LEN("Not Functioning"))="Not Functioning"</formula>
    </cfRule>
    <cfRule type="containsText" dxfId="2941" priority="760" operator="containsText" text="Functioning">
      <formula>NOT(ISERROR(SEARCH("Functioning",E68)))</formula>
    </cfRule>
  </conditionalFormatting>
  <conditionalFormatting sqref="E68">
    <cfRule type="expression" dxfId="2940" priority="754">
      <formula>B1048528="Level 4 - Physicochemical"</formula>
    </cfRule>
    <cfRule type="expression" dxfId="2939" priority="757">
      <formula>B1048528="Level 5 - Biology"</formula>
    </cfRule>
  </conditionalFormatting>
  <conditionalFormatting sqref="E70">
    <cfRule type="expression" dxfId="2938" priority="753">
      <formula>B1048528="Level 4 - Physicochemical"</formula>
    </cfRule>
    <cfRule type="expression" dxfId="2937" priority="756">
      <formula>B1048528="Level 5 - Biology"</formula>
    </cfRule>
  </conditionalFormatting>
  <conditionalFormatting sqref="E71">
    <cfRule type="expression" dxfId="2936" priority="752">
      <formula>B1048528="Level 4 - Physicochemical"</formula>
    </cfRule>
    <cfRule type="expression" dxfId="2935" priority="755">
      <formula>B1048528="Level 5 - Biology"</formula>
    </cfRule>
  </conditionalFormatting>
  <conditionalFormatting sqref="E69">
    <cfRule type="expression" dxfId="2934" priority="761">
      <formula>B1048529="Level 4 - Physicochemical"</formula>
    </cfRule>
    <cfRule type="expression" dxfId="2933" priority="762">
      <formula>B1048529="Level 5 - Biology"</formula>
    </cfRule>
  </conditionalFormatting>
  <conditionalFormatting sqref="E66:E67">
    <cfRule type="beginsWith" dxfId="2932" priority="749" stopIfTrue="1" operator="beginsWith" text="Functioning At Risk">
      <formula>LEFT(E66,LEN("Functioning At Risk"))="Functioning At Risk"</formula>
    </cfRule>
    <cfRule type="beginsWith" dxfId="2931" priority="750" stopIfTrue="1" operator="beginsWith" text="Not Functioning">
      <formula>LEFT(E66,LEN("Not Functioning"))="Not Functioning"</formula>
    </cfRule>
    <cfRule type="containsText" dxfId="2930" priority="751" operator="containsText" text="Functioning">
      <formula>NOT(ISERROR(SEARCH("Functioning",E66)))</formula>
    </cfRule>
  </conditionalFormatting>
  <conditionalFormatting sqref="E63">
    <cfRule type="beginsWith" dxfId="2929" priority="746" stopIfTrue="1" operator="beginsWith" text="Functioning At Risk">
      <formula>LEFT(E63,LEN("Functioning At Risk"))="Functioning At Risk"</formula>
    </cfRule>
    <cfRule type="beginsWith" dxfId="2928" priority="747" stopIfTrue="1" operator="beginsWith" text="Not Functioning">
      <formula>LEFT(E63,LEN("Not Functioning"))="Not Functioning"</formula>
    </cfRule>
    <cfRule type="containsText" dxfId="2927" priority="748" operator="containsText" text="Functioning">
      <formula>NOT(ISERROR(SEARCH("Functioning",E63)))</formula>
    </cfRule>
  </conditionalFormatting>
  <conditionalFormatting sqref="E65">
    <cfRule type="beginsWith" dxfId="2926" priority="743" stopIfTrue="1" operator="beginsWith" text="Functioning At Risk">
      <formula>LEFT(E65,LEN("Functioning At Risk"))="Functioning At Risk"</formula>
    </cfRule>
    <cfRule type="beginsWith" dxfId="2925" priority="744" stopIfTrue="1" operator="beginsWith" text="Not Functioning">
      <formula>LEFT(E65,LEN("Not Functioning"))="Not Functioning"</formula>
    </cfRule>
    <cfRule type="containsText" dxfId="2924" priority="745" operator="containsText" text="Functioning">
      <formula>NOT(ISERROR(SEARCH("Functioning",E65)))</formula>
    </cfRule>
  </conditionalFormatting>
  <conditionalFormatting sqref="E64">
    <cfRule type="beginsWith" dxfId="2923" priority="740" stopIfTrue="1" operator="beginsWith" text="Functioning At Risk">
      <formula>LEFT(E64,LEN("Functioning At Risk"))="Functioning At Risk"</formula>
    </cfRule>
    <cfRule type="beginsWith" dxfId="2922" priority="741" stopIfTrue="1" operator="beginsWith" text="Not Functioning">
      <formula>LEFT(E64,LEN("Not Functioning"))="Not Functioning"</formula>
    </cfRule>
    <cfRule type="containsText" dxfId="2921" priority="742" operator="containsText" text="Functioning">
      <formula>NOT(ISERROR(SEARCH("Functioning",E64)))</formula>
    </cfRule>
  </conditionalFormatting>
  <conditionalFormatting sqref="E107">
    <cfRule type="beginsWith" dxfId="2920" priority="728" stopIfTrue="1" operator="beginsWith" text="Functioning At Risk">
      <formula>LEFT(E107,LEN("Functioning At Risk"))="Functioning At Risk"</formula>
    </cfRule>
    <cfRule type="beginsWith" dxfId="2919" priority="729" stopIfTrue="1" operator="beginsWith" text="Not Functioning">
      <formula>LEFT(E107,LEN("Not Functioning"))="Not Functioning"</formula>
    </cfRule>
    <cfRule type="containsText" dxfId="2918" priority="730" operator="containsText" text="Functioning">
      <formula>NOT(ISERROR(SEARCH("Functioning",E107)))</formula>
    </cfRule>
  </conditionalFormatting>
  <conditionalFormatting sqref="E107">
    <cfRule type="expression" dxfId="2917" priority="724">
      <formula>B3="Level 4 - Physicochemical"</formula>
    </cfRule>
    <cfRule type="expression" dxfId="2916" priority="727">
      <formula>B3="Level 5 - Biology"</formula>
    </cfRule>
  </conditionalFormatting>
  <conditionalFormatting sqref="E109">
    <cfRule type="expression" dxfId="2915" priority="723">
      <formula>B3="Level 4 - Physicochemical"</formula>
    </cfRule>
    <cfRule type="expression" dxfId="2914" priority="726">
      <formula>B3="Level 5 - Biology"</formula>
    </cfRule>
  </conditionalFormatting>
  <conditionalFormatting sqref="E110">
    <cfRule type="expression" dxfId="2913" priority="722">
      <formula>B3="Level 4 - Physicochemical"</formula>
    </cfRule>
    <cfRule type="expression" dxfId="2912" priority="725">
      <formula>B3="Level 5 - Biology"</formula>
    </cfRule>
  </conditionalFormatting>
  <conditionalFormatting sqref="E108">
    <cfRule type="expression" dxfId="2911" priority="731">
      <formula>B4="Level 4 - Physicochemical"</formula>
    </cfRule>
    <cfRule type="expression" dxfId="2910" priority="732">
      <formula>B4="Level 5 - Biology"</formula>
    </cfRule>
  </conditionalFormatting>
  <conditionalFormatting sqref="E105:E106">
    <cfRule type="beginsWith" dxfId="2909" priority="719" stopIfTrue="1" operator="beginsWith" text="Functioning At Risk">
      <formula>LEFT(E105,LEN("Functioning At Risk"))="Functioning At Risk"</formula>
    </cfRule>
    <cfRule type="beginsWith" dxfId="2908" priority="720" stopIfTrue="1" operator="beginsWith" text="Not Functioning">
      <formula>LEFT(E105,LEN("Not Functioning"))="Not Functioning"</formula>
    </cfRule>
    <cfRule type="containsText" dxfId="2907" priority="721" operator="containsText" text="Functioning">
      <formula>NOT(ISERROR(SEARCH("Functioning",E105)))</formula>
    </cfRule>
  </conditionalFormatting>
  <conditionalFormatting sqref="E102">
    <cfRule type="beginsWith" dxfId="2906" priority="716" stopIfTrue="1" operator="beginsWith" text="Functioning At Risk">
      <formula>LEFT(E102,LEN("Functioning At Risk"))="Functioning At Risk"</formula>
    </cfRule>
    <cfRule type="beginsWith" dxfId="2905" priority="717" stopIfTrue="1" operator="beginsWith" text="Not Functioning">
      <formula>LEFT(E102,LEN("Not Functioning"))="Not Functioning"</formula>
    </cfRule>
    <cfRule type="containsText" dxfId="2904" priority="718" operator="containsText" text="Functioning">
      <formula>NOT(ISERROR(SEARCH("Functioning",E102)))</formula>
    </cfRule>
  </conditionalFormatting>
  <conditionalFormatting sqref="E104">
    <cfRule type="beginsWith" dxfId="2903" priority="713" stopIfTrue="1" operator="beginsWith" text="Functioning At Risk">
      <formula>LEFT(E104,LEN("Functioning At Risk"))="Functioning At Risk"</formula>
    </cfRule>
    <cfRule type="beginsWith" dxfId="2902" priority="714" stopIfTrue="1" operator="beginsWith" text="Not Functioning">
      <formula>LEFT(E104,LEN("Not Functioning"))="Not Functioning"</formula>
    </cfRule>
    <cfRule type="containsText" dxfId="2901" priority="715" operator="containsText" text="Functioning">
      <formula>NOT(ISERROR(SEARCH("Functioning",E104)))</formula>
    </cfRule>
  </conditionalFormatting>
  <conditionalFormatting sqref="E103">
    <cfRule type="beginsWith" dxfId="2900" priority="710" stopIfTrue="1" operator="beginsWith" text="Functioning At Risk">
      <formula>LEFT(E103,LEN("Functioning At Risk"))="Functioning At Risk"</formula>
    </cfRule>
    <cfRule type="beginsWith" dxfId="2899" priority="711" stopIfTrue="1" operator="beginsWith" text="Not Functioning">
      <formula>LEFT(E103,LEN("Not Functioning"))="Not Functioning"</formula>
    </cfRule>
    <cfRule type="containsText" dxfId="2898" priority="712" operator="containsText" text="Functioning">
      <formula>NOT(ISERROR(SEARCH("Functioning",E103)))</formula>
    </cfRule>
  </conditionalFormatting>
  <conditionalFormatting sqref="E146">
    <cfRule type="beginsWith" dxfId="2897" priority="698" stopIfTrue="1" operator="beginsWith" text="Functioning At Risk">
      <formula>LEFT(E146,LEN("Functioning At Risk"))="Functioning At Risk"</formula>
    </cfRule>
    <cfRule type="beginsWith" dxfId="2896" priority="699" stopIfTrue="1" operator="beginsWith" text="Not Functioning">
      <formula>LEFT(E146,LEN("Not Functioning"))="Not Functioning"</formula>
    </cfRule>
    <cfRule type="containsText" dxfId="2895" priority="700" operator="containsText" text="Functioning">
      <formula>NOT(ISERROR(SEARCH("Functioning",E146)))</formula>
    </cfRule>
  </conditionalFormatting>
  <conditionalFormatting sqref="E146">
    <cfRule type="expression" dxfId="2894" priority="694">
      <formula>B42="Level 4 - Physicochemical"</formula>
    </cfRule>
    <cfRule type="expression" dxfId="2893" priority="697">
      <formula>B42="Level 5 - Biology"</formula>
    </cfRule>
  </conditionalFormatting>
  <conditionalFormatting sqref="E148">
    <cfRule type="expression" dxfId="2892" priority="693">
      <formula>B42="Level 4 - Physicochemical"</formula>
    </cfRule>
    <cfRule type="expression" dxfId="2891" priority="696">
      <formula>B42="Level 5 - Biology"</formula>
    </cfRule>
  </conditionalFormatting>
  <conditionalFormatting sqref="E149">
    <cfRule type="expression" dxfId="2890" priority="692">
      <formula>B42="Level 4 - Physicochemical"</formula>
    </cfRule>
    <cfRule type="expression" dxfId="2889" priority="695">
      <formula>B42="Level 5 - Biology"</formula>
    </cfRule>
  </conditionalFormatting>
  <conditionalFormatting sqref="E147">
    <cfRule type="expression" dxfId="2888" priority="701">
      <formula>B43="Level 4 - Physicochemical"</formula>
    </cfRule>
    <cfRule type="expression" dxfId="2887" priority="702">
      <formula>B43="Level 5 - Biology"</formula>
    </cfRule>
  </conditionalFormatting>
  <conditionalFormatting sqref="E144:E145">
    <cfRule type="beginsWith" dxfId="2886" priority="689" stopIfTrue="1" operator="beginsWith" text="Functioning At Risk">
      <formula>LEFT(E144,LEN("Functioning At Risk"))="Functioning At Risk"</formula>
    </cfRule>
    <cfRule type="beginsWith" dxfId="2885" priority="690" stopIfTrue="1" operator="beginsWith" text="Not Functioning">
      <formula>LEFT(E144,LEN("Not Functioning"))="Not Functioning"</formula>
    </cfRule>
    <cfRule type="containsText" dxfId="2884" priority="691" operator="containsText" text="Functioning">
      <formula>NOT(ISERROR(SEARCH("Functioning",E144)))</formula>
    </cfRule>
  </conditionalFormatting>
  <conditionalFormatting sqref="E141">
    <cfRule type="beginsWith" dxfId="2883" priority="686" stopIfTrue="1" operator="beginsWith" text="Functioning At Risk">
      <formula>LEFT(E141,LEN("Functioning At Risk"))="Functioning At Risk"</formula>
    </cfRule>
    <cfRule type="beginsWith" dxfId="2882" priority="687" stopIfTrue="1" operator="beginsWith" text="Not Functioning">
      <formula>LEFT(E141,LEN("Not Functioning"))="Not Functioning"</formula>
    </cfRule>
    <cfRule type="containsText" dxfId="2881" priority="688" operator="containsText" text="Functioning">
      <formula>NOT(ISERROR(SEARCH("Functioning",E141)))</formula>
    </cfRule>
  </conditionalFormatting>
  <conditionalFormatting sqref="E143">
    <cfRule type="beginsWith" dxfId="2880" priority="683" stopIfTrue="1" operator="beginsWith" text="Functioning At Risk">
      <formula>LEFT(E143,LEN("Functioning At Risk"))="Functioning At Risk"</formula>
    </cfRule>
    <cfRule type="beginsWith" dxfId="2879" priority="684" stopIfTrue="1" operator="beginsWith" text="Not Functioning">
      <formula>LEFT(E143,LEN("Not Functioning"))="Not Functioning"</formula>
    </cfRule>
    <cfRule type="containsText" dxfId="2878" priority="685" operator="containsText" text="Functioning">
      <formula>NOT(ISERROR(SEARCH("Functioning",E143)))</formula>
    </cfRule>
  </conditionalFormatting>
  <conditionalFormatting sqref="E142">
    <cfRule type="beginsWith" dxfId="2877" priority="680" stopIfTrue="1" operator="beginsWith" text="Functioning At Risk">
      <formula>LEFT(E142,LEN("Functioning At Risk"))="Functioning At Risk"</formula>
    </cfRule>
    <cfRule type="beginsWith" dxfId="2876" priority="681" stopIfTrue="1" operator="beginsWith" text="Not Functioning">
      <formula>LEFT(E142,LEN("Not Functioning"))="Not Functioning"</formula>
    </cfRule>
    <cfRule type="containsText" dxfId="2875" priority="682" operator="containsText" text="Functioning">
      <formula>NOT(ISERROR(SEARCH("Functioning",E142)))</formula>
    </cfRule>
  </conditionalFormatting>
  <conditionalFormatting sqref="E185">
    <cfRule type="beginsWith" dxfId="2874" priority="668" stopIfTrue="1" operator="beginsWith" text="Functioning At Risk">
      <formula>LEFT(E185,LEN("Functioning At Risk"))="Functioning At Risk"</formula>
    </cfRule>
    <cfRule type="beginsWith" dxfId="2873" priority="669" stopIfTrue="1" operator="beginsWith" text="Not Functioning">
      <formula>LEFT(E185,LEN("Not Functioning"))="Not Functioning"</formula>
    </cfRule>
    <cfRule type="containsText" dxfId="2872" priority="670" operator="containsText" text="Functioning">
      <formula>NOT(ISERROR(SEARCH("Functioning",E185)))</formula>
    </cfRule>
  </conditionalFormatting>
  <conditionalFormatting sqref="E185">
    <cfRule type="expression" dxfId="2871" priority="664">
      <formula>B81="Level 4 - Physicochemical"</formula>
    </cfRule>
    <cfRule type="expression" dxfId="2870" priority="667">
      <formula>B81="Level 5 - Biology"</formula>
    </cfRule>
  </conditionalFormatting>
  <conditionalFormatting sqref="E187">
    <cfRule type="expression" dxfId="2869" priority="663">
      <formula>B81="Level 4 - Physicochemical"</formula>
    </cfRule>
    <cfRule type="expression" dxfId="2868" priority="666">
      <formula>B81="Level 5 - Biology"</formula>
    </cfRule>
  </conditionalFormatting>
  <conditionalFormatting sqref="E188">
    <cfRule type="expression" dxfId="2867" priority="662">
      <formula>B81="Level 4 - Physicochemical"</formula>
    </cfRule>
    <cfRule type="expression" dxfId="2866" priority="665">
      <formula>B81="Level 5 - Biology"</formula>
    </cfRule>
  </conditionalFormatting>
  <conditionalFormatting sqref="E186">
    <cfRule type="expression" dxfId="2865" priority="671">
      <formula>B82="Level 4 - Physicochemical"</formula>
    </cfRule>
    <cfRule type="expression" dxfId="2864" priority="672">
      <formula>B82="Level 5 - Biology"</formula>
    </cfRule>
  </conditionalFormatting>
  <conditionalFormatting sqref="E183:E184">
    <cfRule type="beginsWith" dxfId="2863" priority="659" stopIfTrue="1" operator="beginsWith" text="Functioning At Risk">
      <formula>LEFT(E183,LEN("Functioning At Risk"))="Functioning At Risk"</formula>
    </cfRule>
    <cfRule type="beginsWith" dxfId="2862" priority="660" stopIfTrue="1" operator="beginsWith" text="Not Functioning">
      <formula>LEFT(E183,LEN("Not Functioning"))="Not Functioning"</formula>
    </cfRule>
    <cfRule type="containsText" dxfId="2861" priority="661" operator="containsText" text="Functioning">
      <formula>NOT(ISERROR(SEARCH("Functioning",E183)))</formula>
    </cfRule>
  </conditionalFormatting>
  <conditionalFormatting sqref="E180">
    <cfRule type="beginsWith" dxfId="2860" priority="656" stopIfTrue="1" operator="beginsWith" text="Functioning At Risk">
      <formula>LEFT(E180,LEN("Functioning At Risk"))="Functioning At Risk"</formula>
    </cfRule>
    <cfRule type="beginsWith" dxfId="2859" priority="657" stopIfTrue="1" operator="beginsWith" text="Not Functioning">
      <formula>LEFT(E180,LEN("Not Functioning"))="Not Functioning"</formula>
    </cfRule>
    <cfRule type="containsText" dxfId="2858" priority="658" operator="containsText" text="Functioning">
      <formula>NOT(ISERROR(SEARCH("Functioning",E180)))</formula>
    </cfRule>
  </conditionalFormatting>
  <conditionalFormatting sqref="E182">
    <cfRule type="beginsWith" dxfId="2857" priority="653" stopIfTrue="1" operator="beginsWith" text="Functioning At Risk">
      <formula>LEFT(E182,LEN("Functioning At Risk"))="Functioning At Risk"</formula>
    </cfRule>
    <cfRule type="beginsWith" dxfId="2856" priority="654" stopIfTrue="1" operator="beginsWith" text="Not Functioning">
      <formula>LEFT(E182,LEN("Not Functioning"))="Not Functioning"</formula>
    </cfRule>
    <cfRule type="containsText" dxfId="2855" priority="655" operator="containsText" text="Functioning">
      <formula>NOT(ISERROR(SEARCH("Functioning",E182)))</formula>
    </cfRule>
  </conditionalFormatting>
  <conditionalFormatting sqref="E181">
    <cfRule type="beginsWith" dxfId="2854" priority="650" stopIfTrue="1" operator="beginsWith" text="Functioning At Risk">
      <formula>LEFT(E181,LEN("Functioning At Risk"))="Functioning At Risk"</formula>
    </cfRule>
    <cfRule type="beginsWith" dxfId="2853" priority="651" stopIfTrue="1" operator="beginsWith" text="Not Functioning">
      <formula>LEFT(E181,LEN("Not Functioning"))="Not Functioning"</formula>
    </cfRule>
    <cfRule type="containsText" dxfId="2852" priority="652" operator="containsText" text="Functioning">
      <formula>NOT(ISERROR(SEARCH("Functioning",E181)))</formula>
    </cfRule>
  </conditionalFormatting>
  <conditionalFormatting sqref="E224">
    <cfRule type="beginsWith" dxfId="2851" priority="638" stopIfTrue="1" operator="beginsWith" text="Functioning At Risk">
      <formula>LEFT(E224,LEN("Functioning At Risk"))="Functioning At Risk"</formula>
    </cfRule>
    <cfRule type="beginsWith" dxfId="2850" priority="639" stopIfTrue="1" operator="beginsWith" text="Not Functioning">
      <formula>LEFT(E224,LEN("Not Functioning"))="Not Functioning"</formula>
    </cfRule>
    <cfRule type="containsText" dxfId="2849" priority="640" operator="containsText" text="Functioning">
      <formula>NOT(ISERROR(SEARCH("Functioning",E224)))</formula>
    </cfRule>
  </conditionalFormatting>
  <conditionalFormatting sqref="E224">
    <cfRule type="expression" dxfId="2848" priority="634">
      <formula>B120="Level 4 - Physicochemical"</formula>
    </cfRule>
    <cfRule type="expression" dxfId="2847" priority="637">
      <formula>B120="Level 5 - Biology"</formula>
    </cfRule>
  </conditionalFormatting>
  <conditionalFormatting sqref="E226">
    <cfRule type="expression" dxfId="2846" priority="633">
      <formula>B120="Level 4 - Physicochemical"</formula>
    </cfRule>
    <cfRule type="expression" dxfId="2845" priority="636">
      <formula>B120="Level 5 - Biology"</formula>
    </cfRule>
  </conditionalFormatting>
  <conditionalFormatting sqref="E227">
    <cfRule type="expression" dxfId="2844" priority="632">
      <formula>B120="Level 4 - Physicochemical"</formula>
    </cfRule>
    <cfRule type="expression" dxfId="2843" priority="635">
      <formula>B120="Level 5 - Biology"</formula>
    </cfRule>
  </conditionalFormatting>
  <conditionalFormatting sqref="E225">
    <cfRule type="expression" dxfId="2842" priority="641">
      <formula>B121="Level 4 - Physicochemical"</formula>
    </cfRule>
    <cfRule type="expression" dxfId="2841" priority="642">
      <formula>B121="Level 5 - Biology"</formula>
    </cfRule>
  </conditionalFormatting>
  <conditionalFormatting sqref="E222:E223">
    <cfRule type="beginsWith" dxfId="2840" priority="629" stopIfTrue="1" operator="beginsWith" text="Functioning At Risk">
      <formula>LEFT(E222,LEN("Functioning At Risk"))="Functioning At Risk"</formula>
    </cfRule>
    <cfRule type="beginsWith" dxfId="2839" priority="630" stopIfTrue="1" operator="beginsWith" text="Not Functioning">
      <formula>LEFT(E222,LEN("Not Functioning"))="Not Functioning"</formula>
    </cfRule>
    <cfRule type="containsText" dxfId="2838" priority="631" operator="containsText" text="Functioning">
      <formula>NOT(ISERROR(SEARCH("Functioning",E222)))</formula>
    </cfRule>
  </conditionalFormatting>
  <conditionalFormatting sqref="E219">
    <cfRule type="beginsWith" dxfId="2837" priority="626" stopIfTrue="1" operator="beginsWith" text="Functioning At Risk">
      <formula>LEFT(E219,LEN("Functioning At Risk"))="Functioning At Risk"</formula>
    </cfRule>
    <cfRule type="beginsWith" dxfId="2836" priority="627" stopIfTrue="1" operator="beginsWith" text="Not Functioning">
      <formula>LEFT(E219,LEN("Not Functioning"))="Not Functioning"</formula>
    </cfRule>
    <cfRule type="containsText" dxfId="2835" priority="628" operator="containsText" text="Functioning">
      <formula>NOT(ISERROR(SEARCH("Functioning",E219)))</formula>
    </cfRule>
  </conditionalFormatting>
  <conditionalFormatting sqref="E221">
    <cfRule type="beginsWith" dxfId="2834" priority="623" stopIfTrue="1" operator="beginsWith" text="Functioning At Risk">
      <formula>LEFT(E221,LEN("Functioning At Risk"))="Functioning At Risk"</formula>
    </cfRule>
    <cfRule type="beginsWith" dxfId="2833" priority="624" stopIfTrue="1" operator="beginsWith" text="Not Functioning">
      <formula>LEFT(E221,LEN("Not Functioning"))="Not Functioning"</formula>
    </cfRule>
    <cfRule type="containsText" dxfId="2832" priority="625" operator="containsText" text="Functioning">
      <formula>NOT(ISERROR(SEARCH("Functioning",E221)))</formula>
    </cfRule>
  </conditionalFormatting>
  <conditionalFormatting sqref="E220">
    <cfRule type="beginsWith" dxfId="2831" priority="620" stopIfTrue="1" operator="beginsWith" text="Functioning At Risk">
      <formula>LEFT(E220,LEN("Functioning At Risk"))="Functioning At Risk"</formula>
    </cfRule>
    <cfRule type="beginsWith" dxfId="2830" priority="621" stopIfTrue="1" operator="beginsWith" text="Not Functioning">
      <formula>LEFT(E220,LEN("Not Functioning"))="Not Functioning"</formula>
    </cfRule>
    <cfRule type="containsText" dxfId="2829" priority="622" operator="containsText" text="Functioning">
      <formula>NOT(ISERROR(SEARCH("Functioning",E220)))</formula>
    </cfRule>
  </conditionalFormatting>
  <conditionalFormatting sqref="E264">
    <cfRule type="beginsWith" dxfId="2828" priority="608" stopIfTrue="1" operator="beginsWith" text="Functioning At Risk">
      <formula>LEFT(E264,LEN("Functioning At Risk"))="Functioning At Risk"</formula>
    </cfRule>
    <cfRule type="beginsWith" dxfId="2827" priority="609" stopIfTrue="1" operator="beginsWith" text="Not Functioning">
      <formula>LEFT(E264,LEN("Not Functioning"))="Not Functioning"</formula>
    </cfRule>
    <cfRule type="containsText" dxfId="2826" priority="610" operator="containsText" text="Functioning">
      <formula>NOT(ISERROR(SEARCH("Functioning",E264)))</formula>
    </cfRule>
  </conditionalFormatting>
  <conditionalFormatting sqref="E264">
    <cfRule type="expression" dxfId="2825" priority="604">
      <formula>B160="Level 4 - Physicochemical"</formula>
    </cfRule>
    <cfRule type="expression" dxfId="2824" priority="607">
      <formula>B160="Level 5 - Biology"</formula>
    </cfRule>
  </conditionalFormatting>
  <conditionalFormatting sqref="E266">
    <cfRule type="expression" dxfId="2823" priority="603">
      <formula>B160="Level 4 - Physicochemical"</formula>
    </cfRule>
    <cfRule type="expression" dxfId="2822" priority="606">
      <formula>B160="Level 5 - Biology"</formula>
    </cfRule>
  </conditionalFormatting>
  <conditionalFormatting sqref="E267">
    <cfRule type="expression" dxfId="2821" priority="602">
      <formula>B160="Level 4 - Physicochemical"</formula>
    </cfRule>
    <cfRule type="expression" dxfId="2820" priority="605">
      <formula>B160="Level 5 - Biology"</formula>
    </cfRule>
  </conditionalFormatting>
  <conditionalFormatting sqref="E265">
    <cfRule type="expression" dxfId="2819" priority="611">
      <formula>#REF!="Level 4 - Physicochemical"</formula>
    </cfRule>
    <cfRule type="expression" dxfId="2818" priority="612">
      <formula>#REF!="Level 5 - Biology"</formula>
    </cfRule>
  </conditionalFormatting>
  <conditionalFormatting sqref="E262:E263">
    <cfRule type="beginsWith" dxfId="2817" priority="599" stopIfTrue="1" operator="beginsWith" text="Functioning At Risk">
      <formula>LEFT(E262,LEN("Functioning At Risk"))="Functioning At Risk"</formula>
    </cfRule>
    <cfRule type="beginsWith" dxfId="2816" priority="600" stopIfTrue="1" operator="beginsWith" text="Not Functioning">
      <formula>LEFT(E262,LEN("Not Functioning"))="Not Functioning"</formula>
    </cfRule>
    <cfRule type="containsText" dxfId="2815" priority="601" operator="containsText" text="Functioning">
      <formula>NOT(ISERROR(SEARCH("Functioning",E262)))</formula>
    </cfRule>
  </conditionalFormatting>
  <conditionalFormatting sqref="E259">
    <cfRule type="beginsWith" dxfId="2814" priority="596" stopIfTrue="1" operator="beginsWith" text="Functioning At Risk">
      <formula>LEFT(E259,LEN("Functioning At Risk"))="Functioning At Risk"</formula>
    </cfRule>
    <cfRule type="beginsWith" dxfId="2813" priority="597" stopIfTrue="1" operator="beginsWith" text="Not Functioning">
      <formula>LEFT(E259,LEN("Not Functioning"))="Not Functioning"</formula>
    </cfRule>
    <cfRule type="containsText" dxfId="2812" priority="598" operator="containsText" text="Functioning">
      <formula>NOT(ISERROR(SEARCH("Functioning",E259)))</formula>
    </cfRule>
  </conditionalFormatting>
  <conditionalFormatting sqref="E261">
    <cfRule type="beginsWith" dxfId="2811" priority="593" stopIfTrue="1" operator="beginsWith" text="Functioning At Risk">
      <formula>LEFT(E261,LEN("Functioning At Risk"))="Functioning At Risk"</formula>
    </cfRule>
    <cfRule type="beginsWith" dxfId="2810" priority="594" stopIfTrue="1" operator="beginsWith" text="Not Functioning">
      <formula>LEFT(E261,LEN("Not Functioning"))="Not Functioning"</formula>
    </cfRule>
    <cfRule type="containsText" dxfId="2809" priority="595" operator="containsText" text="Functioning">
      <formula>NOT(ISERROR(SEARCH("Functioning",E261)))</formula>
    </cfRule>
  </conditionalFormatting>
  <conditionalFormatting sqref="E260">
    <cfRule type="beginsWith" dxfId="2808" priority="590" stopIfTrue="1" operator="beginsWith" text="Functioning At Risk">
      <formula>LEFT(E260,LEN("Functioning At Risk"))="Functioning At Risk"</formula>
    </cfRule>
    <cfRule type="beginsWith" dxfId="2807" priority="591" stopIfTrue="1" operator="beginsWith" text="Not Functioning">
      <formula>LEFT(E260,LEN("Not Functioning"))="Not Functioning"</formula>
    </cfRule>
    <cfRule type="containsText" dxfId="2806" priority="592" operator="containsText" text="Functioning">
      <formula>NOT(ISERROR(SEARCH("Functioning",E260)))</formula>
    </cfRule>
  </conditionalFormatting>
  <conditionalFormatting sqref="E304">
    <cfRule type="beginsWith" dxfId="2805" priority="578" stopIfTrue="1" operator="beginsWith" text="Functioning At Risk">
      <formula>LEFT(E304,LEN("Functioning At Risk"))="Functioning At Risk"</formula>
    </cfRule>
    <cfRule type="beginsWith" dxfId="2804" priority="579" stopIfTrue="1" operator="beginsWith" text="Not Functioning">
      <formula>LEFT(E304,LEN("Not Functioning"))="Not Functioning"</formula>
    </cfRule>
    <cfRule type="containsText" dxfId="2803" priority="580" operator="containsText" text="Functioning">
      <formula>NOT(ISERROR(SEARCH("Functioning",E304)))</formula>
    </cfRule>
  </conditionalFormatting>
  <conditionalFormatting sqref="E304">
    <cfRule type="expression" dxfId="2802" priority="574">
      <formula>#REF!="Level 4 - Physicochemical"</formula>
    </cfRule>
    <cfRule type="expression" dxfId="2801" priority="577">
      <formula>#REF!="Level 5 - Biology"</formula>
    </cfRule>
  </conditionalFormatting>
  <conditionalFormatting sqref="E306">
    <cfRule type="expression" dxfId="2800" priority="573">
      <formula>#REF!="Level 4 - Physicochemical"</formula>
    </cfRule>
    <cfRule type="expression" dxfId="2799" priority="576">
      <formula>#REF!="Level 5 - Biology"</formula>
    </cfRule>
  </conditionalFormatting>
  <conditionalFormatting sqref="E307">
    <cfRule type="expression" dxfId="2798" priority="572">
      <formula>#REF!="Level 4 - Physicochemical"</formula>
    </cfRule>
    <cfRule type="expression" dxfId="2797" priority="575">
      <formula>#REF!="Level 5 - Biology"</formula>
    </cfRule>
  </conditionalFormatting>
  <conditionalFormatting sqref="E305">
    <cfRule type="expression" dxfId="2796" priority="581">
      <formula>B200="Level 4 - Physicochemical"</formula>
    </cfRule>
    <cfRule type="expression" dxfId="2795" priority="582">
      <formula>B200="Level 5 - Biology"</formula>
    </cfRule>
  </conditionalFormatting>
  <conditionalFormatting sqref="E302:E303">
    <cfRule type="beginsWith" dxfId="2794" priority="569" stopIfTrue="1" operator="beginsWith" text="Functioning At Risk">
      <formula>LEFT(E302,LEN("Functioning At Risk"))="Functioning At Risk"</formula>
    </cfRule>
    <cfRule type="beginsWith" dxfId="2793" priority="570" stopIfTrue="1" operator="beginsWith" text="Not Functioning">
      <formula>LEFT(E302,LEN("Not Functioning"))="Not Functioning"</formula>
    </cfRule>
    <cfRule type="containsText" dxfId="2792" priority="571" operator="containsText" text="Functioning">
      <formula>NOT(ISERROR(SEARCH("Functioning",E302)))</formula>
    </cfRule>
  </conditionalFormatting>
  <conditionalFormatting sqref="E299">
    <cfRule type="beginsWith" dxfId="2791" priority="566" stopIfTrue="1" operator="beginsWith" text="Functioning At Risk">
      <formula>LEFT(E299,LEN("Functioning At Risk"))="Functioning At Risk"</formula>
    </cfRule>
    <cfRule type="beginsWith" dxfId="2790" priority="567" stopIfTrue="1" operator="beginsWith" text="Not Functioning">
      <formula>LEFT(E299,LEN("Not Functioning"))="Not Functioning"</formula>
    </cfRule>
    <cfRule type="containsText" dxfId="2789" priority="568" operator="containsText" text="Functioning">
      <formula>NOT(ISERROR(SEARCH("Functioning",E299)))</formula>
    </cfRule>
  </conditionalFormatting>
  <conditionalFormatting sqref="E301">
    <cfRule type="beginsWith" dxfId="2788" priority="563" stopIfTrue="1" operator="beginsWith" text="Functioning At Risk">
      <formula>LEFT(E301,LEN("Functioning At Risk"))="Functioning At Risk"</formula>
    </cfRule>
    <cfRule type="beginsWith" dxfId="2787" priority="564" stopIfTrue="1" operator="beginsWith" text="Not Functioning">
      <formula>LEFT(E301,LEN("Not Functioning"))="Not Functioning"</formula>
    </cfRule>
    <cfRule type="containsText" dxfId="2786" priority="565" operator="containsText" text="Functioning">
      <formula>NOT(ISERROR(SEARCH("Functioning",E301)))</formula>
    </cfRule>
  </conditionalFormatting>
  <conditionalFormatting sqref="E300">
    <cfRule type="beginsWith" dxfId="2785" priority="560" stopIfTrue="1" operator="beginsWith" text="Functioning At Risk">
      <formula>LEFT(E300,LEN("Functioning At Risk"))="Functioning At Risk"</formula>
    </cfRule>
    <cfRule type="beginsWith" dxfId="2784" priority="561" stopIfTrue="1" operator="beginsWith" text="Not Functioning">
      <formula>LEFT(E300,LEN("Not Functioning"))="Not Functioning"</formula>
    </cfRule>
    <cfRule type="containsText" dxfId="2783" priority="562" operator="containsText" text="Functioning">
      <formula>NOT(ISERROR(SEARCH("Functioning",E300)))</formula>
    </cfRule>
  </conditionalFormatting>
  <conditionalFormatting sqref="E344">
    <cfRule type="beginsWith" dxfId="2782" priority="548" stopIfTrue="1" operator="beginsWith" text="Functioning At Risk">
      <formula>LEFT(E344,LEN("Functioning At Risk"))="Functioning At Risk"</formula>
    </cfRule>
    <cfRule type="beginsWith" dxfId="2781" priority="549" stopIfTrue="1" operator="beginsWith" text="Not Functioning">
      <formula>LEFT(E344,LEN("Not Functioning"))="Not Functioning"</formula>
    </cfRule>
    <cfRule type="containsText" dxfId="2780" priority="550" operator="containsText" text="Functioning">
      <formula>NOT(ISERROR(SEARCH("Functioning",E344)))</formula>
    </cfRule>
  </conditionalFormatting>
  <conditionalFormatting sqref="E344">
    <cfRule type="expression" dxfId="2779" priority="544">
      <formula>#REF!="Level 4 - Physicochemical"</formula>
    </cfRule>
    <cfRule type="expression" dxfId="2778" priority="547">
      <formula>#REF!="Level 5 - Biology"</formula>
    </cfRule>
  </conditionalFormatting>
  <conditionalFormatting sqref="E346">
    <cfRule type="expression" dxfId="2777" priority="543">
      <formula>#REF!="Level 4 - Physicochemical"</formula>
    </cfRule>
    <cfRule type="expression" dxfId="2776" priority="546">
      <formula>#REF!="Level 5 - Biology"</formula>
    </cfRule>
  </conditionalFormatting>
  <conditionalFormatting sqref="E347">
    <cfRule type="expression" dxfId="2775" priority="542">
      <formula>#REF!="Level 4 - Physicochemical"</formula>
    </cfRule>
    <cfRule type="expression" dxfId="2774" priority="545">
      <formula>#REF!="Level 5 - Biology"</formula>
    </cfRule>
  </conditionalFormatting>
  <conditionalFormatting sqref="E345">
    <cfRule type="expression" dxfId="2773" priority="551">
      <formula>B240="Level 4 - Physicochemical"</formula>
    </cfRule>
    <cfRule type="expression" dxfId="2772" priority="552">
      <formula>B240="Level 5 - Biology"</formula>
    </cfRule>
  </conditionalFormatting>
  <conditionalFormatting sqref="E342:E343">
    <cfRule type="beginsWith" dxfId="2771" priority="539" stopIfTrue="1" operator="beginsWith" text="Functioning At Risk">
      <formula>LEFT(E342,LEN("Functioning At Risk"))="Functioning At Risk"</formula>
    </cfRule>
    <cfRule type="beginsWith" dxfId="2770" priority="540" stopIfTrue="1" operator="beginsWith" text="Not Functioning">
      <formula>LEFT(E342,LEN("Not Functioning"))="Not Functioning"</formula>
    </cfRule>
    <cfRule type="containsText" dxfId="2769" priority="541" operator="containsText" text="Functioning">
      <formula>NOT(ISERROR(SEARCH("Functioning",E342)))</formula>
    </cfRule>
  </conditionalFormatting>
  <conditionalFormatting sqref="E339">
    <cfRule type="beginsWith" dxfId="2768" priority="536" stopIfTrue="1" operator="beginsWith" text="Functioning At Risk">
      <formula>LEFT(E339,LEN("Functioning At Risk"))="Functioning At Risk"</formula>
    </cfRule>
    <cfRule type="beginsWith" dxfId="2767" priority="537" stopIfTrue="1" operator="beginsWith" text="Not Functioning">
      <formula>LEFT(E339,LEN("Not Functioning"))="Not Functioning"</formula>
    </cfRule>
    <cfRule type="containsText" dxfId="2766" priority="538" operator="containsText" text="Functioning">
      <formula>NOT(ISERROR(SEARCH("Functioning",E339)))</formula>
    </cfRule>
  </conditionalFormatting>
  <conditionalFormatting sqref="E341">
    <cfRule type="beginsWith" dxfId="2765" priority="533" stopIfTrue="1" operator="beginsWith" text="Functioning At Risk">
      <formula>LEFT(E341,LEN("Functioning At Risk"))="Functioning At Risk"</formula>
    </cfRule>
    <cfRule type="beginsWith" dxfId="2764" priority="534" stopIfTrue="1" operator="beginsWith" text="Not Functioning">
      <formula>LEFT(E341,LEN("Not Functioning"))="Not Functioning"</formula>
    </cfRule>
    <cfRule type="containsText" dxfId="2763" priority="535" operator="containsText" text="Functioning">
      <formula>NOT(ISERROR(SEARCH("Functioning",E341)))</formula>
    </cfRule>
  </conditionalFormatting>
  <conditionalFormatting sqref="E340">
    <cfRule type="beginsWith" dxfId="2762" priority="530" stopIfTrue="1" operator="beginsWith" text="Functioning At Risk">
      <formula>LEFT(E340,LEN("Functioning At Risk"))="Functioning At Risk"</formula>
    </cfRule>
    <cfRule type="beginsWith" dxfId="2761" priority="531" stopIfTrue="1" operator="beginsWith" text="Not Functioning">
      <formula>LEFT(E340,LEN("Not Functioning"))="Not Functioning"</formula>
    </cfRule>
    <cfRule type="containsText" dxfId="2760" priority="532" operator="containsText" text="Functioning">
      <formula>NOT(ISERROR(SEARCH("Functioning",E340)))</formula>
    </cfRule>
  </conditionalFormatting>
  <conditionalFormatting sqref="E384">
    <cfRule type="beginsWith" dxfId="2759" priority="518" stopIfTrue="1" operator="beginsWith" text="Functioning At Risk">
      <formula>LEFT(E384,LEN("Functioning At Risk"))="Functioning At Risk"</formula>
    </cfRule>
    <cfRule type="beginsWith" dxfId="2758" priority="519" stopIfTrue="1" operator="beginsWith" text="Not Functioning">
      <formula>LEFT(E384,LEN("Not Functioning"))="Not Functioning"</formula>
    </cfRule>
    <cfRule type="containsText" dxfId="2757" priority="520" operator="containsText" text="Functioning">
      <formula>NOT(ISERROR(SEARCH("Functioning",E384)))</formula>
    </cfRule>
  </conditionalFormatting>
  <conditionalFormatting sqref="E384">
    <cfRule type="expression" dxfId="2756" priority="514">
      <formula>#REF!="Level 4 - Physicochemical"</formula>
    </cfRule>
    <cfRule type="expression" dxfId="2755" priority="517">
      <formula>#REF!="Level 5 - Biology"</formula>
    </cfRule>
  </conditionalFormatting>
  <conditionalFormatting sqref="E386">
    <cfRule type="expression" dxfId="2754" priority="513">
      <formula>#REF!="Level 4 - Physicochemical"</formula>
    </cfRule>
    <cfRule type="expression" dxfId="2753" priority="516">
      <formula>#REF!="Level 5 - Biology"</formula>
    </cfRule>
  </conditionalFormatting>
  <conditionalFormatting sqref="E387">
    <cfRule type="expression" dxfId="2752" priority="512">
      <formula>#REF!="Level 4 - Physicochemical"</formula>
    </cfRule>
    <cfRule type="expression" dxfId="2751" priority="515">
      <formula>#REF!="Level 5 - Biology"</formula>
    </cfRule>
  </conditionalFormatting>
  <conditionalFormatting sqref="E385">
    <cfRule type="expression" dxfId="2750" priority="521">
      <formula>B280="Level 4 - Physicochemical"</formula>
    </cfRule>
    <cfRule type="expression" dxfId="2749" priority="522">
      <formula>B280="Level 5 - Biology"</formula>
    </cfRule>
  </conditionalFormatting>
  <conditionalFormatting sqref="E382:E383">
    <cfRule type="beginsWith" dxfId="2748" priority="509" stopIfTrue="1" operator="beginsWith" text="Functioning At Risk">
      <formula>LEFT(E382,LEN("Functioning At Risk"))="Functioning At Risk"</formula>
    </cfRule>
    <cfRule type="beginsWith" dxfId="2747" priority="510" stopIfTrue="1" operator="beginsWith" text="Not Functioning">
      <formula>LEFT(E382,LEN("Not Functioning"))="Not Functioning"</formula>
    </cfRule>
    <cfRule type="containsText" dxfId="2746" priority="511" operator="containsText" text="Functioning">
      <formula>NOT(ISERROR(SEARCH("Functioning",E382)))</formula>
    </cfRule>
  </conditionalFormatting>
  <conditionalFormatting sqref="E379">
    <cfRule type="beginsWith" dxfId="2745" priority="506" stopIfTrue="1" operator="beginsWith" text="Functioning At Risk">
      <formula>LEFT(E379,LEN("Functioning At Risk"))="Functioning At Risk"</formula>
    </cfRule>
    <cfRule type="beginsWith" dxfId="2744" priority="507" stopIfTrue="1" operator="beginsWith" text="Not Functioning">
      <formula>LEFT(E379,LEN("Not Functioning"))="Not Functioning"</formula>
    </cfRule>
    <cfRule type="containsText" dxfId="2743" priority="508" operator="containsText" text="Functioning">
      <formula>NOT(ISERROR(SEARCH("Functioning",E379)))</formula>
    </cfRule>
  </conditionalFormatting>
  <conditionalFormatting sqref="E381">
    <cfRule type="beginsWith" dxfId="2742" priority="503" stopIfTrue="1" operator="beginsWith" text="Functioning At Risk">
      <formula>LEFT(E381,LEN("Functioning At Risk"))="Functioning At Risk"</formula>
    </cfRule>
    <cfRule type="beginsWith" dxfId="2741" priority="504" stopIfTrue="1" operator="beginsWith" text="Not Functioning">
      <formula>LEFT(E381,LEN("Not Functioning"))="Not Functioning"</formula>
    </cfRule>
    <cfRule type="containsText" dxfId="2740" priority="505" operator="containsText" text="Functioning">
      <formula>NOT(ISERROR(SEARCH("Functioning",E381)))</formula>
    </cfRule>
  </conditionalFormatting>
  <conditionalFormatting sqref="E380">
    <cfRule type="beginsWith" dxfId="2739" priority="500" stopIfTrue="1" operator="beginsWith" text="Functioning At Risk">
      <formula>LEFT(E380,LEN("Functioning At Risk"))="Functioning At Risk"</formula>
    </cfRule>
    <cfRule type="beginsWith" dxfId="2738" priority="501" stopIfTrue="1" operator="beginsWith" text="Not Functioning">
      <formula>LEFT(E380,LEN("Not Functioning"))="Not Functioning"</formula>
    </cfRule>
    <cfRule type="containsText" dxfId="2737" priority="502" operator="containsText" text="Functioning">
      <formula>NOT(ISERROR(SEARCH("Functioning",E380)))</formula>
    </cfRule>
  </conditionalFormatting>
  <conditionalFormatting sqref="E424">
    <cfRule type="beginsWith" dxfId="2736" priority="488" stopIfTrue="1" operator="beginsWith" text="Functioning At Risk">
      <formula>LEFT(E424,LEN("Functioning At Risk"))="Functioning At Risk"</formula>
    </cfRule>
    <cfRule type="beginsWith" dxfId="2735" priority="489" stopIfTrue="1" operator="beginsWith" text="Not Functioning">
      <formula>LEFT(E424,LEN("Not Functioning"))="Not Functioning"</formula>
    </cfRule>
    <cfRule type="containsText" dxfId="2734" priority="490" operator="containsText" text="Functioning">
      <formula>NOT(ISERROR(SEARCH("Functioning",E424)))</formula>
    </cfRule>
  </conditionalFormatting>
  <conditionalFormatting sqref="E424">
    <cfRule type="expression" dxfId="2733" priority="484">
      <formula>#REF!="Level 4 - Physicochemical"</formula>
    </cfRule>
    <cfRule type="expression" dxfId="2732" priority="487">
      <formula>#REF!="Level 5 - Biology"</formula>
    </cfRule>
  </conditionalFormatting>
  <conditionalFormatting sqref="E426">
    <cfRule type="expression" dxfId="2731" priority="483">
      <formula>#REF!="Level 4 - Physicochemical"</formula>
    </cfRule>
    <cfRule type="expression" dxfId="2730" priority="486">
      <formula>#REF!="Level 5 - Biology"</formula>
    </cfRule>
  </conditionalFormatting>
  <conditionalFormatting sqref="E427">
    <cfRule type="expression" dxfId="2729" priority="482">
      <formula>#REF!="Level 4 - Physicochemical"</formula>
    </cfRule>
    <cfRule type="expression" dxfId="2728" priority="485">
      <formula>#REF!="Level 5 - Biology"</formula>
    </cfRule>
  </conditionalFormatting>
  <conditionalFormatting sqref="E425">
    <cfRule type="expression" dxfId="2727" priority="491">
      <formula>B320="Level 4 - Physicochemical"</formula>
    </cfRule>
    <cfRule type="expression" dxfId="2726" priority="492">
      <formula>B320="Level 5 - Biology"</formula>
    </cfRule>
  </conditionalFormatting>
  <conditionalFormatting sqref="E422:E423">
    <cfRule type="beginsWith" dxfId="2725" priority="479" stopIfTrue="1" operator="beginsWith" text="Functioning At Risk">
      <formula>LEFT(E422,LEN("Functioning At Risk"))="Functioning At Risk"</formula>
    </cfRule>
    <cfRule type="beginsWith" dxfId="2724" priority="480" stopIfTrue="1" operator="beginsWith" text="Not Functioning">
      <formula>LEFT(E422,LEN("Not Functioning"))="Not Functioning"</formula>
    </cfRule>
    <cfRule type="containsText" dxfId="2723" priority="481" operator="containsText" text="Functioning">
      <formula>NOT(ISERROR(SEARCH("Functioning",E422)))</formula>
    </cfRule>
  </conditionalFormatting>
  <conditionalFormatting sqref="E419">
    <cfRule type="beginsWith" dxfId="2722" priority="476" stopIfTrue="1" operator="beginsWith" text="Functioning At Risk">
      <formula>LEFT(E419,LEN("Functioning At Risk"))="Functioning At Risk"</formula>
    </cfRule>
    <cfRule type="beginsWith" dxfId="2721" priority="477" stopIfTrue="1" operator="beginsWith" text="Not Functioning">
      <formula>LEFT(E419,LEN("Not Functioning"))="Not Functioning"</formula>
    </cfRule>
    <cfRule type="containsText" dxfId="2720" priority="478" operator="containsText" text="Functioning">
      <formula>NOT(ISERROR(SEARCH("Functioning",E419)))</formula>
    </cfRule>
  </conditionalFormatting>
  <conditionalFormatting sqref="E421">
    <cfRule type="beginsWith" dxfId="2719" priority="473" stopIfTrue="1" operator="beginsWith" text="Functioning At Risk">
      <formula>LEFT(E421,LEN("Functioning At Risk"))="Functioning At Risk"</formula>
    </cfRule>
    <cfRule type="beginsWith" dxfId="2718" priority="474" stopIfTrue="1" operator="beginsWith" text="Not Functioning">
      <formula>LEFT(E421,LEN("Not Functioning"))="Not Functioning"</formula>
    </cfRule>
    <cfRule type="containsText" dxfId="2717" priority="475" operator="containsText" text="Functioning">
      <formula>NOT(ISERROR(SEARCH("Functioning",E421)))</formula>
    </cfRule>
  </conditionalFormatting>
  <conditionalFormatting sqref="E420">
    <cfRule type="beginsWith" dxfId="2716" priority="470" stopIfTrue="1" operator="beginsWith" text="Functioning At Risk">
      <formula>LEFT(E420,LEN("Functioning At Risk"))="Functioning At Risk"</formula>
    </cfRule>
    <cfRule type="beginsWith" dxfId="2715" priority="471" stopIfTrue="1" operator="beginsWith" text="Not Functioning">
      <formula>LEFT(E420,LEN("Not Functioning"))="Not Functioning"</formula>
    </cfRule>
    <cfRule type="containsText" dxfId="2714" priority="472" operator="containsText" text="Functioning">
      <formula>NOT(ISERROR(SEARCH("Functioning",E420)))</formula>
    </cfRule>
  </conditionalFormatting>
  <conditionalFormatting sqref="E19:E20">
    <cfRule type="beginsWith" dxfId="2713" priority="430" stopIfTrue="1" operator="beginsWith" text="Functioning At Risk">
      <formula>LEFT(E19,LEN("Functioning At Risk"))="Functioning At Risk"</formula>
    </cfRule>
    <cfRule type="beginsWith" dxfId="2712" priority="431" stopIfTrue="1" operator="beginsWith" text="Not Functioning">
      <formula>LEFT(E19,LEN("Not Functioning"))="Not Functioning"</formula>
    </cfRule>
    <cfRule type="containsText" dxfId="2711" priority="432" operator="containsText" text="Functioning">
      <formula>NOT(ISERROR(SEARCH("Functioning",E19)))</formula>
    </cfRule>
  </conditionalFormatting>
  <conditionalFormatting sqref="E376">
    <cfRule type="beginsWith" dxfId="2710" priority="355" stopIfTrue="1" operator="beginsWith" text="Functioning At Risk">
      <formula>LEFT(E376,LEN("Functioning At Risk"))="Functioning At Risk"</formula>
    </cfRule>
    <cfRule type="beginsWith" dxfId="2709" priority="356" stopIfTrue="1" operator="beginsWith" text="Not Functioning">
      <formula>LEFT(E376,LEN("Not Functioning"))="Not Functioning"</formula>
    </cfRule>
    <cfRule type="containsText" dxfId="2708" priority="357" operator="containsText" text="Functioning">
      <formula>NOT(ISERROR(SEARCH("Functioning",E376)))</formula>
    </cfRule>
  </conditionalFormatting>
  <conditionalFormatting sqref="E377">
    <cfRule type="beginsWith" dxfId="2707" priority="352" stopIfTrue="1" operator="beginsWith" text="Functioning At Risk">
      <formula>LEFT(E377,LEN("Functioning At Risk"))="Functioning At Risk"</formula>
    </cfRule>
    <cfRule type="beginsWith" dxfId="2706" priority="353" stopIfTrue="1" operator="beginsWith" text="Not Functioning">
      <formula>LEFT(E377,LEN("Not Functioning"))="Not Functioning"</formula>
    </cfRule>
    <cfRule type="containsText" dxfId="2705" priority="354" operator="containsText" text="Functioning">
      <formula>NOT(ISERROR(SEARCH("Functioning",E377)))</formula>
    </cfRule>
  </conditionalFormatting>
  <conditionalFormatting sqref="E336">
    <cfRule type="beginsWith" dxfId="2704" priority="349" stopIfTrue="1" operator="beginsWith" text="Functioning At Risk">
      <formula>LEFT(E336,LEN("Functioning At Risk"))="Functioning At Risk"</formula>
    </cfRule>
    <cfRule type="beginsWith" dxfId="2703" priority="350" stopIfTrue="1" operator="beginsWith" text="Not Functioning">
      <formula>LEFT(E336,LEN("Not Functioning"))="Not Functioning"</formula>
    </cfRule>
    <cfRule type="containsText" dxfId="2702" priority="351" operator="containsText" text="Functioning">
      <formula>NOT(ISERROR(SEARCH("Functioning",E336)))</formula>
    </cfRule>
  </conditionalFormatting>
  <conditionalFormatting sqref="E337">
    <cfRule type="beginsWith" dxfId="2701" priority="346" stopIfTrue="1" operator="beginsWith" text="Functioning At Risk">
      <formula>LEFT(E337,LEN("Functioning At Risk"))="Functioning At Risk"</formula>
    </cfRule>
    <cfRule type="beginsWith" dxfId="2700" priority="347" stopIfTrue="1" operator="beginsWith" text="Not Functioning">
      <formula>LEFT(E337,LEN("Not Functioning"))="Not Functioning"</formula>
    </cfRule>
    <cfRule type="containsText" dxfId="2699" priority="348" operator="containsText" text="Functioning">
      <formula>NOT(ISERROR(SEARCH("Functioning",E337)))</formula>
    </cfRule>
  </conditionalFormatting>
  <conditionalFormatting sqref="E296">
    <cfRule type="beginsWith" dxfId="2698" priority="343" stopIfTrue="1" operator="beginsWith" text="Functioning At Risk">
      <formula>LEFT(E296,LEN("Functioning At Risk"))="Functioning At Risk"</formula>
    </cfRule>
    <cfRule type="beginsWith" dxfId="2697" priority="344" stopIfTrue="1" operator="beginsWith" text="Not Functioning">
      <formula>LEFT(E296,LEN("Not Functioning"))="Not Functioning"</formula>
    </cfRule>
    <cfRule type="containsText" dxfId="2696" priority="345" operator="containsText" text="Functioning">
      <formula>NOT(ISERROR(SEARCH("Functioning",E296)))</formula>
    </cfRule>
  </conditionalFormatting>
  <conditionalFormatting sqref="E297">
    <cfRule type="beginsWith" dxfId="2695" priority="340" stopIfTrue="1" operator="beginsWith" text="Functioning At Risk">
      <formula>LEFT(E297,LEN("Functioning At Risk"))="Functioning At Risk"</formula>
    </cfRule>
    <cfRule type="beginsWith" dxfId="2694" priority="341" stopIfTrue="1" operator="beginsWith" text="Not Functioning">
      <formula>LEFT(E297,LEN("Not Functioning"))="Not Functioning"</formula>
    </cfRule>
    <cfRule type="containsText" dxfId="2693" priority="342" operator="containsText" text="Functioning">
      <formula>NOT(ISERROR(SEARCH("Functioning",E297)))</formula>
    </cfRule>
  </conditionalFormatting>
  <conditionalFormatting sqref="E256">
    <cfRule type="beginsWith" dxfId="2692" priority="337" stopIfTrue="1" operator="beginsWith" text="Functioning At Risk">
      <formula>LEFT(E256,LEN("Functioning At Risk"))="Functioning At Risk"</formula>
    </cfRule>
    <cfRule type="beginsWith" dxfId="2691" priority="338" stopIfTrue="1" operator="beginsWith" text="Not Functioning">
      <formula>LEFT(E256,LEN("Not Functioning"))="Not Functioning"</formula>
    </cfRule>
    <cfRule type="containsText" dxfId="2690" priority="339" operator="containsText" text="Functioning">
      <formula>NOT(ISERROR(SEARCH("Functioning",E256)))</formula>
    </cfRule>
  </conditionalFormatting>
  <conditionalFormatting sqref="E257">
    <cfRule type="beginsWith" dxfId="2689" priority="334" stopIfTrue="1" operator="beginsWith" text="Functioning At Risk">
      <formula>LEFT(E257,LEN("Functioning At Risk"))="Functioning At Risk"</formula>
    </cfRule>
    <cfRule type="beginsWith" dxfId="2688" priority="335" stopIfTrue="1" operator="beginsWith" text="Not Functioning">
      <formula>LEFT(E257,LEN("Not Functioning"))="Not Functioning"</formula>
    </cfRule>
    <cfRule type="containsText" dxfId="2687" priority="336" operator="containsText" text="Functioning">
      <formula>NOT(ISERROR(SEARCH("Functioning",E257)))</formula>
    </cfRule>
  </conditionalFormatting>
  <conditionalFormatting sqref="E216">
    <cfRule type="beginsWith" dxfId="2686" priority="331" stopIfTrue="1" operator="beginsWith" text="Functioning At Risk">
      <formula>LEFT(E216,LEN("Functioning At Risk"))="Functioning At Risk"</formula>
    </cfRule>
    <cfRule type="beginsWith" dxfId="2685" priority="332" stopIfTrue="1" operator="beginsWith" text="Not Functioning">
      <formula>LEFT(E216,LEN("Not Functioning"))="Not Functioning"</formula>
    </cfRule>
    <cfRule type="containsText" dxfId="2684" priority="333" operator="containsText" text="Functioning">
      <formula>NOT(ISERROR(SEARCH("Functioning",E216)))</formula>
    </cfRule>
  </conditionalFormatting>
  <conditionalFormatting sqref="E217">
    <cfRule type="beginsWith" dxfId="2683" priority="328" stopIfTrue="1" operator="beginsWith" text="Functioning At Risk">
      <formula>LEFT(E217,LEN("Functioning At Risk"))="Functioning At Risk"</formula>
    </cfRule>
    <cfRule type="beginsWith" dxfId="2682" priority="329" stopIfTrue="1" operator="beginsWith" text="Not Functioning">
      <formula>LEFT(E217,LEN("Not Functioning"))="Not Functioning"</formula>
    </cfRule>
    <cfRule type="containsText" dxfId="2681" priority="330" operator="containsText" text="Functioning">
      <formula>NOT(ISERROR(SEARCH("Functioning",E217)))</formula>
    </cfRule>
  </conditionalFormatting>
  <conditionalFormatting sqref="E177">
    <cfRule type="beginsWith" dxfId="2680" priority="325" stopIfTrue="1" operator="beginsWith" text="Functioning At Risk">
      <formula>LEFT(E177,LEN("Functioning At Risk"))="Functioning At Risk"</formula>
    </cfRule>
    <cfRule type="beginsWith" dxfId="2679" priority="326" stopIfTrue="1" operator="beginsWith" text="Not Functioning">
      <formula>LEFT(E177,LEN("Not Functioning"))="Not Functioning"</formula>
    </cfRule>
    <cfRule type="containsText" dxfId="2678" priority="327" operator="containsText" text="Functioning">
      <formula>NOT(ISERROR(SEARCH("Functioning",E177)))</formula>
    </cfRule>
  </conditionalFormatting>
  <conditionalFormatting sqref="E178">
    <cfRule type="beginsWith" dxfId="2677" priority="322" stopIfTrue="1" operator="beginsWith" text="Functioning At Risk">
      <formula>LEFT(E178,LEN("Functioning At Risk"))="Functioning At Risk"</formula>
    </cfRule>
    <cfRule type="beginsWith" dxfId="2676" priority="323" stopIfTrue="1" operator="beginsWith" text="Not Functioning">
      <formula>LEFT(E178,LEN("Not Functioning"))="Not Functioning"</formula>
    </cfRule>
    <cfRule type="containsText" dxfId="2675" priority="324" operator="containsText" text="Functioning">
      <formula>NOT(ISERROR(SEARCH("Functioning",E178)))</formula>
    </cfRule>
  </conditionalFormatting>
  <conditionalFormatting sqref="E138">
    <cfRule type="beginsWith" dxfId="2674" priority="319" stopIfTrue="1" operator="beginsWith" text="Functioning At Risk">
      <formula>LEFT(E138,LEN("Functioning At Risk"))="Functioning At Risk"</formula>
    </cfRule>
    <cfRule type="beginsWith" dxfId="2673" priority="320" stopIfTrue="1" operator="beginsWith" text="Not Functioning">
      <formula>LEFT(E138,LEN("Not Functioning"))="Not Functioning"</formula>
    </cfRule>
    <cfRule type="containsText" dxfId="2672" priority="321" operator="containsText" text="Functioning">
      <formula>NOT(ISERROR(SEARCH("Functioning",E138)))</formula>
    </cfRule>
  </conditionalFormatting>
  <conditionalFormatting sqref="E139">
    <cfRule type="beginsWith" dxfId="2671" priority="316" stopIfTrue="1" operator="beginsWith" text="Functioning At Risk">
      <formula>LEFT(E139,LEN("Functioning At Risk"))="Functioning At Risk"</formula>
    </cfRule>
    <cfRule type="beginsWith" dxfId="2670" priority="317" stopIfTrue="1" operator="beginsWith" text="Not Functioning">
      <formula>LEFT(E139,LEN("Not Functioning"))="Not Functioning"</formula>
    </cfRule>
    <cfRule type="containsText" dxfId="2669" priority="318" operator="containsText" text="Functioning">
      <formula>NOT(ISERROR(SEARCH("Functioning",E139)))</formula>
    </cfRule>
  </conditionalFormatting>
  <conditionalFormatting sqref="E99">
    <cfRule type="beginsWith" dxfId="2668" priority="313" stopIfTrue="1" operator="beginsWith" text="Functioning At Risk">
      <formula>LEFT(E99,LEN("Functioning At Risk"))="Functioning At Risk"</formula>
    </cfRule>
    <cfRule type="beginsWith" dxfId="2667" priority="314" stopIfTrue="1" operator="beginsWith" text="Not Functioning">
      <formula>LEFT(E99,LEN("Not Functioning"))="Not Functioning"</formula>
    </cfRule>
    <cfRule type="containsText" dxfId="2666" priority="315" operator="containsText" text="Functioning">
      <formula>NOT(ISERROR(SEARCH("Functioning",E99)))</formula>
    </cfRule>
  </conditionalFormatting>
  <conditionalFormatting sqref="E100">
    <cfRule type="beginsWith" dxfId="2665" priority="310" stopIfTrue="1" operator="beginsWith" text="Functioning At Risk">
      <formula>LEFT(E100,LEN("Functioning At Risk"))="Functioning At Risk"</formula>
    </cfRule>
    <cfRule type="beginsWith" dxfId="2664" priority="311" stopIfTrue="1" operator="beginsWith" text="Not Functioning">
      <formula>LEFT(E100,LEN("Not Functioning"))="Not Functioning"</formula>
    </cfRule>
    <cfRule type="containsText" dxfId="2663" priority="312" operator="containsText" text="Functioning">
      <formula>NOT(ISERROR(SEARCH("Functioning",E100)))</formula>
    </cfRule>
  </conditionalFormatting>
  <conditionalFormatting sqref="E60">
    <cfRule type="beginsWith" dxfId="2662" priority="307" stopIfTrue="1" operator="beginsWith" text="Functioning At Risk">
      <formula>LEFT(E60,LEN("Functioning At Risk"))="Functioning At Risk"</formula>
    </cfRule>
    <cfRule type="beginsWith" dxfId="2661" priority="308" stopIfTrue="1" operator="beginsWith" text="Not Functioning">
      <formula>LEFT(E60,LEN("Not Functioning"))="Not Functioning"</formula>
    </cfRule>
    <cfRule type="containsText" dxfId="2660" priority="309" operator="containsText" text="Functioning">
      <formula>NOT(ISERROR(SEARCH("Functioning",E60)))</formula>
    </cfRule>
  </conditionalFormatting>
  <conditionalFormatting sqref="E61">
    <cfRule type="beginsWith" dxfId="2659" priority="304" stopIfTrue="1" operator="beginsWith" text="Functioning At Risk">
      <formula>LEFT(E61,LEN("Functioning At Risk"))="Functioning At Risk"</formula>
    </cfRule>
    <cfRule type="beginsWith" dxfId="2658" priority="305" stopIfTrue="1" operator="beginsWith" text="Not Functioning">
      <formula>LEFT(E61,LEN("Not Functioning"))="Not Functioning"</formula>
    </cfRule>
    <cfRule type="containsText" dxfId="2657" priority="306" operator="containsText" text="Functioning">
      <formula>NOT(ISERROR(SEARCH("Functioning",E61)))</formula>
    </cfRule>
  </conditionalFormatting>
  <conditionalFormatting sqref="E21">
    <cfRule type="beginsWith" dxfId="2656" priority="301" stopIfTrue="1" operator="beginsWith" text="Functioning At Risk">
      <formula>LEFT(E21,LEN("Functioning At Risk"))="Functioning At Risk"</formula>
    </cfRule>
    <cfRule type="beginsWith" dxfId="2655" priority="302" stopIfTrue="1" operator="beginsWith" text="Not Functioning">
      <formula>LEFT(E21,LEN("Not Functioning"))="Not Functioning"</formula>
    </cfRule>
    <cfRule type="containsText" dxfId="2654" priority="303" operator="containsText" text="Functioning">
      <formula>NOT(ISERROR(SEARCH("Functioning",E21)))</formula>
    </cfRule>
  </conditionalFormatting>
  <conditionalFormatting sqref="E22">
    <cfRule type="beginsWith" dxfId="2653" priority="298" stopIfTrue="1" operator="beginsWith" text="Functioning At Risk">
      <formula>LEFT(E22,LEN("Functioning At Risk"))="Functioning At Risk"</formula>
    </cfRule>
    <cfRule type="beginsWith" dxfId="2652" priority="299" stopIfTrue="1" operator="beginsWith" text="Not Functioning">
      <formula>LEFT(E22,LEN("Not Functioning"))="Not Functioning"</formula>
    </cfRule>
    <cfRule type="containsText" dxfId="2651" priority="300" operator="containsText" text="Functioning">
      <formula>NOT(ISERROR(SEARCH("Functioning",E22)))</formula>
    </cfRule>
  </conditionalFormatting>
  <conditionalFormatting sqref="F28 F5:F6 F13:F16">
    <cfRule type="beginsWith" dxfId="2650" priority="295" stopIfTrue="1" operator="beginsWith" text="Functioning At Risk">
      <formula>LEFT(F5,LEN("Functioning At Risk"))="Functioning At Risk"</formula>
    </cfRule>
    <cfRule type="beginsWith" dxfId="2649" priority="296" stopIfTrue="1" operator="beginsWith" text="Not Functioning">
      <formula>LEFT(F5,LEN("Not Functioning"))="Not Functioning"</formula>
    </cfRule>
    <cfRule type="containsText" dxfId="2648" priority="297" operator="containsText" text="Functioning">
      <formula>NOT(ISERROR(SEARCH("Functioning",F5)))</formula>
    </cfRule>
  </conditionalFormatting>
  <conditionalFormatting sqref="F17:F18">
    <cfRule type="beginsWith" dxfId="2647" priority="292" stopIfTrue="1" operator="beginsWith" text="Functioning At Risk">
      <formula>LEFT(F17,LEN("Functioning At Risk"))="Functioning At Risk"</formula>
    </cfRule>
    <cfRule type="beginsWith" dxfId="2646" priority="293" stopIfTrue="1" operator="beginsWith" text="Not Functioning">
      <formula>LEFT(F17,LEN("Not Functioning"))="Not Functioning"</formula>
    </cfRule>
    <cfRule type="containsText" dxfId="2645" priority="294" operator="containsText" text="Functioning">
      <formula>NOT(ISERROR(SEARCH("Functioning",F17)))</formula>
    </cfRule>
  </conditionalFormatting>
  <conditionalFormatting sqref="F37:F38">
    <cfRule type="beginsWith" dxfId="2644" priority="289" stopIfTrue="1" operator="beginsWith" text="Functioning At Risk">
      <formula>LEFT(F37,LEN("Functioning At Risk"))="Functioning At Risk"</formula>
    </cfRule>
    <cfRule type="beginsWith" dxfId="2643" priority="290" stopIfTrue="1" operator="beginsWith" text="Not Functioning">
      <formula>LEFT(F37,LEN("Not Functioning"))="Not Functioning"</formula>
    </cfRule>
    <cfRule type="containsText" dxfId="2642" priority="291" operator="containsText" text="Functioning">
      <formula>NOT(ISERROR(SEARCH("Functioning",F37)))</formula>
    </cfRule>
  </conditionalFormatting>
  <conditionalFormatting sqref="F33:F36">
    <cfRule type="beginsWith" dxfId="2641" priority="286" stopIfTrue="1" operator="beginsWith" text="Functioning At Risk">
      <formula>LEFT(F33,LEN("Functioning At Risk"))="Functioning At Risk"</formula>
    </cfRule>
    <cfRule type="beginsWith" dxfId="2640" priority="287" stopIfTrue="1" operator="beginsWith" text="Not Functioning">
      <formula>LEFT(F33,LEN("Not Functioning"))="Not Functioning"</formula>
    </cfRule>
    <cfRule type="containsText" dxfId="2639" priority="288" operator="containsText" text="Functioning">
      <formula>NOT(ISERROR(SEARCH("Functioning",F33)))</formula>
    </cfRule>
  </conditionalFormatting>
  <conditionalFormatting sqref="F21">
    <cfRule type="beginsWith" dxfId="2638" priority="283" stopIfTrue="1" operator="beginsWith" text="Functioning At Risk">
      <formula>LEFT(F21,LEN("Functioning At Risk"))="Functioning At Risk"</formula>
    </cfRule>
    <cfRule type="beginsWith" dxfId="2637" priority="284" stopIfTrue="1" operator="beginsWith" text="Not Functioning">
      <formula>LEFT(F21,LEN("Not Functioning"))="Not Functioning"</formula>
    </cfRule>
    <cfRule type="containsText" dxfId="2636" priority="285" operator="containsText" text="Functioning">
      <formula>NOT(ISERROR(SEARCH("Functioning",F21)))</formula>
    </cfRule>
  </conditionalFormatting>
  <conditionalFormatting sqref="F7:F8">
    <cfRule type="beginsWith" dxfId="2635" priority="280" stopIfTrue="1" operator="beginsWith" text="Functioning At Risk">
      <formula>LEFT(F7,LEN("Functioning At Risk"))="Functioning At Risk"</formula>
    </cfRule>
    <cfRule type="beginsWith" dxfId="2634" priority="281" stopIfTrue="1" operator="beginsWith" text="Not Functioning">
      <formula>LEFT(F7,LEN("Not Functioning"))="Not Functioning"</formula>
    </cfRule>
    <cfRule type="containsText" dxfId="2633" priority="282" operator="containsText" text="Functioning">
      <formula>NOT(ISERROR(SEARCH("Functioning",F7)))</formula>
    </cfRule>
  </conditionalFormatting>
  <conditionalFormatting sqref="F10">
    <cfRule type="beginsWith" dxfId="2632" priority="277" stopIfTrue="1" operator="beginsWith" text="Functioning At Risk">
      <formula>LEFT(F10,LEN("Functioning At Risk"))="Functioning At Risk"</formula>
    </cfRule>
    <cfRule type="beginsWith" dxfId="2631" priority="278" stopIfTrue="1" operator="beginsWith" text="Not Functioning">
      <formula>LEFT(F10,LEN("Not Functioning"))="Not Functioning"</formula>
    </cfRule>
    <cfRule type="containsText" dxfId="2630" priority="279" operator="containsText" text="Functioning">
      <formula>NOT(ISERROR(SEARCH("Functioning",F10)))</formula>
    </cfRule>
  </conditionalFormatting>
  <conditionalFormatting sqref="F25">
    <cfRule type="beginsWith" dxfId="2629" priority="274" stopIfTrue="1" operator="beginsWith" text="Functioning At Risk">
      <formula>LEFT(F25,LEN("Functioning At Risk"))="Functioning At Risk"</formula>
    </cfRule>
    <cfRule type="beginsWith" dxfId="2628" priority="275" stopIfTrue="1" operator="beginsWith" text="Not Functioning">
      <formula>LEFT(F25,LEN("Not Functioning"))="Not Functioning"</formula>
    </cfRule>
    <cfRule type="containsText" dxfId="2627" priority="276" operator="containsText" text="Functioning">
      <formula>NOT(ISERROR(SEARCH("Functioning",F25)))</formula>
    </cfRule>
  </conditionalFormatting>
  <conditionalFormatting sqref="F22">
    <cfRule type="beginsWith" dxfId="2626" priority="271" stopIfTrue="1" operator="beginsWith" text="Functioning At Risk">
      <formula>LEFT(F22,LEN("Functioning At Risk"))="Functioning At Risk"</formula>
    </cfRule>
    <cfRule type="beginsWith" dxfId="2625" priority="272" stopIfTrue="1" operator="beginsWith" text="Not Functioning">
      <formula>LEFT(F22,LEN("Not Functioning"))="Not Functioning"</formula>
    </cfRule>
    <cfRule type="containsText" dxfId="2624" priority="273" operator="containsText" text="Functioning">
      <formula>NOT(ISERROR(SEARCH("Functioning",F22)))</formula>
    </cfRule>
  </conditionalFormatting>
  <conditionalFormatting sqref="F67 F44:F45 F52:F55">
    <cfRule type="beginsWith" dxfId="2623" priority="268" stopIfTrue="1" operator="beginsWith" text="Functioning At Risk">
      <formula>LEFT(F44,LEN("Functioning At Risk"))="Functioning At Risk"</formula>
    </cfRule>
    <cfRule type="beginsWith" dxfId="2622" priority="269" stopIfTrue="1" operator="beginsWith" text="Not Functioning">
      <formula>LEFT(F44,LEN("Not Functioning"))="Not Functioning"</formula>
    </cfRule>
    <cfRule type="containsText" dxfId="2621" priority="270" operator="containsText" text="Functioning">
      <formula>NOT(ISERROR(SEARCH("Functioning",F44)))</formula>
    </cfRule>
  </conditionalFormatting>
  <conditionalFormatting sqref="F56:F57">
    <cfRule type="beginsWith" dxfId="2620" priority="265" stopIfTrue="1" operator="beginsWith" text="Functioning At Risk">
      <formula>LEFT(F56,LEN("Functioning At Risk"))="Functioning At Risk"</formula>
    </cfRule>
    <cfRule type="beginsWith" dxfId="2619" priority="266" stopIfTrue="1" operator="beginsWith" text="Not Functioning">
      <formula>LEFT(F56,LEN("Not Functioning"))="Not Functioning"</formula>
    </cfRule>
    <cfRule type="containsText" dxfId="2618" priority="267" operator="containsText" text="Functioning">
      <formula>NOT(ISERROR(SEARCH("Functioning",F56)))</formula>
    </cfRule>
  </conditionalFormatting>
  <conditionalFormatting sqref="F76:F77">
    <cfRule type="beginsWith" dxfId="2617" priority="262" stopIfTrue="1" operator="beginsWith" text="Functioning At Risk">
      <formula>LEFT(F76,LEN("Functioning At Risk"))="Functioning At Risk"</formula>
    </cfRule>
    <cfRule type="beginsWith" dxfId="2616" priority="263" stopIfTrue="1" operator="beginsWith" text="Not Functioning">
      <formula>LEFT(F76,LEN("Not Functioning"))="Not Functioning"</formula>
    </cfRule>
    <cfRule type="containsText" dxfId="2615" priority="264" operator="containsText" text="Functioning">
      <formula>NOT(ISERROR(SEARCH("Functioning",F76)))</formula>
    </cfRule>
  </conditionalFormatting>
  <conditionalFormatting sqref="F72:F75">
    <cfRule type="beginsWith" dxfId="2614" priority="259" stopIfTrue="1" operator="beginsWith" text="Functioning At Risk">
      <formula>LEFT(F72,LEN("Functioning At Risk"))="Functioning At Risk"</formula>
    </cfRule>
    <cfRule type="beginsWith" dxfId="2613" priority="260" stopIfTrue="1" operator="beginsWith" text="Not Functioning">
      <formula>LEFT(F72,LEN("Not Functioning"))="Not Functioning"</formula>
    </cfRule>
    <cfRule type="containsText" dxfId="2612" priority="261" operator="containsText" text="Functioning">
      <formula>NOT(ISERROR(SEARCH("Functioning",F72)))</formula>
    </cfRule>
  </conditionalFormatting>
  <conditionalFormatting sqref="F60">
    <cfRule type="beginsWith" dxfId="2611" priority="256" stopIfTrue="1" operator="beginsWith" text="Functioning At Risk">
      <formula>LEFT(F60,LEN("Functioning At Risk"))="Functioning At Risk"</formula>
    </cfRule>
    <cfRule type="beginsWith" dxfId="2610" priority="257" stopIfTrue="1" operator="beginsWith" text="Not Functioning">
      <formula>LEFT(F60,LEN("Not Functioning"))="Not Functioning"</formula>
    </cfRule>
    <cfRule type="containsText" dxfId="2609" priority="258" operator="containsText" text="Functioning">
      <formula>NOT(ISERROR(SEARCH("Functioning",F60)))</formula>
    </cfRule>
  </conditionalFormatting>
  <conditionalFormatting sqref="F46:F47">
    <cfRule type="beginsWith" dxfId="2608" priority="253" stopIfTrue="1" operator="beginsWith" text="Functioning At Risk">
      <formula>LEFT(F46,LEN("Functioning At Risk"))="Functioning At Risk"</formula>
    </cfRule>
    <cfRule type="beginsWith" dxfId="2607" priority="254" stopIfTrue="1" operator="beginsWith" text="Not Functioning">
      <formula>LEFT(F46,LEN("Not Functioning"))="Not Functioning"</formula>
    </cfRule>
    <cfRule type="containsText" dxfId="2606" priority="255" operator="containsText" text="Functioning">
      <formula>NOT(ISERROR(SEARCH("Functioning",F46)))</formula>
    </cfRule>
  </conditionalFormatting>
  <conditionalFormatting sqref="F49">
    <cfRule type="beginsWith" dxfId="2605" priority="250" stopIfTrue="1" operator="beginsWith" text="Functioning At Risk">
      <formula>LEFT(F49,LEN("Functioning At Risk"))="Functioning At Risk"</formula>
    </cfRule>
    <cfRule type="beginsWith" dxfId="2604" priority="251" stopIfTrue="1" operator="beginsWith" text="Not Functioning">
      <formula>LEFT(F49,LEN("Not Functioning"))="Not Functioning"</formula>
    </cfRule>
    <cfRule type="containsText" dxfId="2603" priority="252" operator="containsText" text="Functioning">
      <formula>NOT(ISERROR(SEARCH("Functioning",F49)))</formula>
    </cfRule>
  </conditionalFormatting>
  <conditionalFormatting sqref="F64">
    <cfRule type="beginsWith" dxfId="2602" priority="247" stopIfTrue="1" operator="beginsWith" text="Functioning At Risk">
      <formula>LEFT(F64,LEN("Functioning At Risk"))="Functioning At Risk"</formula>
    </cfRule>
    <cfRule type="beginsWith" dxfId="2601" priority="248" stopIfTrue="1" operator="beginsWith" text="Not Functioning">
      <formula>LEFT(F64,LEN("Not Functioning"))="Not Functioning"</formula>
    </cfRule>
    <cfRule type="containsText" dxfId="2600" priority="249" operator="containsText" text="Functioning">
      <formula>NOT(ISERROR(SEARCH("Functioning",F64)))</formula>
    </cfRule>
  </conditionalFormatting>
  <conditionalFormatting sqref="F61">
    <cfRule type="beginsWith" dxfId="2599" priority="244" stopIfTrue="1" operator="beginsWith" text="Functioning At Risk">
      <formula>LEFT(F61,LEN("Functioning At Risk"))="Functioning At Risk"</formula>
    </cfRule>
    <cfRule type="beginsWith" dxfId="2598" priority="245" stopIfTrue="1" operator="beginsWith" text="Not Functioning">
      <formula>LEFT(F61,LEN("Not Functioning"))="Not Functioning"</formula>
    </cfRule>
    <cfRule type="containsText" dxfId="2597" priority="246" operator="containsText" text="Functioning">
      <formula>NOT(ISERROR(SEARCH("Functioning",F61)))</formula>
    </cfRule>
  </conditionalFormatting>
  <conditionalFormatting sqref="F106 F83:F84 F91:F94">
    <cfRule type="beginsWith" dxfId="2596" priority="241" stopIfTrue="1" operator="beginsWith" text="Functioning At Risk">
      <formula>LEFT(F83,LEN("Functioning At Risk"))="Functioning At Risk"</formula>
    </cfRule>
    <cfRule type="beginsWith" dxfId="2595" priority="242" stopIfTrue="1" operator="beginsWith" text="Not Functioning">
      <formula>LEFT(F83,LEN("Not Functioning"))="Not Functioning"</formula>
    </cfRule>
    <cfRule type="containsText" dxfId="2594" priority="243" operator="containsText" text="Functioning">
      <formula>NOT(ISERROR(SEARCH("Functioning",F83)))</formula>
    </cfRule>
  </conditionalFormatting>
  <conditionalFormatting sqref="F95:F96">
    <cfRule type="beginsWith" dxfId="2593" priority="238" stopIfTrue="1" operator="beginsWith" text="Functioning At Risk">
      <formula>LEFT(F95,LEN("Functioning At Risk"))="Functioning At Risk"</formula>
    </cfRule>
    <cfRule type="beginsWith" dxfId="2592" priority="239" stopIfTrue="1" operator="beginsWith" text="Not Functioning">
      <formula>LEFT(F95,LEN("Not Functioning"))="Not Functioning"</formula>
    </cfRule>
    <cfRule type="containsText" dxfId="2591" priority="240" operator="containsText" text="Functioning">
      <formula>NOT(ISERROR(SEARCH("Functioning",F95)))</formula>
    </cfRule>
  </conditionalFormatting>
  <conditionalFormatting sqref="F115:F116">
    <cfRule type="beginsWith" dxfId="2590" priority="235" stopIfTrue="1" operator="beginsWith" text="Functioning At Risk">
      <formula>LEFT(F115,LEN("Functioning At Risk"))="Functioning At Risk"</formula>
    </cfRule>
    <cfRule type="beginsWith" dxfId="2589" priority="236" stopIfTrue="1" operator="beginsWith" text="Not Functioning">
      <formula>LEFT(F115,LEN("Not Functioning"))="Not Functioning"</formula>
    </cfRule>
    <cfRule type="containsText" dxfId="2588" priority="237" operator="containsText" text="Functioning">
      <formula>NOT(ISERROR(SEARCH("Functioning",F115)))</formula>
    </cfRule>
  </conditionalFormatting>
  <conditionalFormatting sqref="F111:F114">
    <cfRule type="beginsWith" dxfId="2587" priority="232" stopIfTrue="1" operator="beginsWith" text="Functioning At Risk">
      <formula>LEFT(F111,LEN("Functioning At Risk"))="Functioning At Risk"</formula>
    </cfRule>
    <cfRule type="beginsWith" dxfId="2586" priority="233" stopIfTrue="1" operator="beginsWith" text="Not Functioning">
      <formula>LEFT(F111,LEN("Not Functioning"))="Not Functioning"</formula>
    </cfRule>
    <cfRule type="containsText" dxfId="2585" priority="234" operator="containsText" text="Functioning">
      <formula>NOT(ISERROR(SEARCH("Functioning",F111)))</formula>
    </cfRule>
  </conditionalFormatting>
  <conditionalFormatting sqref="F99">
    <cfRule type="beginsWith" dxfId="2584" priority="229" stopIfTrue="1" operator="beginsWith" text="Functioning At Risk">
      <formula>LEFT(F99,LEN("Functioning At Risk"))="Functioning At Risk"</formula>
    </cfRule>
    <cfRule type="beginsWith" dxfId="2583" priority="230" stopIfTrue="1" operator="beginsWith" text="Not Functioning">
      <formula>LEFT(F99,LEN("Not Functioning"))="Not Functioning"</formula>
    </cfRule>
    <cfRule type="containsText" dxfId="2582" priority="231" operator="containsText" text="Functioning">
      <formula>NOT(ISERROR(SEARCH("Functioning",F99)))</formula>
    </cfRule>
  </conditionalFormatting>
  <conditionalFormatting sqref="F85:F86">
    <cfRule type="beginsWith" dxfId="2581" priority="226" stopIfTrue="1" operator="beginsWith" text="Functioning At Risk">
      <formula>LEFT(F85,LEN("Functioning At Risk"))="Functioning At Risk"</formula>
    </cfRule>
    <cfRule type="beginsWith" dxfId="2580" priority="227" stopIfTrue="1" operator="beginsWith" text="Not Functioning">
      <formula>LEFT(F85,LEN("Not Functioning"))="Not Functioning"</formula>
    </cfRule>
    <cfRule type="containsText" dxfId="2579" priority="228" operator="containsText" text="Functioning">
      <formula>NOT(ISERROR(SEARCH("Functioning",F85)))</formula>
    </cfRule>
  </conditionalFormatting>
  <conditionalFormatting sqref="F88">
    <cfRule type="beginsWith" dxfId="2578" priority="223" stopIfTrue="1" operator="beginsWith" text="Functioning At Risk">
      <formula>LEFT(F88,LEN("Functioning At Risk"))="Functioning At Risk"</formula>
    </cfRule>
    <cfRule type="beginsWith" dxfId="2577" priority="224" stopIfTrue="1" operator="beginsWith" text="Not Functioning">
      <formula>LEFT(F88,LEN("Not Functioning"))="Not Functioning"</formula>
    </cfRule>
    <cfRule type="containsText" dxfId="2576" priority="225" operator="containsText" text="Functioning">
      <formula>NOT(ISERROR(SEARCH("Functioning",F88)))</formula>
    </cfRule>
  </conditionalFormatting>
  <conditionalFormatting sqref="F103">
    <cfRule type="beginsWith" dxfId="2575" priority="220" stopIfTrue="1" operator="beginsWith" text="Functioning At Risk">
      <formula>LEFT(F103,LEN("Functioning At Risk"))="Functioning At Risk"</formula>
    </cfRule>
    <cfRule type="beginsWith" dxfId="2574" priority="221" stopIfTrue="1" operator="beginsWith" text="Not Functioning">
      <formula>LEFT(F103,LEN("Not Functioning"))="Not Functioning"</formula>
    </cfRule>
    <cfRule type="containsText" dxfId="2573" priority="222" operator="containsText" text="Functioning">
      <formula>NOT(ISERROR(SEARCH("Functioning",F103)))</formula>
    </cfRule>
  </conditionalFormatting>
  <conditionalFormatting sqref="F100">
    <cfRule type="beginsWith" dxfId="2572" priority="217" stopIfTrue="1" operator="beginsWith" text="Functioning At Risk">
      <formula>LEFT(F100,LEN("Functioning At Risk"))="Functioning At Risk"</formula>
    </cfRule>
    <cfRule type="beginsWith" dxfId="2571" priority="218" stopIfTrue="1" operator="beginsWith" text="Not Functioning">
      <formula>LEFT(F100,LEN("Not Functioning"))="Not Functioning"</formula>
    </cfRule>
    <cfRule type="containsText" dxfId="2570" priority="219" operator="containsText" text="Functioning">
      <formula>NOT(ISERROR(SEARCH("Functioning",F100)))</formula>
    </cfRule>
  </conditionalFormatting>
  <conditionalFormatting sqref="F145 F122:F123 F130:F133">
    <cfRule type="beginsWith" dxfId="2569" priority="214" stopIfTrue="1" operator="beginsWith" text="Functioning At Risk">
      <formula>LEFT(F122,LEN("Functioning At Risk"))="Functioning At Risk"</formula>
    </cfRule>
    <cfRule type="beginsWith" dxfId="2568" priority="215" stopIfTrue="1" operator="beginsWith" text="Not Functioning">
      <formula>LEFT(F122,LEN("Not Functioning"))="Not Functioning"</formula>
    </cfRule>
    <cfRule type="containsText" dxfId="2567" priority="216" operator="containsText" text="Functioning">
      <formula>NOT(ISERROR(SEARCH("Functioning",F122)))</formula>
    </cfRule>
  </conditionalFormatting>
  <conditionalFormatting sqref="F134:F135">
    <cfRule type="beginsWith" dxfId="2566" priority="211" stopIfTrue="1" operator="beginsWith" text="Functioning At Risk">
      <formula>LEFT(F134,LEN("Functioning At Risk"))="Functioning At Risk"</formula>
    </cfRule>
    <cfRule type="beginsWith" dxfId="2565" priority="212" stopIfTrue="1" operator="beginsWith" text="Not Functioning">
      <formula>LEFT(F134,LEN("Not Functioning"))="Not Functioning"</formula>
    </cfRule>
    <cfRule type="containsText" dxfId="2564" priority="213" operator="containsText" text="Functioning">
      <formula>NOT(ISERROR(SEARCH("Functioning",F134)))</formula>
    </cfRule>
  </conditionalFormatting>
  <conditionalFormatting sqref="F154:F155">
    <cfRule type="beginsWith" dxfId="2563" priority="208" stopIfTrue="1" operator="beginsWith" text="Functioning At Risk">
      <formula>LEFT(F154,LEN("Functioning At Risk"))="Functioning At Risk"</formula>
    </cfRule>
    <cfRule type="beginsWith" dxfId="2562" priority="209" stopIfTrue="1" operator="beginsWith" text="Not Functioning">
      <formula>LEFT(F154,LEN("Not Functioning"))="Not Functioning"</formula>
    </cfRule>
    <cfRule type="containsText" dxfId="2561" priority="210" operator="containsText" text="Functioning">
      <formula>NOT(ISERROR(SEARCH("Functioning",F154)))</formula>
    </cfRule>
  </conditionalFormatting>
  <conditionalFormatting sqref="F150:F153">
    <cfRule type="beginsWith" dxfId="2560" priority="205" stopIfTrue="1" operator="beginsWith" text="Functioning At Risk">
      <formula>LEFT(F150,LEN("Functioning At Risk"))="Functioning At Risk"</formula>
    </cfRule>
    <cfRule type="beginsWith" dxfId="2559" priority="206" stopIfTrue="1" operator="beginsWith" text="Not Functioning">
      <formula>LEFT(F150,LEN("Not Functioning"))="Not Functioning"</formula>
    </cfRule>
    <cfRule type="containsText" dxfId="2558" priority="207" operator="containsText" text="Functioning">
      <formula>NOT(ISERROR(SEARCH("Functioning",F150)))</formula>
    </cfRule>
  </conditionalFormatting>
  <conditionalFormatting sqref="F138">
    <cfRule type="beginsWith" dxfId="2557" priority="202" stopIfTrue="1" operator="beginsWith" text="Functioning At Risk">
      <formula>LEFT(F138,LEN("Functioning At Risk"))="Functioning At Risk"</formula>
    </cfRule>
    <cfRule type="beginsWith" dxfId="2556" priority="203" stopIfTrue="1" operator="beginsWith" text="Not Functioning">
      <formula>LEFT(F138,LEN("Not Functioning"))="Not Functioning"</formula>
    </cfRule>
    <cfRule type="containsText" dxfId="2555" priority="204" operator="containsText" text="Functioning">
      <formula>NOT(ISERROR(SEARCH("Functioning",F138)))</formula>
    </cfRule>
  </conditionalFormatting>
  <conditionalFormatting sqref="F124:F125">
    <cfRule type="beginsWith" dxfId="2554" priority="199" stopIfTrue="1" operator="beginsWith" text="Functioning At Risk">
      <formula>LEFT(F124,LEN("Functioning At Risk"))="Functioning At Risk"</formula>
    </cfRule>
    <cfRule type="beginsWith" dxfId="2553" priority="200" stopIfTrue="1" operator="beginsWith" text="Not Functioning">
      <formula>LEFT(F124,LEN("Not Functioning"))="Not Functioning"</formula>
    </cfRule>
    <cfRule type="containsText" dxfId="2552" priority="201" operator="containsText" text="Functioning">
      <formula>NOT(ISERROR(SEARCH("Functioning",F124)))</formula>
    </cfRule>
  </conditionalFormatting>
  <conditionalFormatting sqref="F127">
    <cfRule type="beginsWith" dxfId="2551" priority="196" stopIfTrue="1" operator="beginsWith" text="Functioning At Risk">
      <formula>LEFT(F127,LEN("Functioning At Risk"))="Functioning At Risk"</formula>
    </cfRule>
    <cfRule type="beginsWith" dxfId="2550" priority="197" stopIfTrue="1" operator="beginsWith" text="Not Functioning">
      <formula>LEFT(F127,LEN("Not Functioning"))="Not Functioning"</formula>
    </cfRule>
    <cfRule type="containsText" dxfId="2549" priority="198" operator="containsText" text="Functioning">
      <formula>NOT(ISERROR(SEARCH("Functioning",F127)))</formula>
    </cfRule>
  </conditionalFormatting>
  <conditionalFormatting sqref="F142">
    <cfRule type="beginsWith" dxfId="2548" priority="193" stopIfTrue="1" operator="beginsWith" text="Functioning At Risk">
      <formula>LEFT(F142,LEN("Functioning At Risk"))="Functioning At Risk"</formula>
    </cfRule>
    <cfRule type="beginsWith" dxfId="2547" priority="194" stopIfTrue="1" operator="beginsWith" text="Not Functioning">
      <formula>LEFT(F142,LEN("Not Functioning"))="Not Functioning"</formula>
    </cfRule>
    <cfRule type="containsText" dxfId="2546" priority="195" operator="containsText" text="Functioning">
      <formula>NOT(ISERROR(SEARCH("Functioning",F142)))</formula>
    </cfRule>
  </conditionalFormatting>
  <conditionalFormatting sqref="F139">
    <cfRule type="beginsWith" dxfId="2545" priority="190" stopIfTrue="1" operator="beginsWith" text="Functioning At Risk">
      <formula>LEFT(F139,LEN("Functioning At Risk"))="Functioning At Risk"</formula>
    </cfRule>
    <cfRule type="beginsWith" dxfId="2544" priority="191" stopIfTrue="1" operator="beginsWith" text="Not Functioning">
      <formula>LEFT(F139,LEN("Not Functioning"))="Not Functioning"</formula>
    </cfRule>
    <cfRule type="containsText" dxfId="2543" priority="192" operator="containsText" text="Functioning">
      <formula>NOT(ISERROR(SEARCH("Functioning",F139)))</formula>
    </cfRule>
  </conditionalFormatting>
  <conditionalFormatting sqref="F184 F161:F162 F169:F172">
    <cfRule type="beginsWith" dxfId="2542" priority="187" stopIfTrue="1" operator="beginsWith" text="Functioning At Risk">
      <formula>LEFT(F161,LEN("Functioning At Risk"))="Functioning At Risk"</formula>
    </cfRule>
    <cfRule type="beginsWith" dxfId="2541" priority="188" stopIfTrue="1" operator="beginsWith" text="Not Functioning">
      <formula>LEFT(F161,LEN("Not Functioning"))="Not Functioning"</formula>
    </cfRule>
    <cfRule type="containsText" dxfId="2540" priority="189" operator="containsText" text="Functioning">
      <formula>NOT(ISERROR(SEARCH("Functioning",F161)))</formula>
    </cfRule>
  </conditionalFormatting>
  <conditionalFormatting sqref="F173:F174">
    <cfRule type="beginsWith" dxfId="2539" priority="184" stopIfTrue="1" operator="beginsWith" text="Functioning At Risk">
      <formula>LEFT(F173,LEN("Functioning At Risk"))="Functioning At Risk"</formula>
    </cfRule>
    <cfRule type="beginsWith" dxfId="2538" priority="185" stopIfTrue="1" operator="beginsWith" text="Not Functioning">
      <formula>LEFT(F173,LEN("Not Functioning"))="Not Functioning"</formula>
    </cfRule>
    <cfRule type="containsText" dxfId="2537" priority="186" operator="containsText" text="Functioning">
      <formula>NOT(ISERROR(SEARCH("Functioning",F173)))</formula>
    </cfRule>
  </conditionalFormatting>
  <conditionalFormatting sqref="F193:F194">
    <cfRule type="beginsWith" dxfId="2536" priority="181" stopIfTrue="1" operator="beginsWith" text="Functioning At Risk">
      <formula>LEFT(F193,LEN("Functioning At Risk"))="Functioning At Risk"</formula>
    </cfRule>
    <cfRule type="beginsWith" dxfId="2535" priority="182" stopIfTrue="1" operator="beginsWith" text="Not Functioning">
      <formula>LEFT(F193,LEN("Not Functioning"))="Not Functioning"</formula>
    </cfRule>
    <cfRule type="containsText" dxfId="2534" priority="183" operator="containsText" text="Functioning">
      <formula>NOT(ISERROR(SEARCH("Functioning",F193)))</formula>
    </cfRule>
  </conditionalFormatting>
  <conditionalFormatting sqref="F189:F192">
    <cfRule type="beginsWith" dxfId="2533" priority="178" stopIfTrue="1" operator="beginsWith" text="Functioning At Risk">
      <formula>LEFT(F189,LEN("Functioning At Risk"))="Functioning At Risk"</formula>
    </cfRule>
    <cfRule type="beginsWith" dxfId="2532" priority="179" stopIfTrue="1" operator="beginsWith" text="Not Functioning">
      <formula>LEFT(F189,LEN("Not Functioning"))="Not Functioning"</formula>
    </cfRule>
    <cfRule type="containsText" dxfId="2531" priority="180" operator="containsText" text="Functioning">
      <formula>NOT(ISERROR(SEARCH("Functioning",F189)))</formula>
    </cfRule>
  </conditionalFormatting>
  <conditionalFormatting sqref="F177">
    <cfRule type="beginsWith" dxfId="2530" priority="175" stopIfTrue="1" operator="beginsWith" text="Functioning At Risk">
      <formula>LEFT(F177,LEN("Functioning At Risk"))="Functioning At Risk"</formula>
    </cfRule>
    <cfRule type="beginsWith" dxfId="2529" priority="176" stopIfTrue="1" operator="beginsWith" text="Not Functioning">
      <formula>LEFT(F177,LEN("Not Functioning"))="Not Functioning"</formula>
    </cfRule>
    <cfRule type="containsText" dxfId="2528" priority="177" operator="containsText" text="Functioning">
      <formula>NOT(ISERROR(SEARCH("Functioning",F177)))</formula>
    </cfRule>
  </conditionalFormatting>
  <conditionalFormatting sqref="F163:F164">
    <cfRule type="beginsWith" dxfId="2527" priority="172" stopIfTrue="1" operator="beginsWith" text="Functioning At Risk">
      <formula>LEFT(F163,LEN("Functioning At Risk"))="Functioning At Risk"</formula>
    </cfRule>
    <cfRule type="beginsWith" dxfId="2526" priority="173" stopIfTrue="1" operator="beginsWith" text="Not Functioning">
      <formula>LEFT(F163,LEN("Not Functioning"))="Not Functioning"</formula>
    </cfRule>
    <cfRule type="containsText" dxfId="2525" priority="174" operator="containsText" text="Functioning">
      <formula>NOT(ISERROR(SEARCH("Functioning",F163)))</formula>
    </cfRule>
  </conditionalFormatting>
  <conditionalFormatting sqref="F166">
    <cfRule type="beginsWith" dxfId="2524" priority="169" stopIfTrue="1" operator="beginsWith" text="Functioning At Risk">
      <formula>LEFT(F166,LEN("Functioning At Risk"))="Functioning At Risk"</formula>
    </cfRule>
    <cfRule type="beginsWith" dxfId="2523" priority="170" stopIfTrue="1" operator="beginsWith" text="Not Functioning">
      <formula>LEFT(F166,LEN("Not Functioning"))="Not Functioning"</formula>
    </cfRule>
    <cfRule type="containsText" dxfId="2522" priority="171" operator="containsText" text="Functioning">
      <formula>NOT(ISERROR(SEARCH("Functioning",F166)))</formula>
    </cfRule>
  </conditionalFormatting>
  <conditionalFormatting sqref="F181">
    <cfRule type="beginsWith" dxfId="2521" priority="166" stopIfTrue="1" operator="beginsWith" text="Functioning At Risk">
      <formula>LEFT(F181,LEN("Functioning At Risk"))="Functioning At Risk"</formula>
    </cfRule>
    <cfRule type="beginsWith" dxfId="2520" priority="167" stopIfTrue="1" operator="beginsWith" text="Not Functioning">
      <formula>LEFT(F181,LEN("Not Functioning"))="Not Functioning"</formula>
    </cfRule>
    <cfRule type="containsText" dxfId="2519" priority="168" operator="containsText" text="Functioning">
      <formula>NOT(ISERROR(SEARCH("Functioning",F181)))</formula>
    </cfRule>
  </conditionalFormatting>
  <conditionalFormatting sqref="F178">
    <cfRule type="beginsWith" dxfId="2518" priority="163" stopIfTrue="1" operator="beginsWith" text="Functioning At Risk">
      <formula>LEFT(F178,LEN("Functioning At Risk"))="Functioning At Risk"</formula>
    </cfRule>
    <cfRule type="beginsWith" dxfId="2517" priority="164" stopIfTrue="1" operator="beginsWith" text="Not Functioning">
      <formula>LEFT(F178,LEN("Not Functioning"))="Not Functioning"</formula>
    </cfRule>
    <cfRule type="containsText" dxfId="2516" priority="165" operator="containsText" text="Functioning">
      <formula>NOT(ISERROR(SEARCH("Functioning",F178)))</formula>
    </cfRule>
  </conditionalFormatting>
  <conditionalFormatting sqref="F223 F200:F201 F208:F211">
    <cfRule type="beginsWith" dxfId="2515" priority="160" stopIfTrue="1" operator="beginsWith" text="Functioning At Risk">
      <formula>LEFT(F200,LEN("Functioning At Risk"))="Functioning At Risk"</formula>
    </cfRule>
    <cfRule type="beginsWith" dxfId="2514" priority="161" stopIfTrue="1" operator="beginsWith" text="Not Functioning">
      <formula>LEFT(F200,LEN("Not Functioning"))="Not Functioning"</formula>
    </cfRule>
    <cfRule type="containsText" dxfId="2513" priority="162" operator="containsText" text="Functioning">
      <formula>NOT(ISERROR(SEARCH("Functioning",F200)))</formula>
    </cfRule>
  </conditionalFormatting>
  <conditionalFormatting sqref="F212:F213">
    <cfRule type="beginsWith" dxfId="2512" priority="157" stopIfTrue="1" operator="beginsWith" text="Functioning At Risk">
      <formula>LEFT(F212,LEN("Functioning At Risk"))="Functioning At Risk"</formula>
    </cfRule>
    <cfRule type="beginsWith" dxfId="2511" priority="158" stopIfTrue="1" operator="beginsWith" text="Not Functioning">
      <formula>LEFT(F212,LEN("Not Functioning"))="Not Functioning"</formula>
    </cfRule>
    <cfRule type="containsText" dxfId="2510" priority="159" operator="containsText" text="Functioning">
      <formula>NOT(ISERROR(SEARCH("Functioning",F212)))</formula>
    </cfRule>
  </conditionalFormatting>
  <conditionalFormatting sqref="F232:F233">
    <cfRule type="beginsWith" dxfId="2509" priority="154" stopIfTrue="1" operator="beginsWith" text="Functioning At Risk">
      <formula>LEFT(F232,LEN("Functioning At Risk"))="Functioning At Risk"</formula>
    </cfRule>
    <cfRule type="beginsWith" dxfId="2508" priority="155" stopIfTrue="1" operator="beginsWith" text="Not Functioning">
      <formula>LEFT(F232,LEN("Not Functioning"))="Not Functioning"</formula>
    </cfRule>
    <cfRule type="containsText" dxfId="2507" priority="156" operator="containsText" text="Functioning">
      <formula>NOT(ISERROR(SEARCH("Functioning",F232)))</formula>
    </cfRule>
  </conditionalFormatting>
  <conditionalFormatting sqref="F228:F231">
    <cfRule type="beginsWith" dxfId="2506" priority="151" stopIfTrue="1" operator="beginsWith" text="Functioning At Risk">
      <formula>LEFT(F228,LEN("Functioning At Risk"))="Functioning At Risk"</formula>
    </cfRule>
    <cfRule type="beginsWith" dxfId="2505" priority="152" stopIfTrue="1" operator="beginsWith" text="Not Functioning">
      <formula>LEFT(F228,LEN("Not Functioning"))="Not Functioning"</formula>
    </cfRule>
    <cfRule type="containsText" dxfId="2504" priority="153" operator="containsText" text="Functioning">
      <formula>NOT(ISERROR(SEARCH("Functioning",F228)))</formula>
    </cfRule>
  </conditionalFormatting>
  <conditionalFormatting sqref="F216">
    <cfRule type="beginsWith" dxfId="2503" priority="148" stopIfTrue="1" operator="beginsWith" text="Functioning At Risk">
      <formula>LEFT(F216,LEN("Functioning At Risk"))="Functioning At Risk"</formula>
    </cfRule>
    <cfRule type="beginsWith" dxfId="2502" priority="149" stopIfTrue="1" operator="beginsWith" text="Not Functioning">
      <formula>LEFT(F216,LEN("Not Functioning"))="Not Functioning"</formula>
    </cfRule>
    <cfRule type="containsText" dxfId="2501" priority="150" operator="containsText" text="Functioning">
      <formula>NOT(ISERROR(SEARCH("Functioning",F216)))</formula>
    </cfRule>
  </conditionalFormatting>
  <conditionalFormatting sqref="F202:F203">
    <cfRule type="beginsWith" dxfId="2500" priority="145" stopIfTrue="1" operator="beginsWith" text="Functioning At Risk">
      <formula>LEFT(F202,LEN("Functioning At Risk"))="Functioning At Risk"</formula>
    </cfRule>
    <cfRule type="beginsWith" dxfId="2499" priority="146" stopIfTrue="1" operator="beginsWith" text="Not Functioning">
      <formula>LEFT(F202,LEN("Not Functioning"))="Not Functioning"</formula>
    </cfRule>
    <cfRule type="containsText" dxfId="2498" priority="147" operator="containsText" text="Functioning">
      <formula>NOT(ISERROR(SEARCH("Functioning",F202)))</formula>
    </cfRule>
  </conditionalFormatting>
  <conditionalFormatting sqref="F205">
    <cfRule type="beginsWith" dxfId="2497" priority="142" stopIfTrue="1" operator="beginsWith" text="Functioning At Risk">
      <formula>LEFT(F205,LEN("Functioning At Risk"))="Functioning At Risk"</formula>
    </cfRule>
    <cfRule type="beginsWith" dxfId="2496" priority="143" stopIfTrue="1" operator="beginsWith" text="Not Functioning">
      <formula>LEFT(F205,LEN("Not Functioning"))="Not Functioning"</formula>
    </cfRule>
    <cfRule type="containsText" dxfId="2495" priority="144" operator="containsText" text="Functioning">
      <formula>NOT(ISERROR(SEARCH("Functioning",F205)))</formula>
    </cfRule>
  </conditionalFormatting>
  <conditionalFormatting sqref="F220">
    <cfRule type="beginsWith" dxfId="2494" priority="139" stopIfTrue="1" operator="beginsWith" text="Functioning At Risk">
      <formula>LEFT(F220,LEN("Functioning At Risk"))="Functioning At Risk"</formula>
    </cfRule>
    <cfRule type="beginsWith" dxfId="2493" priority="140" stopIfTrue="1" operator="beginsWith" text="Not Functioning">
      <formula>LEFT(F220,LEN("Not Functioning"))="Not Functioning"</formula>
    </cfRule>
    <cfRule type="containsText" dxfId="2492" priority="141" operator="containsText" text="Functioning">
      <formula>NOT(ISERROR(SEARCH("Functioning",F220)))</formula>
    </cfRule>
  </conditionalFormatting>
  <conditionalFormatting sqref="F217">
    <cfRule type="beginsWith" dxfId="2491" priority="136" stopIfTrue="1" operator="beginsWith" text="Functioning At Risk">
      <formula>LEFT(F217,LEN("Functioning At Risk"))="Functioning At Risk"</formula>
    </cfRule>
    <cfRule type="beginsWith" dxfId="2490" priority="137" stopIfTrue="1" operator="beginsWith" text="Not Functioning">
      <formula>LEFT(F217,LEN("Not Functioning"))="Not Functioning"</formula>
    </cfRule>
    <cfRule type="containsText" dxfId="2489" priority="138" operator="containsText" text="Functioning">
      <formula>NOT(ISERROR(SEARCH("Functioning",F217)))</formula>
    </cfRule>
  </conditionalFormatting>
  <conditionalFormatting sqref="F263 F240:F241 F248:F251">
    <cfRule type="beginsWith" dxfId="2488" priority="133" stopIfTrue="1" operator="beginsWith" text="Functioning At Risk">
      <formula>LEFT(F240,LEN("Functioning At Risk"))="Functioning At Risk"</formula>
    </cfRule>
    <cfRule type="beginsWith" dxfId="2487" priority="134" stopIfTrue="1" operator="beginsWith" text="Not Functioning">
      <formula>LEFT(F240,LEN("Not Functioning"))="Not Functioning"</formula>
    </cfRule>
    <cfRule type="containsText" dxfId="2486" priority="135" operator="containsText" text="Functioning">
      <formula>NOT(ISERROR(SEARCH("Functioning",F240)))</formula>
    </cfRule>
  </conditionalFormatting>
  <conditionalFormatting sqref="F252:F253">
    <cfRule type="beginsWith" dxfId="2485" priority="130" stopIfTrue="1" operator="beginsWith" text="Functioning At Risk">
      <formula>LEFT(F252,LEN("Functioning At Risk"))="Functioning At Risk"</formula>
    </cfRule>
    <cfRule type="beginsWith" dxfId="2484" priority="131" stopIfTrue="1" operator="beginsWith" text="Not Functioning">
      <formula>LEFT(F252,LEN("Not Functioning"))="Not Functioning"</formula>
    </cfRule>
    <cfRule type="containsText" dxfId="2483" priority="132" operator="containsText" text="Functioning">
      <formula>NOT(ISERROR(SEARCH("Functioning",F252)))</formula>
    </cfRule>
  </conditionalFormatting>
  <conditionalFormatting sqref="F272:F273">
    <cfRule type="beginsWith" dxfId="2482" priority="127" stopIfTrue="1" operator="beginsWith" text="Functioning At Risk">
      <formula>LEFT(F272,LEN("Functioning At Risk"))="Functioning At Risk"</formula>
    </cfRule>
    <cfRule type="beginsWith" dxfId="2481" priority="128" stopIfTrue="1" operator="beginsWith" text="Not Functioning">
      <formula>LEFT(F272,LEN("Not Functioning"))="Not Functioning"</formula>
    </cfRule>
    <cfRule type="containsText" dxfId="2480" priority="129" operator="containsText" text="Functioning">
      <formula>NOT(ISERROR(SEARCH("Functioning",F272)))</formula>
    </cfRule>
  </conditionalFormatting>
  <conditionalFormatting sqref="F268:F271">
    <cfRule type="beginsWith" dxfId="2479" priority="124" stopIfTrue="1" operator="beginsWith" text="Functioning At Risk">
      <formula>LEFT(F268,LEN("Functioning At Risk"))="Functioning At Risk"</formula>
    </cfRule>
    <cfRule type="beginsWith" dxfId="2478" priority="125" stopIfTrue="1" operator="beginsWith" text="Not Functioning">
      <formula>LEFT(F268,LEN("Not Functioning"))="Not Functioning"</formula>
    </cfRule>
    <cfRule type="containsText" dxfId="2477" priority="126" operator="containsText" text="Functioning">
      <formula>NOT(ISERROR(SEARCH("Functioning",F268)))</formula>
    </cfRule>
  </conditionalFormatting>
  <conditionalFormatting sqref="F256">
    <cfRule type="beginsWith" dxfId="2476" priority="121" stopIfTrue="1" operator="beginsWith" text="Functioning At Risk">
      <formula>LEFT(F256,LEN("Functioning At Risk"))="Functioning At Risk"</formula>
    </cfRule>
    <cfRule type="beginsWith" dxfId="2475" priority="122" stopIfTrue="1" operator="beginsWith" text="Not Functioning">
      <formula>LEFT(F256,LEN("Not Functioning"))="Not Functioning"</formula>
    </cfRule>
    <cfRule type="containsText" dxfId="2474" priority="123" operator="containsText" text="Functioning">
      <formula>NOT(ISERROR(SEARCH("Functioning",F256)))</formula>
    </cfRule>
  </conditionalFormatting>
  <conditionalFormatting sqref="F242:F243">
    <cfRule type="beginsWith" dxfId="2473" priority="118" stopIfTrue="1" operator="beginsWith" text="Functioning At Risk">
      <formula>LEFT(F242,LEN("Functioning At Risk"))="Functioning At Risk"</formula>
    </cfRule>
    <cfRule type="beginsWith" dxfId="2472" priority="119" stopIfTrue="1" operator="beginsWith" text="Not Functioning">
      <formula>LEFT(F242,LEN("Not Functioning"))="Not Functioning"</formula>
    </cfRule>
    <cfRule type="containsText" dxfId="2471" priority="120" operator="containsText" text="Functioning">
      <formula>NOT(ISERROR(SEARCH("Functioning",F242)))</formula>
    </cfRule>
  </conditionalFormatting>
  <conditionalFormatting sqref="F245">
    <cfRule type="beginsWith" dxfId="2470" priority="115" stopIfTrue="1" operator="beginsWith" text="Functioning At Risk">
      <formula>LEFT(F245,LEN("Functioning At Risk"))="Functioning At Risk"</formula>
    </cfRule>
    <cfRule type="beginsWith" dxfId="2469" priority="116" stopIfTrue="1" operator="beginsWith" text="Not Functioning">
      <formula>LEFT(F245,LEN("Not Functioning"))="Not Functioning"</formula>
    </cfRule>
    <cfRule type="containsText" dxfId="2468" priority="117" operator="containsText" text="Functioning">
      <formula>NOT(ISERROR(SEARCH("Functioning",F245)))</formula>
    </cfRule>
  </conditionalFormatting>
  <conditionalFormatting sqref="F260">
    <cfRule type="beginsWith" dxfId="2467" priority="112" stopIfTrue="1" operator="beginsWith" text="Functioning At Risk">
      <formula>LEFT(F260,LEN("Functioning At Risk"))="Functioning At Risk"</formula>
    </cfRule>
    <cfRule type="beginsWith" dxfId="2466" priority="113" stopIfTrue="1" operator="beginsWith" text="Not Functioning">
      <formula>LEFT(F260,LEN("Not Functioning"))="Not Functioning"</formula>
    </cfRule>
    <cfRule type="containsText" dxfId="2465" priority="114" operator="containsText" text="Functioning">
      <formula>NOT(ISERROR(SEARCH("Functioning",F260)))</formula>
    </cfRule>
  </conditionalFormatting>
  <conditionalFormatting sqref="F257">
    <cfRule type="beginsWith" dxfId="2464" priority="109" stopIfTrue="1" operator="beginsWith" text="Functioning At Risk">
      <formula>LEFT(F257,LEN("Functioning At Risk"))="Functioning At Risk"</formula>
    </cfRule>
    <cfRule type="beginsWith" dxfId="2463" priority="110" stopIfTrue="1" operator="beginsWith" text="Not Functioning">
      <formula>LEFT(F257,LEN("Not Functioning"))="Not Functioning"</formula>
    </cfRule>
    <cfRule type="containsText" dxfId="2462" priority="111" operator="containsText" text="Functioning">
      <formula>NOT(ISERROR(SEARCH("Functioning",F257)))</formula>
    </cfRule>
  </conditionalFormatting>
  <conditionalFormatting sqref="F303 F280:F281 F288:F291">
    <cfRule type="beginsWith" dxfId="2461" priority="106" stopIfTrue="1" operator="beginsWith" text="Functioning At Risk">
      <formula>LEFT(F280,LEN("Functioning At Risk"))="Functioning At Risk"</formula>
    </cfRule>
    <cfRule type="beginsWith" dxfId="2460" priority="107" stopIfTrue="1" operator="beginsWith" text="Not Functioning">
      <formula>LEFT(F280,LEN("Not Functioning"))="Not Functioning"</formula>
    </cfRule>
    <cfRule type="containsText" dxfId="2459" priority="108" operator="containsText" text="Functioning">
      <formula>NOT(ISERROR(SEARCH("Functioning",F280)))</formula>
    </cfRule>
  </conditionalFormatting>
  <conditionalFormatting sqref="F292:F293">
    <cfRule type="beginsWith" dxfId="2458" priority="103" stopIfTrue="1" operator="beginsWith" text="Functioning At Risk">
      <formula>LEFT(F292,LEN("Functioning At Risk"))="Functioning At Risk"</formula>
    </cfRule>
    <cfRule type="beginsWith" dxfId="2457" priority="104" stopIfTrue="1" operator="beginsWith" text="Not Functioning">
      <formula>LEFT(F292,LEN("Not Functioning"))="Not Functioning"</formula>
    </cfRule>
    <cfRule type="containsText" dxfId="2456" priority="105" operator="containsText" text="Functioning">
      <formula>NOT(ISERROR(SEARCH("Functioning",F292)))</formula>
    </cfRule>
  </conditionalFormatting>
  <conditionalFormatting sqref="F312:F313">
    <cfRule type="beginsWith" dxfId="2455" priority="100" stopIfTrue="1" operator="beginsWith" text="Functioning At Risk">
      <formula>LEFT(F312,LEN("Functioning At Risk"))="Functioning At Risk"</formula>
    </cfRule>
    <cfRule type="beginsWith" dxfId="2454" priority="101" stopIfTrue="1" operator="beginsWith" text="Not Functioning">
      <formula>LEFT(F312,LEN("Not Functioning"))="Not Functioning"</formula>
    </cfRule>
    <cfRule type="containsText" dxfId="2453" priority="102" operator="containsText" text="Functioning">
      <formula>NOT(ISERROR(SEARCH("Functioning",F312)))</formula>
    </cfRule>
  </conditionalFormatting>
  <conditionalFormatting sqref="F308:F311">
    <cfRule type="beginsWith" dxfId="2452" priority="97" stopIfTrue="1" operator="beginsWith" text="Functioning At Risk">
      <formula>LEFT(F308,LEN("Functioning At Risk"))="Functioning At Risk"</formula>
    </cfRule>
    <cfRule type="beginsWith" dxfId="2451" priority="98" stopIfTrue="1" operator="beginsWith" text="Not Functioning">
      <formula>LEFT(F308,LEN("Not Functioning"))="Not Functioning"</formula>
    </cfRule>
    <cfRule type="containsText" dxfId="2450" priority="99" operator="containsText" text="Functioning">
      <formula>NOT(ISERROR(SEARCH("Functioning",F308)))</formula>
    </cfRule>
  </conditionalFormatting>
  <conditionalFormatting sqref="F296">
    <cfRule type="beginsWith" dxfId="2449" priority="94" stopIfTrue="1" operator="beginsWith" text="Functioning At Risk">
      <formula>LEFT(F296,LEN("Functioning At Risk"))="Functioning At Risk"</formula>
    </cfRule>
    <cfRule type="beginsWith" dxfId="2448" priority="95" stopIfTrue="1" operator="beginsWith" text="Not Functioning">
      <formula>LEFT(F296,LEN("Not Functioning"))="Not Functioning"</formula>
    </cfRule>
    <cfRule type="containsText" dxfId="2447" priority="96" operator="containsText" text="Functioning">
      <formula>NOT(ISERROR(SEARCH("Functioning",F296)))</formula>
    </cfRule>
  </conditionalFormatting>
  <conditionalFormatting sqref="F282:F283">
    <cfRule type="beginsWith" dxfId="2446" priority="91" stopIfTrue="1" operator="beginsWith" text="Functioning At Risk">
      <formula>LEFT(F282,LEN("Functioning At Risk"))="Functioning At Risk"</formula>
    </cfRule>
    <cfRule type="beginsWith" dxfId="2445" priority="92" stopIfTrue="1" operator="beginsWith" text="Not Functioning">
      <formula>LEFT(F282,LEN("Not Functioning"))="Not Functioning"</formula>
    </cfRule>
    <cfRule type="containsText" dxfId="2444" priority="93" operator="containsText" text="Functioning">
      <formula>NOT(ISERROR(SEARCH("Functioning",F282)))</formula>
    </cfRule>
  </conditionalFormatting>
  <conditionalFormatting sqref="F285">
    <cfRule type="beginsWith" dxfId="2443" priority="88" stopIfTrue="1" operator="beginsWith" text="Functioning At Risk">
      <formula>LEFT(F285,LEN("Functioning At Risk"))="Functioning At Risk"</formula>
    </cfRule>
    <cfRule type="beginsWith" dxfId="2442" priority="89" stopIfTrue="1" operator="beginsWith" text="Not Functioning">
      <formula>LEFT(F285,LEN("Not Functioning"))="Not Functioning"</formula>
    </cfRule>
    <cfRule type="containsText" dxfId="2441" priority="90" operator="containsText" text="Functioning">
      <formula>NOT(ISERROR(SEARCH("Functioning",F285)))</formula>
    </cfRule>
  </conditionalFormatting>
  <conditionalFormatting sqref="F300">
    <cfRule type="beginsWith" dxfId="2440" priority="85" stopIfTrue="1" operator="beginsWith" text="Functioning At Risk">
      <formula>LEFT(F300,LEN("Functioning At Risk"))="Functioning At Risk"</formula>
    </cfRule>
    <cfRule type="beginsWith" dxfId="2439" priority="86" stopIfTrue="1" operator="beginsWith" text="Not Functioning">
      <formula>LEFT(F300,LEN("Not Functioning"))="Not Functioning"</formula>
    </cfRule>
    <cfRule type="containsText" dxfId="2438" priority="87" operator="containsText" text="Functioning">
      <formula>NOT(ISERROR(SEARCH("Functioning",F300)))</formula>
    </cfRule>
  </conditionalFormatting>
  <conditionalFormatting sqref="F297">
    <cfRule type="beginsWith" dxfId="2437" priority="82" stopIfTrue="1" operator="beginsWith" text="Functioning At Risk">
      <formula>LEFT(F297,LEN("Functioning At Risk"))="Functioning At Risk"</formula>
    </cfRule>
    <cfRule type="beginsWith" dxfId="2436" priority="83" stopIfTrue="1" operator="beginsWith" text="Not Functioning">
      <formula>LEFT(F297,LEN("Not Functioning"))="Not Functioning"</formula>
    </cfRule>
    <cfRule type="containsText" dxfId="2435" priority="84" operator="containsText" text="Functioning">
      <formula>NOT(ISERROR(SEARCH("Functioning",F297)))</formula>
    </cfRule>
  </conditionalFormatting>
  <conditionalFormatting sqref="F343 F320:F321 F328:F331">
    <cfRule type="beginsWith" dxfId="2434" priority="79" stopIfTrue="1" operator="beginsWith" text="Functioning At Risk">
      <formula>LEFT(F320,LEN("Functioning At Risk"))="Functioning At Risk"</formula>
    </cfRule>
    <cfRule type="beginsWith" dxfId="2433" priority="80" stopIfTrue="1" operator="beginsWith" text="Not Functioning">
      <formula>LEFT(F320,LEN("Not Functioning"))="Not Functioning"</formula>
    </cfRule>
    <cfRule type="containsText" dxfId="2432" priority="81" operator="containsText" text="Functioning">
      <formula>NOT(ISERROR(SEARCH("Functioning",F320)))</formula>
    </cfRule>
  </conditionalFormatting>
  <conditionalFormatting sqref="F332:F333">
    <cfRule type="beginsWith" dxfId="2431" priority="76" stopIfTrue="1" operator="beginsWith" text="Functioning At Risk">
      <formula>LEFT(F332,LEN("Functioning At Risk"))="Functioning At Risk"</formula>
    </cfRule>
    <cfRule type="beginsWith" dxfId="2430" priority="77" stopIfTrue="1" operator="beginsWith" text="Not Functioning">
      <formula>LEFT(F332,LEN("Not Functioning"))="Not Functioning"</formula>
    </cfRule>
    <cfRule type="containsText" dxfId="2429" priority="78" operator="containsText" text="Functioning">
      <formula>NOT(ISERROR(SEARCH("Functioning",F332)))</formula>
    </cfRule>
  </conditionalFormatting>
  <conditionalFormatting sqref="F352:F353">
    <cfRule type="beginsWith" dxfId="2428" priority="73" stopIfTrue="1" operator="beginsWith" text="Functioning At Risk">
      <formula>LEFT(F352,LEN("Functioning At Risk"))="Functioning At Risk"</formula>
    </cfRule>
    <cfRule type="beginsWith" dxfId="2427" priority="74" stopIfTrue="1" operator="beginsWith" text="Not Functioning">
      <formula>LEFT(F352,LEN("Not Functioning"))="Not Functioning"</formula>
    </cfRule>
    <cfRule type="containsText" dxfId="2426" priority="75" operator="containsText" text="Functioning">
      <formula>NOT(ISERROR(SEARCH("Functioning",F352)))</formula>
    </cfRule>
  </conditionalFormatting>
  <conditionalFormatting sqref="F348:F351">
    <cfRule type="beginsWith" dxfId="2425" priority="70" stopIfTrue="1" operator="beginsWith" text="Functioning At Risk">
      <formula>LEFT(F348,LEN("Functioning At Risk"))="Functioning At Risk"</formula>
    </cfRule>
    <cfRule type="beginsWith" dxfId="2424" priority="71" stopIfTrue="1" operator="beginsWith" text="Not Functioning">
      <formula>LEFT(F348,LEN("Not Functioning"))="Not Functioning"</formula>
    </cfRule>
    <cfRule type="containsText" dxfId="2423" priority="72" operator="containsText" text="Functioning">
      <formula>NOT(ISERROR(SEARCH("Functioning",F348)))</formula>
    </cfRule>
  </conditionalFormatting>
  <conditionalFormatting sqref="F336">
    <cfRule type="beginsWith" dxfId="2422" priority="67" stopIfTrue="1" operator="beginsWith" text="Functioning At Risk">
      <formula>LEFT(F336,LEN("Functioning At Risk"))="Functioning At Risk"</formula>
    </cfRule>
    <cfRule type="beginsWith" dxfId="2421" priority="68" stopIfTrue="1" operator="beginsWith" text="Not Functioning">
      <formula>LEFT(F336,LEN("Not Functioning"))="Not Functioning"</formula>
    </cfRule>
    <cfRule type="containsText" dxfId="2420" priority="69" operator="containsText" text="Functioning">
      <formula>NOT(ISERROR(SEARCH("Functioning",F336)))</formula>
    </cfRule>
  </conditionalFormatting>
  <conditionalFormatting sqref="F322:F323">
    <cfRule type="beginsWith" dxfId="2419" priority="64" stopIfTrue="1" operator="beginsWith" text="Functioning At Risk">
      <formula>LEFT(F322,LEN("Functioning At Risk"))="Functioning At Risk"</formula>
    </cfRule>
    <cfRule type="beginsWith" dxfId="2418" priority="65" stopIfTrue="1" operator="beginsWith" text="Not Functioning">
      <formula>LEFT(F322,LEN("Not Functioning"))="Not Functioning"</formula>
    </cfRule>
    <cfRule type="containsText" dxfId="2417" priority="66" operator="containsText" text="Functioning">
      <formula>NOT(ISERROR(SEARCH("Functioning",F322)))</formula>
    </cfRule>
  </conditionalFormatting>
  <conditionalFormatting sqref="F325">
    <cfRule type="beginsWith" dxfId="2416" priority="61" stopIfTrue="1" operator="beginsWith" text="Functioning At Risk">
      <formula>LEFT(F325,LEN("Functioning At Risk"))="Functioning At Risk"</formula>
    </cfRule>
    <cfRule type="beginsWith" dxfId="2415" priority="62" stopIfTrue="1" operator="beginsWith" text="Not Functioning">
      <formula>LEFT(F325,LEN("Not Functioning"))="Not Functioning"</formula>
    </cfRule>
    <cfRule type="containsText" dxfId="2414" priority="63" operator="containsText" text="Functioning">
      <formula>NOT(ISERROR(SEARCH("Functioning",F325)))</formula>
    </cfRule>
  </conditionalFormatting>
  <conditionalFormatting sqref="F340">
    <cfRule type="beginsWith" dxfId="2413" priority="58" stopIfTrue="1" operator="beginsWith" text="Functioning At Risk">
      <formula>LEFT(F340,LEN("Functioning At Risk"))="Functioning At Risk"</formula>
    </cfRule>
    <cfRule type="beginsWith" dxfId="2412" priority="59" stopIfTrue="1" operator="beginsWith" text="Not Functioning">
      <formula>LEFT(F340,LEN("Not Functioning"))="Not Functioning"</formula>
    </cfRule>
    <cfRule type="containsText" dxfId="2411" priority="60" operator="containsText" text="Functioning">
      <formula>NOT(ISERROR(SEARCH("Functioning",F340)))</formula>
    </cfRule>
  </conditionalFormatting>
  <conditionalFormatting sqref="F337">
    <cfRule type="beginsWith" dxfId="2410" priority="55" stopIfTrue="1" operator="beginsWith" text="Functioning At Risk">
      <formula>LEFT(F337,LEN("Functioning At Risk"))="Functioning At Risk"</formula>
    </cfRule>
    <cfRule type="beginsWith" dxfId="2409" priority="56" stopIfTrue="1" operator="beginsWith" text="Not Functioning">
      <formula>LEFT(F337,LEN("Not Functioning"))="Not Functioning"</formula>
    </cfRule>
    <cfRule type="containsText" dxfId="2408" priority="57" operator="containsText" text="Functioning">
      <formula>NOT(ISERROR(SEARCH("Functioning",F337)))</formula>
    </cfRule>
  </conditionalFormatting>
  <conditionalFormatting sqref="F383 F360:F361 F368:F371">
    <cfRule type="beginsWith" dxfId="2407" priority="52" stopIfTrue="1" operator="beginsWith" text="Functioning At Risk">
      <formula>LEFT(F360,LEN("Functioning At Risk"))="Functioning At Risk"</formula>
    </cfRule>
    <cfRule type="beginsWith" dxfId="2406" priority="53" stopIfTrue="1" operator="beginsWith" text="Not Functioning">
      <formula>LEFT(F360,LEN("Not Functioning"))="Not Functioning"</formula>
    </cfRule>
    <cfRule type="containsText" dxfId="2405" priority="54" operator="containsText" text="Functioning">
      <formula>NOT(ISERROR(SEARCH("Functioning",F360)))</formula>
    </cfRule>
  </conditionalFormatting>
  <conditionalFormatting sqref="F372:F373">
    <cfRule type="beginsWith" dxfId="2404" priority="49" stopIfTrue="1" operator="beginsWith" text="Functioning At Risk">
      <formula>LEFT(F372,LEN("Functioning At Risk"))="Functioning At Risk"</formula>
    </cfRule>
    <cfRule type="beginsWith" dxfId="2403" priority="50" stopIfTrue="1" operator="beginsWith" text="Not Functioning">
      <formula>LEFT(F372,LEN("Not Functioning"))="Not Functioning"</formula>
    </cfRule>
    <cfRule type="containsText" dxfId="2402" priority="51" operator="containsText" text="Functioning">
      <formula>NOT(ISERROR(SEARCH("Functioning",F372)))</formula>
    </cfRule>
  </conditionalFormatting>
  <conditionalFormatting sqref="F392:F393">
    <cfRule type="beginsWith" dxfId="2401" priority="46" stopIfTrue="1" operator="beginsWith" text="Functioning At Risk">
      <formula>LEFT(F392,LEN("Functioning At Risk"))="Functioning At Risk"</formula>
    </cfRule>
    <cfRule type="beginsWith" dxfId="2400" priority="47" stopIfTrue="1" operator="beginsWith" text="Not Functioning">
      <formula>LEFT(F392,LEN("Not Functioning"))="Not Functioning"</formula>
    </cfRule>
    <cfRule type="containsText" dxfId="2399" priority="48" operator="containsText" text="Functioning">
      <formula>NOT(ISERROR(SEARCH("Functioning",F392)))</formula>
    </cfRule>
  </conditionalFormatting>
  <conditionalFormatting sqref="F388:F391">
    <cfRule type="beginsWith" dxfId="2398" priority="43" stopIfTrue="1" operator="beginsWith" text="Functioning At Risk">
      <formula>LEFT(F388,LEN("Functioning At Risk"))="Functioning At Risk"</formula>
    </cfRule>
    <cfRule type="beginsWith" dxfId="2397" priority="44" stopIfTrue="1" operator="beginsWith" text="Not Functioning">
      <formula>LEFT(F388,LEN("Not Functioning"))="Not Functioning"</formula>
    </cfRule>
    <cfRule type="containsText" dxfId="2396" priority="45" operator="containsText" text="Functioning">
      <formula>NOT(ISERROR(SEARCH("Functioning",F388)))</formula>
    </cfRule>
  </conditionalFormatting>
  <conditionalFormatting sqref="F376">
    <cfRule type="beginsWith" dxfId="2395" priority="40" stopIfTrue="1" operator="beginsWith" text="Functioning At Risk">
      <formula>LEFT(F376,LEN("Functioning At Risk"))="Functioning At Risk"</formula>
    </cfRule>
    <cfRule type="beginsWith" dxfId="2394" priority="41" stopIfTrue="1" operator="beginsWith" text="Not Functioning">
      <formula>LEFT(F376,LEN("Not Functioning"))="Not Functioning"</formula>
    </cfRule>
    <cfRule type="containsText" dxfId="2393" priority="42" operator="containsText" text="Functioning">
      <formula>NOT(ISERROR(SEARCH("Functioning",F376)))</formula>
    </cfRule>
  </conditionalFormatting>
  <conditionalFormatting sqref="F362:F363">
    <cfRule type="beginsWith" dxfId="2392" priority="37" stopIfTrue="1" operator="beginsWith" text="Functioning At Risk">
      <formula>LEFT(F362,LEN("Functioning At Risk"))="Functioning At Risk"</formula>
    </cfRule>
    <cfRule type="beginsWith" dxfId="2391" priority="38" stopIfTrue="1" operator="beginsWith" text="Not Functioning">
      <formula>LEFT(F362,LEN("Not Functioning"))="Not Functioning"</formula>
    </cfRule>
    <cfRule type="containsText" dxfId="2390" priority="39" operator="containsText" text="Functioning">
      <formula>NOT(ISERROR(SEARCH("Functioning",F362)))</formula>
    </cfRule>
  </conditionalFormatting>
  <conditionalFormatting sqref="F365">
    <cfRule type="beginsWith" dxfId="2389" priority="34" stopIfTrue="1" operator="beginsWith" text="Functioning At Risk">
      <formula>LEFT(F365,LEN("Functioning At Risk"))="Functioning At Risk"</formula>
    </cfRule>
    <cfRule type="beginsWith" dxfId="2388" priority="35" stopIfTrue="1" operator="beginsWith" text="Not Functioning">
      <formula>LEFT(F365,LEN("Not Functioning"))="Not Functioning"</formula>
    </cfRule>
    <cfRule type="containsText" dxfId="2387" priority="36" operator="containsText" text="Functioning">
      <formula>NOT(ISERROR(SEARCH("Functioning",F365)))</formula>
    </cfRule>
  </conditionalFormatting>
  <conditionalFormatting sqref="F380">
    <cfRule type="beginsWith" dxfId="2386" priority="31" stopIfTrue="1" operator="beginsWith" text="Functioning At Risk">
      <formula>LEFT(F380,LEN("Functioning At Risk"))="Functioning At Risk"</formula>
    </cfRule>
    <cfRule type="beginsWith" dxfId="2385" priority="32" stopIfTrue="1" operator="beginsWith" text="Not Functioning">
      <formula>LEFT(F380,LEN("Not Functioning"))="Not Functioning"</formula>
    </cfRule>
    <cfRule type="containsText" dxfId="2384" priority="33" operator="containsText" text="Functioning">
      <formula>NOT(ISERROR(SEARCH("Functioning",F380)))</formula>
    </cfRule>
  </conditionalFormatting>
  <conditionalFormatting sqref="F377">
    <cfRule type="beginsWith" dxfId="2383" priority="28" stopIfTrue="1" operator="beginsWith" text="Functioning At Risk">
      <formula>LEFT(F377,LEN("Functioning At Risk"))="Functioning At Risk"</formula>
    </cfRule>
    <cfRule type="beginsWith" dxfId="2382" priority="29" stopIfTrue="1" operator="beginsWith" text="Not Functioning">
      <formula>LEFT(F377,LEN("Not Functioning"))="Not Functioning"</formula>
    </cfRule>
    <cfRule type="containsText" dxfId="2381" priority="30" operator="containsText" text="Functioning">
      <formula>NOT(ISERROR(SEARCH("Functioning",F377)))</formula>
    </cfRule>
  </conditionalFormatting>
  <conditionalFormatting sqref="F423 F400:F401 F408:F411">
    <cfRule type="beginsWith" dxfId="2380" priority="25" stopIfTrue="1" operator="beginsWith" text="Functioning At Risk">
      <formula>LEFT(F400,LEN("Functioning At Risk"))="Functioning At Risk"</formula>
    </cfRule>
    <cfRule type="beginsWith" dxfId="2379" priority="26" stopIfTrue="1" operator="beginsWith" text="Not Functioning">
      <formula>LEFT(F400,LEN("Not Functioning"))="Not Functioning"</formula>
    </cfRule>
    <cfRule type="containsText" dxfId="2378" priority="27" operator="containsText" text="Functioning">
      <formula>NOT(ISERROR(SEARCH("Functioning",F400)))</formula>
    </cfRule>
  </conditionalFormatting>
  <conditionalFormatting sqref="F412:F413">
    <cfRule type="beginsWith" dxfId="2377" priority="22" stopIfTrue="1" operator="beginsWith" text="Functioning At Risk">
      <formula>LEFT(F412,LEN("Functioning At Risk"))="Functioning At Risk"</formula>
    </cfRule>
    <cfRule type="beginsWith" dxfId="2376" priority="23" stopIfTrue="1" operator="beginsWith" text="Not Functioning">
      <formula>LEFT(F412,LEN("Not Functioning"))="Not Functioning"</formula>
    </cfRule>
    <cfRule type="containsText" dxfId="2375" priority="24" operator="containsText" text="Functioning">
      <formula>NOT(ISERROR(SEARCH("Functioning",F412)))</formula>
    </cfRule>
  </conditionalFormatting>
  <conditionalFormatting sqref="F432:F433">
    <cfRule type="beginsWith" dxfId="2374" priority="19" stopIfTrue="1" operator="beginsWith" text="Functioning At Risk">
      <formula>LEFT(F432,LEN("Functioning At Risk"))="Functioning At Risk"</formula>
    </cfRule>
    <cfRule type="beginsWith" dxfId="2373" priority="20" stopIfTrue="1" operator="beginsWith" text="Not Functioning">
      <formula>LEFT(F432,LEN("Not Functioning"))="Not Functioning"</formula>
    </cfRule>
    <cfRule type="containsText" dxfId="2372" priority="21" operator="containsText" text="Functioning">
      <formula>NOT(ISERROR(SEARCH("Functioning",F432)))</formula>
    </cfRule>
  </conditionalFormatting>
  <conditionalFormatting sqref="F428:F431">
    <cfRule type="beginsWith" dxfId="2371" priority="16" stopIfTrue="1" operator="beginsWith" text="Functioning At Risk">
      <formula>LEFT(F428,LEN("Functioning At Risk"))="Functioning At Risk"</formula>
    </cfRule>
    <cfRule type="beginsWith" dxfId="2370" priority="17" stopIfTrue="1" operator="beginsWith" text="Not Functioning">
      <formula>LEFT(F428,LEN("Not Functioning"))="Not Functioning"</formula>
    </cfRule>
    <cfRule type="containsText" dxfId="2369" priority="18" operator="containsText" text="Functioning">
      <formula>NOT(ISERROR(SEARCH("Functioning",F428)))</formula>
    </cfRule>
  </conditionalFormatting>
  <conditionalFormatting sqref="F416">
    <cfRule type="beginsWith" dxfId="2368" priority="13" stopIfTrue="1" operator="beginsWith" text="Functioning At Risk">
      <formula>LEFT(F416,LEN("Functioning At Risk"))="Functioning At Risk"</formula>
    </cfRule>
    <cfRule type="beginsWith" dxfId="2367" priority="14" stopIfTrue="1" operator="beginsWith" text="Not Functioning">
      <formula>LEFT(F416,LEN("Not Functioning"))="Not Functioning"</formula>
    </cfRule>
    <cfRule type="containsText" dxfId="2366" priority="15" operator="containsText" text="Functioning">
      <formula>NOT(ISERROR(SEARCH("Functioning",F416)))</formula>
    </cfRule>
  </conditionalFormatting>
  <conditionalFormatting sqref="F402:F403">
    <cfRule type="beginsWith" dxfId="2365" priority="10" stopIfTrue="1" operator="beginsWith" text="Functioning At Risk">
      <formula>LEFT(F402,LEN("Functioning At Risk"))="Functioning At Risk"</formula>
    </cfRule>
    <cfRule type="beginsWith" dxfId="2364" priority="11" stopIfTrue="1" operator="beginsWith" text="Not Functioning">
      <formula>LEFT(F402,LEN("Not Functioning"))="Not Functioning"</formula>
    </cfRule>
    <cfRule type="containsText" dxfId="2363" priority="12" operator="containsText" text="Functioning">
      <formula>NOT(ISERROR(SEARCH("Functioning",F402)))</formula>
    </cfRule>
  </conditionalFormatting>
  <conditionalFormatting sqref="F405">
    <cfRule type="beginsWith" dxfId="2362" priority="7" stopIfTrue="1" operator="beginsWith" text="Functioning At Risk">
      <formula>LEFT(F405,LEN("Functioning At Risk"))="Functioning At Risk"</formula>
    </cfRule>
    <cfRule type="beginsWith" dxfId="2361" priority="8" stopIfTrue="1" operator="beginsWith" text="Not Functioning">
      <formula>LEFT(F405,LEN("Not Functioning"))="Not Functioning"</formula>
    </cfRule>
    <cfRule type="containsText" dxfId="2360" priority="9" operator="containsText" text="Functioning">
      <formula>NOT(ISERROR(SEARCH("Functioning",F405)))</formula>
    </cfRule>
  </conditionalFormatting>
  <conditionalFormatting sqref="F420">
    <cfRule type="beginsWith" dxfId="2359" priority="4" stopIfTrue="1" operator="beginsWith" text="Functioning At Risk">
      <formula>LEFT(F420,LEN("Functioning At Risk"))="Functioning At Risk"</formula>
    </cfRule>
    <cfRule type="beginsWith" dxfId="2358" priority="5" stopIfTrue="1" operator="beginsWith" text="Not Functioning">
      <formula>LEFT(F420,LEN("Not Functioning"))="Not Functioning"</formula>
    </cfRule>
    <cfRule type="containsText" dxfId="2357" priority="6" operator="containsText" text="Functioning">
      <formula>NOT(ISERROR(SEARCH("Functioning",F420)))</formula>
    </cfRule>
  </conditionalFormatting>
  <conditionalFormatting sqref="F417">
    <cfRule type="beginsWith" dxfId="2356" priority="1" stopIfTrue="1" operator="beginsWith" text="Functioning At Risk">
      <formula>LEFT(F417,LEN("Functioning At Risk"))="Functioning At Risk"</formula>
    </cfRule>
    <cfRule type="beginsWith" dxfId="2355" priority="2" stopIfTrue="1" operator="beginsWith" text="Not Functioning">
      <formula>LEFT(F417,LEN("Not Functioning"))="Not Functioning"</formula>
    </cfRule>
    <cfRule type="containsText" dxfId="2354" priority="3" operator="containsText" text="Functioning">
      <formula>NOT(ISERROR(SEARCH("Functioning",F417)))</formula>
    </cfRule>
  </conditionalFormatting>
  <dataValidations count="11">
    <dataValidation allowBlank="1" showErrorMessage="1" prompt="The user should input a value for either basal area or density, not both. " sqref="E60:E61 E376:E377 E336:E337 E296:E297 E256:E257 E216:E217 E177:E178 E138:E139 E99:E100 E416:E417 E21:E22"/>
    <dataValidation type="decimal" allowBlank="1" showErrorMessage="1" prompt="The user should input a value for either basal area or density, not both. " sqref="E372:E375 E332:E335 E292:E295 E252:E255 E212:E215 E173:E176 E134:E137 E95:E98 E56:E59 E412:E415 E17:E20">
      <formula1>0</formula1>
      <formula2>5280</formula2>
    </dataValidation>
    <dataValidation allowBlank="1" showErrorMessage="1" prompt="The user can only input a value for either leaf litter processing rate or shredders for organic matter, not both. " sqref="E30 E385 E69 E108 E147 E186 E225 E265 E305 E345 E425"/>
    <dataValidation allowBlank="1" showErrorMessage="1" sqref="E23 E378 E62 E101 E140 E179 E218 E258 E298 E338 E418 E12 E51 E90 E129 E168 E207 E247 E287 E327 E367 E407"/>
    <dataValidation type="list" allowBlank="1" showInputMessage="1" showErrorMessage="1" prompt="Select the dominant BEHI/NBS.  _x000a_If erosion rate was measured select blank. The user should only input a value for either BEHI/NBS or Erosion Rate, not both. " sqref="E325 E365 E10 E49 E88 E127 E166 E205 E245 E285 E405">
      <formula1>BEHI.NBS</formula1>
    </dataValidation>
    <dataValidation allowBlank="1" showInputMessage="1" showErrorMessage="1" prompt="The user should input a value for either BEHI/NBS or Erosion Rate, not both. " sqref="E324 E364 E9 E48 E87 E126 E165 E204 E244 E284 E404"/>
    <dataValidation allowBlank="1" showInputMessage="1" showErrorMessage="1" prompt="This measurement method should be used in combination with either Erosion Rate or Dominant BEHI/NBS." sqref="E326 E366 E11 E50 E89 E128 E167 E206 E246 E286 E406"/>
    <dataValidation type="decimal" allowBlank="1" showInputMessage="1" showErrorMessage="1" sqref="E248:E251 E288:E291 E368:E371 E13:E16 E52:E55 E91:E94 E130:E133 E169:E172 E208:E211 E328:E331 E408:E411">
      <formula1>0</formula1>
      <formula2>5280</formula2>
    </dataValidation>
    <dataValidation allowBlank="1" showErrorMessage="1" prompt="Select catchment conditon level from the completed catchment assessment form. " sqref="E398:E399 E42:E43 E81:E82 E120:E121 E159:E160 E198:E199 E238:E239 E278:E279 E318:E319 E358:E359 E3:E4"/>
    <dataValidation allowBlank="1" showInputMessage="1" showErrorMessage="1" prompt="The user should not input values for all 4 measurement methods. If the user is not using TMI, then the remaining 3 measurement methods should be used together." sqref="E33:E36 E72:E75 E111:E114 E150:E153 E189:E192 E228:E231 E268:E271 E308:E311 E348:E351 E388:E391 E428:E431"/>
    <dataValidation allowBlank="1" showInputMessage="1" showErrorMessage="1" prompt="The user should only input a value for either LWDI or # Pieces, not both. " sqref="E7:E8 E46:E47 E85:E86 E124:E125 E163:E164 E202:E203 E242:E243 E282:E283 E322:E323 E362:E363 E402:E403"/>
  </dataValidations>
  <pageMargins left="0.25" right="0.25" top="0.75" bottom="0.75" header="0.3" footer="0.3"/>
  <pageSetup paperSize="3" fitToWidth="0" fitToHeight="0" orientation="landscape" r:id="rId1"/>
  <headerFooter>
    <oddHeader>&amp;C&amp;"-,Bold"TN SQT v1.0
Monitoring Data Spreadsheet Reach 4</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extLst>
    <ext xmlns:x14="http://schemas.microsoft.com/office/spreadsheetml/2009/9/main" uri="{78C0D931-6437-407d-A8EE-F0AAD7539E65}">
      <x14:conditionalFormattings>
        <x14:conditionalFormatting xmlns:xm="http://schemas.microsoft.com/office/excel/2006/main">
          <x14:cfRule type="beginsWith" priority="1201" stopIfTrue="1" operator="beginsWith" text="Functioning At Risk" id="{0D226BFE-9250-4167-B0D7-5AB8DC7A490D}">
            <xm:f>LEFT('Monitoring Data R2'!H39,LEN("Functioning At Risk"))="Functioning At Risk"</xm:f>
            <x14:dxf>
              <fill>
                <patternFill>
                  <bgColor rgb="FFFFFF00"/>
                </patternFill>
              </fill>
            </x14:dxf>
          </x14:cfRule>
          <x14:cfRule type="beginsWith" priority="1202" stopIfTrue="1" operator="beginsWith" text="Not Functioning" id="{E1C5BE36-AB1D-4D37-ACE5-3EB1F37B71BE}">
            <xm:f>LEFT('Monitoring Data R2'!H39,LEN("Not Functioning"))="Not Functioning"</xm:f>
            <x14:dxf>
              <font>
                <strike val="0"/>
                <color auto="1"/>
              </font>
              <fill>
                <patternFill patternType="solid">
                  <bgColor rgb="FFFF0000"/>
                </patternFill>
              </fill>
            </x14:dxf>
          </x14:cfRule>
          <x14:cfRule type="containsText" priority="1203" operator="containsText" text="Functioning" id="{5FC55F8B-24A6-456E-8937-D32765124D22}">
            <xm:f>NOT(ISERROR(SEARCH("Functioning",'Monitoring Data R2'!H39)))</xm:f>
            <x14:dxf>
              <fill>
                <patternFill>
                  <bgColor rgb="FF00B050"/>
                </patternFill>
              </fill>
            </x14:dxf>
          </x14:cfRule>
          <xm:sqref>H39:K39</xm:sqref>
        </x14:conditionalFormatting>
        <x14:conditionalFormatting xmlns:xm="http://schemas.microsoft.com/office/excel/2006/main">
          <x14:cfRule type="expression" priority="799" id="{2378575E-55EA-41FA-B0AE-A2F9A675547F}">
            <xm:f>'Quantification Tool R4'!$B$18="Ephemeral"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 xmlns:xm="http://schemas.microsoft.com/office/excel/2006/main">
          <x14:cfRule type="expression" priority="736" id="{866783D2-B8D1-480A-A914-535461B96CA9}">
            <xm:f>'Quantification Tool R4'!$B$18="Ephemeral"</xm:f>
            <x14:dxf>
              <fill>
                <patternFill patternType="darkDown"/>
              </fill>
            </x14:dxf>
          </x14:cfRule>
          <xm:sqref>E63:E71</xm:sqref>
        </x14:conditionalFormatting>
        <x14:conditionalFormatting xmlns:xm="http://schemas.microsoft.com/office/excel/2006/main">
          <x14:cfRule type="expression" priority="706" id="{4CEFFE2D-2AC5-4AEB-A462-CFB401AE4896}">
            <xm:f>'Quantification Tool R4'!$B$18="Ephemeral"</xm:f>
            <x14:dxf>
              <fill>
                <patternFill patternType="darkDown"/>
              </fill>
            </x14:dxf>
          </x14:cfRule>
          <xm:sqref>E102:E110</xm:sqref>
        </x14:conditionalFormatting>
        <x14:conditionalFormatting xmlns:xm="http://schemas.microsoft.com/office/excel/2006/main">
          <x14:cfRule type="expression" priority="676" id="{E44C98C5-8048-4135-835F-CFDC0837BF38}">
            <xm:f>'Quantification Tool R4'!$B$18="Ephemeral"</xm:f>
            <x14:dxf>
              <fill>
                <patternFill patternType="darkDown"/>
              </fill>
            </x14:dxf>
          </x14:cfRule>
          <xm:sqref>E141:E149</xm:sqref>
        </x14:conditionalFormatting>
        <x14:conditionalFormatting xmlns:xm="http://schemas.microsoft.com/office/excel/2006/main">
          <x14:cfRule type="expression" priority="646" id="{0A58A469-0C15-4C7D-889E-9DC25F4C791E}">
            <xm:f>'Quantification Tool R4'!$B$18="Ephemeral"</xm:f>
            <x14:dxf>
              <fill>
                <patternFill patternType="darkDown"/>
              </fill>
            </x14:dxf>
          </x14:cfRule>
          <xm:sqref>E180:E188</xm:sqref>
        </x14:conditionalFormatting>
        <x14:conditionalFormatting xmlns:xm="http://schemas.microsoft.com/office/excel/2006/main">
          <x14:cfRule type="expression" priority="616" id="{EAC61F80-D264-437E-BD60-88687F24302D}">
            <xm:f>'Quantification Tool R4'!$B$18="Ephemeral"</xm:f>
            <x14:dxf>
              <fill>
                <patternFill patternType="darkDown"/>
              </fill>
            </x14:dxf>
          </x14:cfRule>
          <xm:sqref>E219:E227</xm:sqref>
        </x14:conditionalFormatting>
        <x14:conditionalFormatting xmlns:xm="http://schemas.microsoft.com/office/excel/2006/main">
          <x14:cfRule type="expression" priority="586" id="{B3CD1134-A85C-4D22-888A-E6FF7D5C26F4}">
            <xm:f>'Quantification Tool R4'!$B$18="Ephemeral"</xm:f>
            <x14:dxf>
              <fill>
                <patternFill patternType="darkDown"/>
              </fill>
            </x14:dxf>
          </x14:cfRule>
          <xm:sqref>E259:E267</xm:sqref>
        </x14:conditionalFormatting>
        <x14:conditionalFormatting xmlns:xm="http://schemas.microsoft.com/office/excel/2006/main">
          <x14:cfRule type="expression" priority="556" id="{EF272708-924D-47F6-83BC-F539AF14AEBE}">
            <xm:f>'Quantification Tool R4'!$B$18="Ephemeral"</xm:f>
            <x14:dxf>
              <fill>
                <patternFill patternType="darkDown"/>
              </fill>
            </x14:dxf>
          </x14:cfRule>
          <xm:sqref>E299:E307</xm:sqref>
        </x14:conditionalFormatting>
        <x14:conditionalFormatting xmlns:xm="http://schemas.microsoft.com/office/excel/2006/main">
          <x14:cfRule type="expression" priority="526" id="{FA07D0CC-A934-405E-A8ED-159F48D73856}">
            <xm:f>'Quantification Tool R4'!$B$18="Ephemeral"</xm:f>
            <x14:dxf>
              <fill>
                <patternFill patternType="darkDown"/>
              </fill>
            </x14:dxf>
          </x14:cfRule>
          <xm:sqref>E339:E347</xm:sqref>
        </x14:conditionalFormatting>
        <x14:conditionalFormatting xmlns:xm="http://schemas.microsoft.com/office/excel/2006/main">
          <x14:cfRule type="expression" priority="496" id="{C0187E0B-CC29-46FB-8718-C26870605A35}">
            <xm:f>'Quantification Tool R4'!$B$18="Ephemeral"</xm:f>
            <x14:dxf>
              <fill>
                <patternFill patternType="darkDown"/>
              </fill>
            </x14:dxf>
          </x14:cfRule>
          <xm:sqref>E379:E387</xm:sqref>
        </x14:conditionalFormatting>
        <x14:conditionalFormatting xmlns:xm="http://schemas.microsoft.com/office/excel/2006/main">
          <x14:cfRule type="expression" priority="466" id="{25CC8A67-72F4-4A78-9414-7BE8FB2B7A98}">
            <xm:f>'Quantification Tool R4'!$B$18="Ephemeral"</xm:f>
            <x14:dxf>
              <fill>
                <patternFill patternType="darkDown"/>
              </fill>
            </x14:dxf>
          </x14:cfRule>
          <xm:sqref>E419:E427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5"/>
  <sheetViews>
    <sheetView zoomScale="70" zoomScaleNormal="70" zoomScalePageLayoutView="70" workbookViewId="0"/>
  </sheetViews>
  <sheetFormatPr defaultColWidth="9.109375" defaultRowHeight="14.4" x14ac:dyDescent="0.3"/>
  <cols>
    <col min="1" max="1" width="19.6640625" style="14" bestFit="1" customWidth="1"/>
    <col min="2" max="2" width="28" style="14" customWidth="1"/>
    <col min="3" max="3" width="14.6640625" style="14" customWidth="1"/>
    <col min="4" max="4" width="14.33203125" style="14" customWidth="1"/>
    <col min="5" max="5" width="10.33203125" style="14" customWidth="1"/>
    <col min="6" max="15" width="10.6640625" style="14" customWidth="1"/>
    <col min="16" max="16384" width="9.109375" style="14"/>
  </cols>
  <sheetData>
    <row r="2" spans="1:15" ht="21" x14ac:dyDescent="0.3">
      <c r="A2" s="625" t="s">
        <v>118</v>
      </c>
      <c r="B2" s="626"/>
      <c r="C2" s="626"/>
      <c r="D2" s="626"/>
      <c r="E2" s="626"/>
      <c r="F2" s="626"/>
      <c r="G2" s="626"/>
      <c r="H2" s="626"/>
      <c r="I2" s="626"/>
      <c r="J2" s="626"/>
      <c r="K2" s="626"/>
      <c r="L2" s="626"/>
      <c r="M2" s="626"/>
      <c r="N2" s="626"/>
      <c r="O2" s="627"/>
    </row>
    <row r="3" spans="1:15" ht="18" x14ac:dyDescent="0.3">
      <c r="A3" s="648" t="s">
        <v>1</v>
      </c>
      <c r="B3" s="648" t="s">
        <v>2</v>
      </c>
      <c r="C3" s="653" t="s">
        <v>66</v>
      </c>
      <c r="D3" s="653" t="s">
        <v>67</v>
      </c>
      <c r="E3" s="648" t="s">
        <v>132</v>
      </c>
      <c r="F3" s="650" t="s">
        <v>135</v>
      </c>
      <c r="G3" s="651"/>
      <c r="H3" s="651"/>
      <c r="I3" s="651"/>
      <c r="J3" s="651"/>
      <c r="K3" s="651"/>
      <c r="L3" s="651"/>
      <c r="M3" s="651"/>
      <c r="N3" s="651"/>
      <c r="O3" s="652"/>
    </row>
    <row r="4" spans="1:15" ht="18" x14ac:dyDescent="0.3">
      <c r="A4" s="649"/>
      <c r="B4" s="649"/>
      <c r="C4" s="654"/>
      <c r="D4" s="654"/>
      <c r="E4" s="649"/>
      <c r="F4" s="304" t="e">
        <f>IF('Monitoring Data R4'!B40="",#N/A,'Monitoring Data R4'!B40)</f>
        <v>#N/A</v>
      </c>
      <c r="G4" s="304" t="e">
        <f>IF('Monitoring Data R4'!B79="",#N/A,'Monitoring Data R4'!B79)</f>
        <v>#N/A</v>
      </c>
      <c r="H4" s="304" t="e">
        <f>IF('Monitoring Data R4'!B118="",#N/A,'Monitoring Data R4'!B118)</f>
        <v>#N/A</v>
      </c>
      <c r="I4" s="304" t="e">
        <f>IF('Monitoring Data R4'!B157="",#N/A,'Monitoring Data R4'!B157)</f>
        <v>#N/A</v>
      </c>
      <c r="J4" s="304" t="e">
        <f>IF('Monitoring Data R4'!B196="",#N/A,'Monitoring Data R4'!B196)</f>
        <v>#N/A</v>
      </c>
      <c r="K4" s="304" t="e">
        <f>IF('Monitoring Data R4'!B236="",#N/A,'Monitoring Data R4'!B236)</f>
        <v>#N/A</v>
      </c>
      <c r="L4" s="304" t="e">
        <f>IF('Monitoring Data R4'!B276="",#N/A,'Monitoring Data R4'!B276)</f>
        <v>#N/A</v>
      </c>
      <c r="M4" s="304" t="e">
        <f>IF('Monitoring Data R4'!B316="",#N/A,'Monitoring Data R4'!B316)</f>
        <v>#N/A</v>
      </c>
      <c r="N4" s="304" t="e">
        <f>IF('Monitoring Data R4'!B356="",#N/A,'Monitoring Data R4'!B356)</f>
        <v>#N/A</v>
      </c>
      <c r="O4" s="304" t="e">
        <f>IF('Monitoring Data R4'!B396="",#N/A,'Monitoring Data R4'!B396)</f>
        <v>#N/A</v>
      </c>
    </row>
    <row r="5" spans="1:15" ht="15.6" x14ac:dyDescent="0.3">
      <c r="A5" s="540" t="s">
        <v>60</v>
      </c>
      <c r="B5" s="75" t="s">
        <v>86</v>
      </c>
      <c r="C5" s="149" t="str">
        <f>'Quantification Tool R4'!C26</f>
        <v/>
      </c>
      <c r="D5" s="149" t="str">
        <f>'Quantification Tool R4'!D26</f>
        <v/>
      </c>
      <c r="E5" s="48" t="str">
        <f>'Monitoring Data R4'!G3</f>
        <v/>
      </c>
      <c r="F5" s="48" t="str">
        <f>'Monitoring Data R4'!G42</f>
        <v/>
      </c>
      <c r="G5" s="48" t="str">
        <f>'Monitoring Data R4'!G81</f>
        <v/>
      </c>
      <c r="H5" s="48" t="str">
        <f>'Monitoring Data R4'!G120</f>
        <v/>
      </c>
      <c r="I5" s="48" t="str">
        <f>'Monitoring Data R4'!G159</f>
        <v/>
      </c>
      <c r="J5" s="48" t="str">
        <f>'Monitoring Data R4'!G198</f>
        <v/>
      </c>
      <c r="K5" s="48" t="str">
        <f>'Monitoring Data R4'!G238</f>
        <v/>
      </c>
      <c r="L5" s="48" t="str">
        <f>'Monitoring Data R4'!G278</f>
        <v/>
      </c>
      <c r="M5" s="48" t="str">
        <f>'Monitoring Data R4'!G318</f>
        <v/>
      </c>
      <c r="N5" s="48" t="str">
        <f>'Monitoring Data R4'!G358</f>
        <v/>
      </c>
      <c r="O5" s="48" t="str">
        <f>'Monitoring Data R4'!G398</f>
        <v/>
      </c>
    </row>
    <row r="6" spans="1:15" ht="15.6" x14ac:dyDescent="0.3">
      <c r="A6" s="541"/>
      <c r="B6" s="75" t="s">
        <v>128</v>
      </c>
      <c r="C6" s="149" t="str">
        <f>'Quantification Tool R4'!C27</f>
        <v/>
      </c>
      <c r="D6" s="149" t="str">
        <f>'Quantification Tool R4'!D27</f>
        <v/>
      </c>
      <c r="E6" s="48" t="str">
        <f>'Monitoring Data R4'!G4</f>
        <v/>
      </c>
      <c r="F6" s="48" t="str">
        <f>'Monitoring Data R4'!G43</f>
        <v/>
      </c>
      <c r="G6" s="48" t="str">
        <f>'Monitoring Data R4'!G82</f>
        <v/>
      </c>
      <c r="H6" s="48" t="str">
        <f>'Monitoring Data R4'!G121</f>
        <v/>
      </c>
      <c r="I6" s="48" t="str">
        <f>'Monitoring Data R4'!G160</f>
        <v/>
      </c>
      <c r="J6" s="48" t="str">
        <f>'Monitoring Data R4'!G199</f>
        <v/>
      </c>
      <c r="K6" s="48" t="str">
        <f>'Monitoring Data R4'!G239</f>
        <v/>
      </c>
      <c r="L6" s="48" t="str">
        <f>'Monitoring Data R4'!G279</f>
        <v/>
      </c>
      <c r="M6" s="48" t="str">
        <f>'Monitoring Data R4'!G319</f>
        <v/>
      </c>
      <c r="N6" s="48" t="str">
        <f>'Monitoring Data R4'!G359</f>
        <v/>
      </c>
      <c r="O6" s="48" t="str">
        <f>'Monitoring Data R4'!G399</f>
        <v/>
      </c>
    </row>
    <row r="7" spans="1:15" ht="15.6" x14ac:dyDescent="0.3">
      <c r="A7" s="76" t="s">
        <v>6</v>
      </c>
      <c r="B7" s="76" t="s">
        <v>7</v>
      </c>
      <c r="C7" s="149" t="str">
        <f>'Quantification Tool R4'!C28</f>
        <v/>
      </c>
      <c r="D7" s="149" t="str">
        <f>'Quantification Tool R4'!D28</f>
        <v/>
      </c>
      <c r="E7" s="48" t="str">
        <f>'Monitoring Data R4'!G5</f>
        <v/>
      </c>
      <c r="F7" s="48" t="str">
        <f>'Monitoring Data R4'!G44</f>
        <v/>
      </c>
      <c r="G7" s="48" t="str">
        <f>'Monitoring Data R4'!G83</f>
        <v/>
      </c>
      <c r="H7" s="48" t="str">
        <f>'Monitoring Data R4'!G122</f>
        <v/>
      </c>
      <c r="I7" s="48" t="str">
        <f>'Monitoring Data R4'!G161</f>
        <v/>
      </c>
      <c r="J7" s="48" t="str">
        <f>'Monitoring Data R4'!G200</f>
        <v/>
      </c>
      <c r="K7" s="48" t="str">
        <f>'Monitoring Data R4'!G240</f>
        <v/>
      </c>
      <c r="L7" s="48" t="str">
        <f>'Monitoring Data R4'!G280</f>
        <v/>
      </c>
      <c r="M7" s="48" t="str">
        <f>'Monitoring Data R4'!G320</f>
        <v/>
      </c>
      <c r="N7" s="48" t="str">
        <f>'Monitoring Data R4'!G360</f>
        <v/>
      </c>
      <c r="O7" s="48" t="str">
        <f>'Monitoring Data R4'!G400</f>
        <v/>
      </c>
    </row>
    <row r="8" spans="1:15" ht="15.6" x14ac:dyDescent="0.3">
      <c r="A8" s="526" t="s">
        <v>26</v>
      </c>
      <c r="B8" s="77" t="s">
        <v>27</v>
      </c>
      <c r="C8" s="149" t="str">
        <f>'Quantification Tool R4'!C29</f>
        <v/>
      </c>
      <c r="D8" s="149" t="str">
        <f>'Quantification Tool R4'!D29</f>
        <v/>
      </c>
      <c r="E8" s="48" t="str">
        <f>'Monitoring Data R4'!G7</f>
        <v/>
      </c>
      <c r="F8" s="48" t="str">
        <f>'Monitoring Data R4'!G46</f>
        <v/>
      </c>
      <c r="G8" s="48" t="str">
        <f>'Monitoring Data R4'!G85</f>
        <v/>
      </c>
      <c r="H8" s="48" t="str">
        <f>'Monitoring Data R4'!G124</f>
        <v/>
      </c>
      <c r="I8" s="48" t="str">
        <f>'Monitoring Data R4'!G163</f>
        <v/>
      </c>
      <c r="J8" s="48" t="str">
        <f>'Monitoring Data R4'!G202</f>
        <v/>
      </c>
      <c r="K8" s="48" t="str">
        <f>'Monitoring Data R4'!G242</f>
        <v/>
      </c>
      <c r="L8" s="48" t="str">
        <f>'Monitoring Data R4'!G282</f>
        <v/>
      </c>
      <c r="M8" s="48" t="str">
        <f>'Monitoring Data R4'!G322</f>
        <v/>
      </c>
      <c r="N8" s="48" t="str">
        <f>'Monitoring Data R4'!G362</f>
        <v/>
      </c>
      <c r="O8" s="48" t="str">
        <f>'Monitoring Data R4'!G402</f>
        <v/>
      </c>
    </row>
    <row r="9" spans="1:15" ht="15.6" x14ac:dyDescent="0.3">
      <c r="A9" s="520"/>
      <c r="B9" s="77" t="s">
        <v>395</v>
      </c>
      <c r="C9" s="149" t="str">
        <f>'Quantification Tool R4'!C30</f>
        <v/>
      </c>
      <c r="D9" s="149" t="str">
        <f>'Quantification Tool R4'!D30</f>
        <v/>
      </c>
      <c r="E9" s="48" t="str">
        <f>'Monitoring Data R4'!G9</f>
        <v/>
      </c>
      <c r="F9" s="48" t="str">
        <f>'Monitoring Data R4'!G48</f>
        <v/>
      </c>
      <c r="G9" s="48" t="str">
        <f>'Monitoring Data R4'!G87</f>
        <v/>
      </c>
      <c r="H9" s="48" t="str">
        <f>'Monitoring Data R4'!G126</f>
        <v/>
      </c>
      <c r="I9" s="48" t="str">
        <f>'Monitoring Data R4'!G165</f>
        <v/>
      </c>
      <c r="J9" s="48" t="str">
        <f>'Monitoring Data R4'!G204</f>
        <v/>
      </c>
      <c r="K9" s="48" t="str">
        <f>'Monitoring Data R4'!G244</f>
        <v/>
      </c>
      <c r="L9" s="48" t="str">
        <f>'Monitoring Data R4'!G284</f>
        <v/>
      </c>
      <c r="M9" s="48" t="str">
        <f>'Monitoring Data R4'!G324</f>
        <v/>
      </c>
      <c r="N9" s="48" t="str">
        <f>'Monitoring Data R4'!G364</f>
        <v/>
      </c>
      <c r="O9" s="48" t="str">
        <f>'Monitoring Data R4'!G404</f>
        <v/>
      </c>
    </row>
    <row r="10" spans="1:15" ht="15.6" x14ac:dyDescent="0.3">
      <c r="A10" s="520"/>
      <c r="B10" s="77" t="s">
        <v>50</v>
      </c>
      <c r="C10" s="149" t="str">
        <f>'Quantification Tool R4'!C31</f>
        <v/>
      </c>
      <c r="D10" s="149" t="str">
        <f>'Quantification Tool R4'!D31</f>
        <v/>
      </c>
      <c r="E10" s="48" t="str">
        <f>'Monitoring Data R4'!G13</f>
        <v/>
      </c>
      <c r="F10" s="48" t="str">
        <f>'Monitoring Data R4'!G52</f>
        <v/>
      </c>
      <c r="G10" s="48" t="str">
        <f>'Monitoring Data R4'!G91</f>
        <v/>
      </c>
      <c r="H10" s="48" t="str">
        <f>'Monitoring Data R4'!G130</f>
        <v/>
      </c>
      <c r="I10" s="48" t="str">
        <f>'Monitoring Data R4'!G169</f>
        <v/>
      </c>
      <c r="J10" s="48" t="str">
        <f>'Monitoring Data R4'!G208</f>
        <v/>
      </c>
      <c r="K10" s="48" t="str">
        <f>'Monitoring Data R4'!G248</f>
        <v/>
      </c>
      <c r="L10" s="48" t="str">
        <f>'Monitoring Data R4'!G288</f>
        <v/>
      </c>
      <c r="M10" s="48" t="str">
        <f>'Monitoring Data R4'!G328</f>
        <v/>
      </c>
      <c r="N10" s="48" t="str">
        <f>'Monitoring Data R4'!G368</f>
        <v/>
      </c>
      <c r="O10" s="48" t="str">
        <f>'Monitoring Data R4'!G408</f>
        <v/>
      </c>
    </row>
    <row r="11" spans="1:15" ht="15.6" x14ac:dyDescent="0.3">
      <c r="A11" s="520"/>
      <c r="B11" s="77" t="s">
        <v>108</v>
      </c>
      <c r="C11" s="149" t="str">
        <f>'Quantification Tool R4'!C32</f>
        <v/>
      </c>
      <c r="D11" s="149" t="str">
        <f>'Quantification Tool R4'!D32</f>
        <v/>
      </c>
      <c r="E11" s="48" t="str">
        <f>'Monitoring Data R4'!G23</f>
        <v/>
      </c>
      <c r="F11" s="48" t="str">
        <f>'Monitoring Data R4'!G62</f>
        <v/>
      </c>
      <c r="G11" s="48" t="str">
        <f>'Monitoring Data R4'!G101</f>
        <v/>
      </c>
      <c r="H11" s="48" t="str">
        <f>'Monitoring Data R4'!G140</f>
        <v/>
      </c>
      <c r="I11" s="48" t="str">
        <f>'Monitoring Data R4'!G179</f>
        <v/>
      </c>
      <c r="J11" s="48" t="str">
        <f>'Monitoring Data R4'!G218</f>
        <v/>
      </c>
      <c r="K11" s="48" t="str">
        <f>'Monitoring Data R4'!G258</f>
        <v/>
      </c>
      <c r="L11" s="48" t="str">
        <f>'Monitoring Data R4'!G298</f>
        <v/>
      </c>
      <c r="M11" s="48" t="str">
        <f>'Monitoring Data R4'!G338</f>
        <v/>
      </c>
      <c r="N11" s="48" t="str">
        <f>'Monitoring Data R4'!G378</f>
        <v/>
      </c>
      <c r="O11" s="48" t="str">
        <f>'Monitoring Data R4'!G418</f>
        <v/>
      </c>
    </row>
    <row r="12" spans="1:15" ht="15.6" x14ac:dyDescent="0.3">
      <c r="A12" s="520"/>
      <c r="B12" s="77" t="s">
        <v>51</v>
      </c>
      <c r="C12" s="149" t="str">
        <f>'Quantification Tool R4'!C33</f>
        <v/>
      </c>
      <c r="D12" s="149" t="str">
        <f>'Quantification Tool R4'!D33</f>
        <v/>
      </c>
      <c r="E12" s="48" t="str">
        <f>'Monitoring Data R4'!G24</f>
        <v/>
      </c>
      <c r="F12" s="48" t="str">
        <f>'Monitoring Data R4'!G63</f>
        <v/>
      </c>
      <c r="G12" s="48" t="str">
        <f>'Monitoring Data R4'!G102</f>
        <v/>
      </c>
      <c r="H12" s="48" t="str">
        <f>'Monitoring Data R4'!G141</f>
        <v/>
      </c>
      <c r="I12" s="48" t="str">
        <f>'Monitoring Data R4'!G180</f>
        <v/>
      </c>
      <c r="J12" s="48" t="str">
        <f>'Monitoring Data R4'!G219</f>
        <v/>
      </c>
      <c r="K12" s="48" t="str">
        <f>'Monitoring Data R4'!G259</f>
        <v/>
      </c>
      <c r="L12" s="48" t="str">
        <f>'Monitoring Data R4'!G299</f>
        <v/>
      </c>
      <c r="M12" s="48" t="str">
        <f>'Monitoring Data R4'!G339</f>
        <v/>
      </c>
      <c r="N12" s="48" t="str">
        <f>'Monitoring Data R4'!G379</f>
        <v/>
      </c>
      <c r="O12" s="48" t="str">
        <f>'Monitoring Data R4'!G419</f>
        <v/>
      </c>
    </row>
    <row r="13" spans="1:15" ht="15.6" x14ac:dyDescent="0.3">
      <c r="A13" s="521"/>
      <c r="B13" s="77" t="s">
        <v>55</v>
      </c>
      <c r="C13" s="149" t="str">
        <f>'Quantification Tool R4'!C34</f>
        <v/>
      </c>
      <c r="D13" s="149" t="str">
        <f>'Quantification Tool R4'!D34</f>
        <v/>
      </c>
      <c r="E13" s="48" t="str">
        <f>'Monitoring Data R4'!G28</f>
        <v/>
      </c>
      <c r="F13" s="48" t="str">
        <f>'Monitoring Data R4'!G67</f>
        <v/>
      </c>
      <c r="G13" s="48" t="str">
        <f>'Monitoring Data R4'!G106</f>
        <v/>
      </c>
      <c r="H13" s="48" t="str">
        <f>'Monitoring Data R4'!G145</f>
        <v/>
      </c>
      <c r="I13" s="48" t="str">
        <f>'Monitoring Data R4'!G184</f>
        <v/>
      </c>
      <c r="J13" s="48" t="str">
        <f>'Monitoring Data R4'!G223</f>
        <v/>
      </c>
      <c r="K13" s="48" t="str">
        <f>'Monitoring Data R4'!G263</f>
        <v/>
      </c>
      <c r="L13" s="48" t="str">
        <f>'Monitoring Data R4'!G303</f>
        <v/>
      </c>
      <c r="M13" s="48" t="str">
        <f>'Monitoring Data R4'!G343</f>
        <v/>
      </c>
      <c r="N13" s="48" t="str">
        <f>'Monitoring Data R4'!G383</f>
        <v/>
      </c>
      <c r="O13" s="48" t="str">
        <f>'Monitoring Data R4'!G423</f>
        <v/>
      </c>
    </row>
    <row r="14" spans="1:15" ht="15.6" x14ac:dyDescent="0.3">
      <c r="A14" s="537" t="s">
        <v>58</v>
      </c>
      <c r="B14" s="67" t="s">
        <v>88</v>
      </c>
      <c r="C14" s="149" t="str">
        <f>'Quantification Tool R4'!C35</f>
        <v/>
      </c>
      <c r="D14" s="149" t="str">
        <f>'Quantification Tool R4'!D35</f>
        <v/>
      </c>
      <c r="E14" s="48" t="str">
        <f>'Monitoring Data R4'!G29</f>
        <v/>
      </c>
      <c r="F14" s="48" t="str">
        <f>'Monitoring Data R4'!G68</f>
        <v/>
      </c>
      <c r="G14" s="48" t="str">
        <f>'Monitoring Data R4'!G107</f>
        <v/>
      </c>
      <c r="H14" s="48" t="str">
        <f>'Monitoring Data R4'!G146</f>
        <v/>
      </c>
      <c r="I14" s="48" t="str">
        <f>'Monitoring Data R4'!G185</f>
        <v/>
      </c>
      <c r="J14" s="48" t="str">
        <f>'Monitoring Data R4'!G224</f>
        <v/>
      </c>
      <c r="K14" s="48" t="str">
        <f>'Monitoring Data R4'!G264</f>
        <v/>
      </c>
      <c r="L14" s="48" t="str">
        <f>'Monitoring Data R4'!G304</f>
        <v/>
      </c>
      <c r="M14" s="48" t="str">
        <f>'Monitoring Data R4'!G344</f>
        <v/>
      </c>
      <c r="N14" s="48" t="str">
        <f>'Monitoring Data R4'!G384</f>
        <v/>
      </c>
      <c r="O14" s="48" t="str">
        <f>'Monitoring Data R4'!G424</f>
        <v/>
      </c>
    </row>
    <row r="15" spans="1:15" ht="15.6" x14ac:dyDescent="0.3">
      <c r="A15" s="538"/>
      <c r="B15" s="297" t="s">
        <v>362</v>
      </c>
      <c r="C15" s="149" t="str">
        <f>'Quantification Tool R4'!C36</f>
        <v/>
      </c>
      <c r="D15" s="149" t="str">
        <f>'Quantification Tool R4'!D36</f>
        <v/>
      </c>
      <c r="E15" s="48" t="str">
        <f>'Monitoring Data R4'!G30</f>
        <v/>
      </c>
      <c r="F15" s="48" t="str">
        <f>'Monitoring Data R4'!G69</f>
        <v/>
      </c>
      <c r="G15" s="48" t="str">
        <f>'Monitoring Data R4'!G108</f>
        <v/>
      </c>
      <c r="H15" s="48" t="str">
        <f>'Monitoring Data R4'!G147</f>
        <v/>
      </c>
      <c r="I15" s="48" t="str">
        <f>'Monitoring Data R4'!G186</f>
        <v/>
      </c>
      <c r="J15" s="48" t="str">
        <f>'Monitoring Data R4'!G225</f>
        <v/>
      </c>
      <c r="K15" s="48" t="str">
        <f>'Monitoring Data R4'!G265</f>
        <v/>
      </c>
      <c r="L15" s="48" t="str">
        <f>'Monitoring Data R4'!G305</f>
        <v/>
      </c>
      <c r="M15" s="48" t="str">
        <f>'Monitoring Data R4'!G345</f>
        <v/>
      </c>
      <c r="N15" s="48" t="str">
        <f>'Monitoring Data R4'!G385</f>
        <v/>
      </c>
      <c r="O15" s="48" t="str">
        <f>'Monitoring Data R4'!G425</f>
        <v/>
      </c>
    </row>
    <row r="16" spans="1:15" ht="15.6" x14ac:dyDescent="0.3">
      <c r="A16" s="538"/>
      <c r="B16" s="67" t="s">
        <v>81</v>
      </c>
      <c r="C16" s="149" t="str">
        <f>'Quantification Tool R4'!C37</f>
        <v/>
      </c>
      <c r="D16" s="149" t="str">
        <f>'Quantification Tool R4'!D37</f>
        <v/>
      </c>
      <c r="E16" s="48" t="str">
        <f>'Monitoring Data R4'!G31</f>
        <v/>
      </c>
      <c r="F16" s="48" t="str">
        <f>'Monitoring Data R4'!G70</f>
        <v/>
      </c>
      <c r="G16" s="48" t="str">
        <f>'Monitoring Data R4'!G109</f>
        <v/>
      </c>
      <c r="H16" s="48" t="str">
        <f>'Monitoring Data R4'!G148</f>
        <v/>
      </c>
      <c r="I16" s="48" t="str">
        <f>'Monitoring Data R4'!G187</f>
        <v/>
      </c>
      <c r="J16" s="48" t="str">
        <f>'Monitoring Data R4'!G226</f>
        <v/>
      </c>
      <c r="K16" s="48" t="str">
        <f>'Monitoring Data R4'!G266</f>
        <v/>
      </c>
      <c r="L16" s="48" t="str">
        <f>'Monitoring Data R4'!G306</f>
        <v/>
      </c>
      <c r="M16" s="48" t="str">
        <f>'Monitoring Data R4'!G346</f>
        <v/>
      </c>
      <c r="N16" s="48" t="str">
        <f>'Monitoring Data R4'!G386</f>
        <v/>
      </c>
      <c r="O16" s="48" t="str">
        <f>'Monitoring Data R4'!G426</f>
        <v/>
      </c>
    </row>
    <row r="17" spans="1:19" ht="15.6" x14ac:dyDescent="0.3">
      <c r="A17" s="539"/>
      <c r="B17" s="298" t="s">
        <v>82</v>
      </c>
      <c r="C17" s="149" t="str">
        <f>'Quantification Tool R4'!C38</f>
        <v/>
      </c>
      <c r="D17" s="149" t="str">
        <f>'Quantification Tool R4'!D38</f>
        <v/>
      </c>
      <c r="E17" s="48" t="str">
        <f>'Monitoring Data R4'!G32</f>
        <v/>
      </c>
      <c r="F17" s="48" t="str">
        <f>'Monitoring Data R4'!G71</f>
        <v/>
      </c>
      <c r="G17" s="48" t="str">
        <f>'Monitoring Data R4'!G110</f>
        <v/>
      </c>
      <c r="H17" s="48" t="str">
        <f>'Monitoring Data R4'!G149</f>
        <v/>
      </c>
      <c r="I17" s="48" t="str">
        <f>'Monitoring Data R4'!G188</f>
        <v/>
      </c>
      <c r="J17" s="48" t="str">
        <f>'Monitoring Data R4'!G227</f>
        <v/>
      </c>
      <c r="K17" s="48" t="str">
        <f>'Monitoring Data R4'!G267</f>
        <v/>
      </c>
      <c r="L17" s="48" t="str">
        <f>'Monitoring Data R4'!G307</f>
        <v/>
      </c>
      <c r="M17" s="48" t="str">
        <f>'Monitoring Data R4'!G347</f>
        <v/>
      </c>
      <c r="N17" s="48" t="str">
        <f>'Monitoring Data R4'!G387</f>
        <v/>
      </c>
      <c r="O17" s="48" t="str">
        <f>'Monitoring Data R4'!G427</f>
        <v/>
      </c>
    </row>
    <row r="18" spans="1:19" ht="15.6" x14ac:dyDescent="0.3">
      <c r="A18" s="550" t="s">
        <v>59</v>
      </c>
      <c r="B18" s="78" t="s">
        <v>340</v>
      </c>
      <c r="C18" s="149" t="str">
        <f>'Quantification Tool R4'!C39</f>
        <v/>
      </c>
      <c r="D18" s="149" t="str">
        <f>'Quantification Tool R4'!D39</f>
        <v/>
      </c>
      <c r="E18" s="48" t="str">
        <f>'Monitoring Data R4'!G33</f>
        <v/>
      </c>
      <c r="F18" s="48" t="str">
        <f>'Monitoring Data R4'!G72</f>
        <v/>
      </c>
      <c r="G18" s="48" t="str">
        <f>'Monitoring Data R4'!G111</f>
        <v/>
      </c>
      <c r="H18" s="48" t="str">
        <f>'Monitoring Data R4'!G150</f>
        <v/>
      </c>
      <c r="I18" s="48" t="str">
        <f>'Monitoring Data R4'!G189</f>
        <v/>
      </c>
      <c r="J18" s="48" t="str">
        <f>'Monitoring Data R4'!G228</f>
        <v/>
      </c>
      <c r="K18" s="48" t="str">
        <f>'Monitoring Data R4'!G268</f>
        <v/>
      </c>
      <c r="L18" s="48" t="str">
        <f>'Monitoring Data R4'!G308</f>
        <v/>
      </c>
      <c r="M18" s="48" t="str">
        <f>'Monitoring Data R4'!G348</f>
        <v/>
      </c>
      <c r="N18" s="48" t="str">
        <f>'Monitoring Data R4'!G388</f>
        <v/>
      </c>
      <c r="O18" s="48" t="str">
        <f>'Monitoring Data R4'!G428</f>
        <v/>
      </c>
    </row>
    <row r="19" spans="1:19" ht="15.6" x14ac:dyDescent="0.3">
      <c r="A19" s="551"/>
      <c r="B19" s="78" t="s">
        <v>74</v>
      </c>
      <c r="C19" s="149" t="str">
        <f>'Quantification Tool R4'!C40</f>
        <v/>
      </c>
      <c r="D19" s="149" t="str">
        <f>'Quantification Tool R4'!D40</f>
        <v/>
      </c>
      <c r="E19" s="48" t="str">
        <f>'Monitoring Data R4'!G37</f>
        <v/>
      </c>
      <c r="F19" s="48" t="str">
        <f>'Monitoring Data R4'!G76</f>
        <v/>
      </c>
      <c r="G19" s="48" t="str">
        <f>'Monitoring Data R4'!G115</f>
        <v/>
      </c>
      <c r="H19" s="48" t="str">
        <f>'Monitoring Data R4'!G154</f>
        <v/>
      </c>
      <c r="I19" s="48" t="str">
        <f>'Monitoring Data R4'!G193</f>
        <v/>
      </c>
      <c r="J19" s="48" t="str">
        <f>'Monitoring Data R4'!G232</f>
        <v/>
      </c>
      <c r="K19" s="48" t="str">
        <f>'Monitoring Data R4'!G272</f>
        <v/>
      </c>
      <c r="L19" s="48" t="str">
        <f>'Monitoring Data R4'!G312</f>
        <v/>
      </c>
      <c r="M19" s="48" t="str">
        <f>'Monitoring Data R4'!G352</f>
        <v/>
      </c>
      <c r="N19" s="48" t="str">
        <f>'Monitoring Data R4'!G392</f>
        <v/>
      </c>
      <c r="O19" s="48" t="str">
        <f>'Monitoring Data R4'!G432</f>
        <v/>
      </c>
    </row>
    <row r="22" spans="1:19" ht="21" x14ac:dyDescent="0.3">
      <c r="A22" s="625" t="s">
        <v>102</v>
      </c>
      <c r="B22" s="626"/>
      <c r="C22" s="626"/>
      <c r="D22" s="626"/>
      <c r="E22" s="626"/>
      <c r="F22" s="626"/>
      <c r="G22" s="626"/>
      <c r="H22" s="626"/>
      <c r="I22" s="626"/>
      <c r="J22" s="626"/>
      <c r="K22" s="626"/>
      <c r="L22" s="626"/>
      <c r="M22" s="626"/>
      <c r="N22" s="626"/>
      <c r="O22" s="627"/>
    </row>
    <row r="23" spans="1:19" ht="14.4" customHeight="1" x14ac:dyDescent="0.3">
      <c r="A23" s="655" t="s">
        <v>103</v>
      </c>
      <c r="B23" s="656"/>
      <c r="C23" s="646" t="s">
        <v>104</v>
      </c>
      <c r="D23" s="646" t="s">
        <v>105</v>
      </c>
      <c r="E23" s="648" t="s">
        <v>132</v>
      </c>
      <c r="F23" s="650" t="s">
        <v>135</v>
      </c>
      <c r="G23" s="651"/>
      <c r="H23" s="651"/>
      <c r="I23" s="651"/>
      <c r="J23" s="651"/>
      <c r="K23" s="651"/>
      <c r="L23" s="651"/>
      <c r="M23" s="651"/>
      <c r="N23" s="651"/>
      <c r="O23" s="652"/>
      <c r="P23" s="141"/>
      <c r="Q23" s="141"/>
    </row>
    <row r="24" spans="1:19" ht="14.4" customHeight="1" x14ac:dyDescent="0.3">
      <c r="A24" s="657"/>
      <c r="B24" s="658"/>
      <c r="C24" s="647"/>
      <c r="D24" s="647"/>
      <c r="E24" s="649"/>
      <c r="F24" s="155" t="e">
        <f t="shared" ref="F24:O24" si="0">F4</f>
        <v>#N/A</v>
      </c>
      <c r="G24" s="155" t="e">
        <f t="shared" si="0"/>
        <v>#N/A</v>
      </c>
      <c r="H24" s="155" t="e">
        <f t="shared" si="0"/>
        <v>#N/A</v>
      </c>
      <c r="I24" s="155" t="e">
        <f t="shared" si="0"/>
        <v>#N/A</v>
      </c>
      <c r="J24" s="155" t="e">
        <f t="shared" si="0"/>
        <v>#N/A</v>
      </c>
      <c r="K24" s="155" t="e">
        <f t="shared" si="0"/>
        <v>#N/A</v>
      </c>
      <c r="L24" s="155" t="e">
        <f t="shared" si="0"/>
        <v>#N/A</v>
      </c>
      <c r="M24" s="155" t="e">
        <f t="shared" si="0"/>
        <v>#N/A</v>
      </c>
      <c r="N24" s="155" t="e">
        <f t="shared" si="0"/>
        <v>#N/A</v>
      </c>
      <c r="O24" s="155" t="e">
        <f t="shared" si="0"/>
        <v>#N/A</v>
      </c>
      <c r="P24" s="141"/>
      <c r="Q24" s="141"/>
    </row>
    <row r="25" spans="1:19" ht="14.4" customHeight="1" x14ac:dyDescent="0.3">
      <c r="A25" s="601" t="s">
        <v>60</v>
      </c>
      <c r="B25" s="601"/>
      <c r="C25" s="150" t="str">
        <f>'Quantification Tool R4'!H45</f>
        <v/>
      </c>
      <c r="D25" s="150" t="str">
        <f>'Quantification Tool R4'!H85</f>
        <v/>
      </c>
      <c r="E25" s="301" t="str">
        <f>'Monitoring Data R4'!H3</f>
        <v/>
      </c>
      <c r="F25" s="301" t="str">
        <f>'Monitoring Data R4'!H42</f>
        <v/>
      </c>
      <c r="G25" s="301" t="str">
        <f>'Monitoring Data R4'!H81</f>
        <v/>
      </c>
      <c r="H25" s="301" t="str">
        <f>'Monitoring Data R4'!H120</f>
        <v/>
      </c>
      <c r="I25" s="301" t="str">
        <f>'Monitoring Data R4'!H159</f>
        <v/>
      </c>
      <c r="J25" s="301" t="str">
        <f>'Monitoring Data R4'!H198</f>
        <v/>
      </c>
      <c r="K25" s="301" t="str">
        <f>'Monitoring Data R4'!H238</f>
        <v/>
      </c>
      <c r="L25" s="301" t="str">
        <f>'Monitoring Data R4'!H278</f>
        <v/>
      </c>
      <c r="M25" s="301" t="str">
        <f>'Monitoring Data R4'!H318</f>
        <v/>
      </c>
      <c r="N25" s="301" t="str">
        <f>'Monitoring Data R4'!H358</f>
        <v/>
      </c>
      <c r="O25" s="301" t="str">
        <f>'Monitoring Data R4'!H398</f>
        <v/>
      </c>
      <c r="P25" s="139"/>
      <c r="Q25" s="140"/>
      <c r="R25" s="138"/>
      <c r="S25" s="138"/>
    </row>
    <row r="26" spans="1:19" ht="14.4" customHeight="1" x14ac:dyDescent="0.3">
      <c r="A26" s="602" t="s">
        <v>6</v>
      </c>
      <c r="B26" s="602"/>
      <c r="C26" s="150" t="str">
        <f>'Quantification Tool R4'!H47</f>
        <v/>
      </c>
      <c r="D26" s="150" t="str">
        <f>'Quantification Tool R4'!H87</f>
        <v/>
      </c>
      <c r="E26" s="301" t="str">
        <f>'Monitoring Data R4'!H5</f>
        <v/>
      </c>
      <c r="F26" s="301" t="str">
        <f>'Monitoring Data R4'!H44</f>
        <v/>
      </c>
      <c r="G26" s="301" t="str">
        <f>'Monitoring Data R4'!H83</f>
        <v/>
      </c>
      <c r="H26" s="301" t="str">
        <f>'Monitoring Data R4'!H122</f>
        <v/>
      </c>
      <c r="I26" s="301" t="str">
        <f>'Monitoring Data R4'!H161</f>
        <v/>
      </c>
      <c r="J26" s="301" t="str">
        <f>'Monitoring Data R4'!H200</f>
        <v/>
      </c>
      <c r="K26" s="301" t="str">
        <f>'Monitoring Data R4'!H240</f>
        <v/>
      </c>
      <c r="L26" s="301" t="str">
        <f>'Monitoring Data R4'!H280</f>
        <v/>
      </c>
      <c r="M26" s="301" t="str">
        <f>'Monitoring Data R4'!H320</f>
        <v/>
      </c>
      <c r="N26" s="301" t="str">
        <f>'Monitoring Data R4'!H360</f>
        <v/>
      </c>
      <c r="O26" s="301" t="str">
        <f>'Monitoring Data R4'!H400</f>
        <v/>
      </c>
      <c r="P26" s="139"/>
      <c r="Q26" s="139"/>
      <c r="R26" s="138"/>
      <c r="S26" s="138"/>
    </row>
    <row r="27" spans="1:19" ht="14.4" customHeight="1" x14ac:dyDescent="0.3">
      <c r="A27" s="661" t="s">
        <v>26</v>
      </c>
      <c r="B27" s="661"/>
      <c r="C27" s="150" t="str">
        <f>'Quantification Tool R4'!H49</f>
        <v/>
      </c>
      <c r="D27" s="150" t="str">
        <f>'Quantification Tool R4'!H89</f>
        <v/>
      </c>
      <c r="E27" s="301" t="str">
        <f>'Monitoring Data R4'!H7</f>
        <v/>
      </c>
      <c r="F27" s="301" t="str">
        <f>'Monitoring Data R4'!H46</f>
        <v/>
      </c>
      <c r="G27" s="301" t="str">
        <f>'Monitoring Data R4'!H85</f>
        <v/>
      </c>
      <c r="H27" s="301" t="str">
        <f>'Monitoring Data R4'!H124</f>
        <v/>
      </c>
      <c r="I27" s="301" t="str">
        <f>'Monitoring Data R4'!H163</f>
        <v/>
      </c>
      <c r="J27" s="301" t="str">
        <f>'Monitoring Data R4'!H202</f>
        <v/>
      </c>
      <c r="K27" s="301" t="str">
        <f>'Monitoring Data R4'!H242</f>
        <v/>
      </c>
      <c r="L27" s="301" t="str">
        <f>'Monitoring Data R4'!H282</f>
        <v/>
      </c>
      <c r="M27" s="301" t="str">
        <f>'Monitoring Data R4'!H322</f>
        <v/>
      </c>
      <c r="N27" s="301" t="str">
        <f>'Monitoring Data R4'!H362</f>
        <v/>
      </c>
      <c r="O27" s="301" t="str">
        <f>'Monitoring Data R4'!H402</f>
        <v/>
      </c>
      <c r="P27" s="139"/>
      <c r="Q27" s="140"/>
      <c r="R27" s="138"/>
      <c r="S27" s="138"/>
    </row>
    <row r="28" spans="1:19" ht="18" x14ac:dyDescent="0.3">
      <c r="A28" s="662" t="s">
        <v>58</v>
      </c>
      <c r="B28" s="662"/>
      <c r="C28" s="150" t="str">
        <f>'Quantification Tool R4'!H71</f>
        <v/>
      </c>
      <c r="D28" s="150" t="str">
        <f>'Quantification Tool R4'!H111</f>
        <v/>
      </c>
      <c r="E28" s="301" t="str">
        <f>'Monitoring Data R4'!H29</f>
        <v/>
      </c>
      <c r="F28" s="301" t="str">
        <f>'Monitoring Data R4'!H68</f>
        <v/>
      </c>
      <c r="G28" s="301" t="str">
        <f>'Monitoring Data R4'!H107</f>
        <v/>
      </c>
      <c r="H28" s="301" t="str">
        <f>'Monitoring Data R4'!H146</f>
        <v/>
      </c>
      <c r="I28" s="301" t="str">
        <f>'Monitoring Data R4'!H185</f>
        <v/>
      </c>
      <c r="J28" s="301" t="str">
        <f>'Monitoring Data R4'!H224</f>
        <v/>
      </c>
      <c r="K28" s="301" t="str">
        <f>'Monitoring Data R4'!H264</f>
        <v/>
      </c>
      <c r="L28" s="301" t="str">
        <f>'Monitoring Data R4'!H304</f>
        <v/>
      </c>
      <c r="M28" s="301" t="str">
        <f>'Monitoring Data R4'!H344</f>
        <v/>
      </c>
      <c r="N28" s="301" t="str">
        <f>'Monitoring Data R4'!H384</f>
        <v/>
      </c>
      <c r="O28" s="301" t="str">
        <f>'Monitoring Data R4'!H424</f>
        <v/>
      </c>
      <c r="P28" s="139"/>
      <c r="Q28" s="140"/>
      <c r="R28" s="138"/>
      <c r="S28" s="138"/>
    </row>
    <row r="29" spans="1:19" ht="18" x14ac:dyDescent="0.3">
      <c r="A29" s="660" t="s">
        <v>59</v>
      </c>
      <c r="B29" s="660"/>
      <c r="C29" s="150" t="str">
        <f>'Quantification Tool R4'!H75</f>
        <v/>
      </c>
      <c r="D29" s="150" t="str">
        <f>'Quantification Tool R4'!H115</f>
        <v/>
      </c>
      <c r="E29" s="301" t="str">
        <f>'Monitoring Data R4'!H33</f>
        <v/>
      </c>
      <c r="F29" s="301" t="str">
        <f>'Monitoring Data R4'!H72</f>
        <v/>
      </c>
      <c r="G29" s="301" t="str">
        <f>'Monitoring Data R4'!H111</f>
        <v/>
      </c>
      <c r="H29" s="301" t="str">
        <f>'Monitoring Data R4'!H150</f>
        <v/>
      </c>
      <c r="I29" s="301" t="str">
        <f>'Monitoring Data R4'!H189</f>
        <v/>
      </c>
      <c r="J29" s="301" t="str">
        <f>'Monitoring Data R4'!H228</f>
        <v/>
      </c>
      <c r="K29" s="301" t="str">
        <f>'Monitoring Data R4'!H268</f>
        <v/>
      </c>
      <c r="L29" s="301" t="str">
        <f>'Monitoring Data R4'!H308</f>
        <v/>
      </c>
      <c r="M29" s="301" t="str">
        <f>'Monitoring Data R4'!H348</f>
        <v/>
      </c>
      <c r="N29" s="301" t="str">
        <f>'Monitoring Data R4'!H388</f>
        <v/>
      </c>
      <c r="O29" s="301" t="str">
        <f>'Monitoring Data R4'!H428</f>
        <v/>
      </c>
      <c r="P29" s="139"/>
      <c r="Q29" s="139"/>
      <c r="R29" s="138"/>
      <c r="S29" s="138"/>
    </row>
    <row r="30" spans="1:19" ht="18" x14ac:dyDescent="0.35">
      <c r="A30" s="659" t="s">
        <v>133</v>
      </c>
      <c r="B30" s="659"/>
      <c r="C30" s="151">
        <f>ROUND(0.2*SUM(C25:C29),2)</f>
        <v>0</v>
      </c>
      <c r="D30" s="151">
        <f>ROUND(0.2*SUM(D25:D29),2)</f>
        <v>0</v>
      </c>
      <c r="E30" s="305">
        <f t="shared" ref="E30" si="1">ROUND(0.2*SUM(E25:E29),2)</f>
        <v>0</v>
      </c>
      <c r="F30" s="142" t="e">
        <f>IF(F24="","",ROUND(0.2*SUM(F25:F29),2))</f>
        <v>#N/A</v>
      </c>
      <c r="G30" s="142" t="e">
        <f>IF(G24="","",ROUND(0.2*SUM(G25:G29),2))</f>
        <v>#N/A</v>
      </c>
      <c r="H30" s="142" t="e">
        <f>IF(H24="","",ROUND(0.2*SUM(H25:H29),2))</f>
        <v>#N/A</v>
      </c>
      <c r="I30" s="142" t="e">
        <f t="shared" ref="I30:O30" si="2">IF(I24="","",ROUND(0.2*SUM(I25:I29),2))</f>
        <v>#N/A</v>
      </c>
      <c r="J30" s="142" t="e">
        <f t="shared" si="2"/>
        <v>#N/A</v>
      </c>
      <c r="K30" s="142" t="e">
        <f t="shared" si="2"/>
        <v>#N/A</v>
      </c>
      <c r="L30" s="142" t="e">
        <f t="shared" si="2"/>
        <v>#N/A</v>
      </c>
      <c r="M30" s="142" t="e">
        <f t="shared" si="2"/>
        <v>#N/A</v>
      </c>
      <c r="N30" s="142" t="e">
        <f t="shared" si="2"/>
        <v>#N/A</v>
      </c>
      <c r="O30" s="142" t="e">
        <f t="shared" si="2"/>
        <v>#N/A</v>
      </c>
    </row>
    <row r="31" spans="1:19" ht="18" x14ac:dyDescent="0.35">
      <c r="A31" s="659" t="s">
        <v>134</v>
      </c>
      <c r="B31" s="659"/>
      <c r="C31" s="151">
        <f>ROUND(C30*'Quantification Tool R4'!B15,0)</f>
        <v>0</v>
      </c>
      <c r="D31" s="152">
        <f>ROUND(D30*'Quantification Tool R4'!$B$16,0)</f>
        <v>0</v>
      </c>
      <c r="E31" s="300">
        <f>ROUND(E30*'Quantification Tool R4'!$B$16,0)</f>
        <v>0</v>
      </c>
      <c r="F31" s="300" t="str">
        <f>IFERROR(ROUND(F30*'Quantification Tool R4'!$B$16,0),"")</f>
        <v/>
      </c>
      <c r="G31" s="300" t="str">
        <f>IFERROR(ROUND(G30*'Quantification Tool R4'!$B$16,0),"")</f>
        <v/>
      </c>
      <c r="H31" s="300" t="str">
        <f>IFERROR(ROUND(H30*'Quantification Tool R4'!$B$16,0),"")</f>
        <v/>
      </c>
      <c r="I31" s="300" t="str">
        <f>IFERROR(ROUND(I30*'Quantification Tool R4'!$B$16,0),"")</f>
        <v/>
      </c>
      <c r="J31" s="300" t="str">
        <f>IFERROR(ROUND(J30*'Quantification Tool R4'!$B$16,0),"")</f>
        <v/>
      </c>
      <c r="K31" s="300" t="str">
        <f>IFERROR(ROUND(K30*'Quantification Tool R4'!$B$16,0),"")</f>
        <v/>
      </c>
      <c r="L31" s="300" t="str">
        <f>IFERROR(ROUND(L30*'Quantification Tool R4'!$B$16,0),"")</f>
        <v/>
      </c>
      <c r="M31" s="300" t="str">
        <f>IFERROR(ROUND(M30*'Quantification Tool R4'!$B$16,0),"")</f>
        <v/>
      </c>
      <c r="N31" s="300" t="str">
        <f>IFERROR(ROUND(N30*'Quantification Tool R4'!$B$16,0),"")</f>
        <v/>
      </c>
      <c r="O31" s="300" t="str">
        <f>IFERROR(ROUND(O30*'Quantification Tool R4'!$B$16,0),"")</f>
        <v/>
      </c>
    </row>
    <row r="32" spans="1:19" ht="18" x14ac:dyDescent="0.35">
      <c r="C32" s="143"/>
    </row>
    <row r="34" spans="1:1" x14ac:dyDescent="0.3">
      <c r="A34" s="295" t="s">
        <v>136</v>
      </c>
    </row>
    <row r="35" spans="1:1" x14ac:dyDescent="0.3">
      <c r="A35" s="295" t="e">
        <f>IFERROR(O24,IFERROR(N24,IFERROR(M24,IFERROR(L24,IFERROR(K24,IFERROR(J24,IFERROR(I24,IFERROR(H24,IFERROR(G24,F24)))))))))</f>
        <v>#N/A</v>
      </c>
    </row>
  </sheetData>
  <sheetProtection password="9A90" sheet="1" objects="1" scenarios="1" selectLockedCells="1"/>
  <mergeCells count="24">
    <mergeCell ref="A2:O2"/>
    <mergeCell ref="A3:A4"/>
    <mergeCell ref="B3:B4"/>
    <mergeCell ref="C3:C4"/>
    <mergeCell ref="D3:D4"/>
    <mergeCell ref="E3:E4"/>
    <mergeCell ref="F3:O3"/>
    <mergeCell ref="A23:B24"/>
    <mergeCell ref="C23:C24"/>
    <mergeCell ref="D23:D24"/>
    <mergeCell ref="E23:E24"/>
    <mergeCell ref="F23:O23"/>
    <mergeCell ref="A5:A6"/>
    <mergeCell ref="A8:A13"/>
    <mergeCell ref="A14:A17"/>
    <mergeCell ref="A18:A19"/>
    <mergeCell ref="A22:O22"/>
    <mergeCell ref="A31:B31"/>
    <mergeCell ref="A25:B25"/>
    <mergeCell ref="A26:B26"/>
    <mergeCell ref="A27:B27"/>
    <mergeCell ref="A28:B28"/>
    <mergeCell ref="A29:B29"/>
    <mergeCell ref="A30:B30"/>
  </mergeCells>
  <conditionalFormatting sqref="A18">
    <cfRule type="beginsWith" dxfId="2339" priority="47" stopIfTrue="1" operator="beginsWith" text="Functioning At Risk">
      <formula>LEFT(A18,LEN("Functioning At Risk"))="Functioning At Risk"</formula>
    </cfRule>
    <cfRule type="beginsWith" dxfId="2338" priority="48" stopIfTrue="1" operator="beginsWith" text="Not Functioning">
      <formula>LEFT(A18,LEN("Not Functioning"))="Not Functioning"</formula>
    </cfRule>
    <cfRule type="containsText" dxfId="2337" priority="49" operator="containsText" text="Functioning">
      <formula>NOT(ISERROR(SEARCH("Functioning",A18)))</formula>
    </cfRule>
  </conditionalFormatting>
  <conditionalFormatting sqref="B18">
    <cfRule type="beginsWith" dxfId="2336" priority="41" stopIfTrue="1" operator="beginsWith" text="Functioning At Risk">
      <formula>LEFT(B18,LEN("Functioning At Risk"))="Functioning At Risk"</formula>
    </cfRule>
    <cfRule type="beginsWith" dxfId="2335" priority="42" stopIfTrue="1" operator="beginsWith" text="Not Functioning">
      <formula>LEFT(B18,LEN("Not Functioning"))="Not Functioning"</formula>
    </cfRule>
    <cfRule type="containsText" dxfId="2334" priority="43" operator="containsText" text="Functioning">
      <formula>NOT(ISERROR(SEARCH("Functioning",B18)))</formula>
    </cfRule>
  </conditionalFormatting>
  <conditionalFormatting sqref="B19">
    <cfRule type="beginsWith" dxfId="2333" priority="38" stopIfTrue="1" operator="beginsWith" text="Functioning At Risk">
      <formula>LEFT(B19,LEN("Functioning At Risk"))="Functioning At Risk"</formula>
    </cfRule>
    <cfRule type="beginsWith" dxfId="2332" priority="39" stopIfTrue="1" operator="beginsWith" text="Not Functioning">
      <formula>LEFT(B19,LEN("Not Functioning"))="Not Functioning"</formula>
    </cfRule>
    <cfRule type="containsText" dxfId="2331" priority="40" operator="containsText" text="Functioning">
      <formula>NOT(ISERROR(SEARCH("Functioning",B19)))</formula>
    </cfRule>
  </conditionalFormatting>
  <conditionalFormatting sqref="A14">
    <cfRule type="beginsWith" dxfId="2330" priority="35" stopIfTrue="1" operator="beginsWith" text="Functioning At Risk">
      <formula>LEFT(A14,LEN("Functioning At Risk"))="Functioning At Risk"</formula>
    </cfRule>
    <cfRule type="beginsWith" dxfId="2329" priority="36" stopIfTrue="1" operator="beginsWith" text="Not Functioning">
      <formula>LEFT(A14,LEN("Not Functioning"))="Not Functioning"</formula>
    </cfRule>
    <cfRule type="containsText" dxfId="2328" priority="37" operator="containsText" text="Functioning">
      <formula>NOT(ISERROR(SEARCH("Functioning",A14)))</formula>
    </cfRule>
  </conditionalFormatting>
  <conditionalFormatting sqref="C25:O29 C5:O19">
    <cfRule type="cellIs" dxfId="2327" priority="44" operator="between">
      <formula>0</formula>
      <formula>0.299999</formula>
    </cfRule>
    <cfRule type="cellIs" dxfId="2326" priority="45" operator="between">
      <formula>0.6999999</formula>
      <formula>0.3</formula>
    </cfRule>
    <cfRule type="cellIs" dxfId="2325" priority="46" operator="between">
      <formula>0.7</formula>
      <formula>1</formula>
    </cfRule>
  </conditionalFormatting>
  <conditionalFormatting sqref="Q28:S28">
    <cfRule type="beginsWith" dxfId="2324" priority="11" stopIfTrue="1" operator="beginsWith" text="Functioning At Risk">
      <formula>LEFT(Q28,LEN("Functioning At Risk"))="Functioning At Risk"</formula>
    </cfRule>
    <cfRule type="beginsWith" dxfId="2323" priority="12" stopIfTrue="1" operator="beginsWith" text="Not Functioning">
      <formula>LEFT(Q28,LEN("Not Functioning"))="Not Functioning"</formula>
    </cfRule>
    <cfRule type="containsText" dxfId="2322" priority="13" operator="containsText" text="Functioning">
      <formula>NOT(ISERROR(SEARCH("Functioning",Q28)))</formula>
    </cfRule>
  </conditionalFormatting>
  <conditionalFormatting sqref="P28">
    <cfRule type="beginsWith" dxfId="2321" priority="8" stopIfTrue="1" operator="beginsWith" text="Functioning At Risk">
      <formula>LEFT(P28,LEN("Functioning At Risk"))="Functioning At Risk"</formula>
    </cfRule>
    <cfRule type="beginsWith" dxfId="2320" priority="9" stopIfTrue="1" operator="beginsWith" text="Not Functioning">
      <formula>LEFT(P28,LEN("Not Functioning"))="Not Functioning"</formula>
    </cfRule>
    <cfRule type="containsText" dxfId="2319" priority="10" operator="containsText" text="Functioning">
      <formula>NOT(ISERROR(SEARCH("Functioning",P28)))</formula>
    </cfRule>
  </conditionalFormatting>
  <conditionalFormatting sqref="P23:P24">
    <cfRule type="beginsWith" dxfId="2318" priority="32" stopIfTrue="1" operator="beginsWith" text="Functioning At Risk">
      <formula>LEFT(P23,LEN("Functioning At Risk"))="Functioning At Risk"</formula>
    </cfRule>
    <cfRule type="beginsWith" dxfId="2317" priority="33" stopIfTrue="1" operator="beginsWith" text="Not Functioning">
      <formula>LEFT(P23,LEN("Not Functioning"))="Not Functioning"</formula>
    </cfRule>
    <cfRule type="containsText" dxfId="2316" priority="34" operator="containsText" text="Functioning">
      <formula>NOT(ISERROR(SEARCH("Functioning",P23)))</formula>
    </cfRule>
  </conditionalFormatting>
  <conditionalFormatting sqref="A22">
    <cfRule type="beginsWith" dxfId="2315" priority="29" stopIfTrue="1" operator="beginsWith" text="Functioning At Risk">
      <formula>LEFT(A22,LEN("Functioning At Risk"))="Functioning At Risk"</formula>
    </cfRule>
    <cfRule type="beginsWith" dxfId="2314" priority="30" stopIfTrue="1" operator="beginsWith" text="Not Functioning">
      <formula>LEFT(A22,LEN("Not Functioning"))="Not Functioning"</formula>
    </cfRule>
    <cfRule type="containsText" dxfId="2313" priority="31" operator="containsText" text="Functioning">
      <formula>NOT(ISERROR(SEARCH("Functioning",A22)))</formula>
    </cfRule>
  </conditionalFormatting>
  <conditionalFormatting sqref="A28">
    <cfRule type="beginsWith" dxfId="2312" priority="26" stopIfTrue="1" operator="beginsWith" text="Functioning At Risk">
      <formula>LEFT(A28,LEN("Functioning At Risk"))="Functioning At Risk"</formula>
    </cfRule>
    <cfRule type="beginsWith" dxfId="2311" priority="27" stopIfTrue="1" operator="beginsWith" text="Not Functioning">
      <formula>LEFT(A28,LEN("Not Functioning"))="Not Functioning"</formula>
    </cfRule>
    <cfRule type="containsText" dxfId="2310" priority="28" operator="containsText" text="Functioning">
      <formula>NOT(ISERROR(SEARCH("Functioning",A28)))</formula>
    </cfRule>
  </conditionalFormatting>
  <conditionalFormatting sqref="A27">
    <cfRule type="beginsWith" dxfId="2309" priority="23" stopIfTrue="1" operator="beginsWith" text="Functioning At Risk">
      <formula>LEFT(A27,LEN("Functioning At Risk"))="Functioning At Risk"</formula>
    </cfRule>
    <cfRule type="beginsWith" dxfId="2308" priority="24" stopIfTrue="1" operator="beginsWith" text="Not Functioning">
      <formula>LEFT(A27,LEN("Not Functioning"))="Not Functioning"</formula>
    </cfRule>
    <cfRule type="containsText" dxfId="2307" priority="25" operator="containsText" text="Functioning">
      <formula>NOT(ISERROR(SEARCH("Functioning",A27)))</formula>
    </cfRule>
  </conditionalFormatting>
  <conditionalFormatting sqref="A26">
    <cfRule type="beginsWith" dxfId="2306" priority="20" stopIfTrue="1" operator="beginsWith" text="Functioning At Risk">
      <formula>LEFT(A26,LEN("Functioning At Risk"))="Functioning At Risk"</formula>
    </cfRule>
    <cfRule type="beginsWith" dxfId="2305" priority="21" stopIfTrue="1" operator="beginsWith" text="Not Functioning">
      <formula>LEFT(A26,LEN("Not Functioning"))="Not Functioning"</formula>
    </cfRule>
    <cfRule type="containsText" dxfId="2304" priority="22" operator="containsText" text="Functioning">
      <formula>NOT(ISERROR(SEARCH("Functioning",A26)))</formula>
    </cfRule>
  </conditionalFormatting>
  <conditionalFormatting sqref="A29">
    <cfRule type="beginsWith" dxfId="2303" priority="17" stopIfTrue="1" operator="beginsWith" text="Functioning At Risk">
      <formula>LEFT(A29,LEN("Functioning At Risk"))="Functioning At Risk"</formula>
    </cfRule>
    <cfRule type="beginsWith" dxfId="2302" priority="18" stopIfTrue="1" operator="beginsWith" text="Not Functioning">
      <formula>LEFT(A29,LEN("Not Functioning"))="Not Functioning"</formula>
    </cfRule>
    <cfRule type="containsText" dxfId="2301" priority="19" operator="containsText" text="Functioning">
      <formula>NOT(ISERROR(SEARCH("Functioning",A29)))</formula>
    </cfRule>
  </conditionalFormatting>
  <conditionalFormatting sqref="P29:S29 P26:S27">
    <cfRule type="beginsWith" dxfId="2300" priority="14" stopIfTrue="1" operator="beginsWith" text="Functioning At Risk">
      <formula>LEFT(P26,LEN("Functioning At Risk"))="Functioning At Risk"</formula>
    </cfRule>
    <cfRule type="beginsWith" dxfId="2299" priority="15" stopIfTrue="1" operator="beginsWith" text="Not Functioning">
      <formula>LEFT(P26,LEN("Not Functioning"))="Not Functioning"</formula>
    </cfRule>
    <cfRule type="containsText" dxfId="2298" priority="16" operator="containsText" text="Functioning">
      <formula>NOT(ISERROR(SEARCH("Functioning",P26)))</formula>
    </cfRule>
  </conditionalFormatting>
  <conditionalFormatting sqref="F4:O4">
    <cfRule type="containsErrors" dxfId="2297" priority="7">
      <formula>ISERROR(F4)</formula>
    </cfRule>
  </conditionalFormatting>
  <conditionalFormatting sqref="F24:O24">
    <cfRule type="containsErrors" dxfId="2296" priority="6">
      <formula>ISERROR(F24)</formula>
    </cfRule>
  </conditionalFormatting>
  <conditionalFormatting sqref="E30:O30">
    <cfRule type="containsErrors" dxfId="2295" priority="5">
      <formula>ISERROR(E30)</formula>
    </cfRule>
  </conditionalFormatting>
  <conditionalFormatting sqref="B16:B17 B14">
    <cfRule type="beginsWith" dxfId="2294" priority="2" stopIfTrue="1" operator="beginsWith" text="Functioning At Risk">
      <formula>LEFT(B14,LEN("Functioning At Risk"))="Functioning At Risk"</formula>
    </cfRule>
    <cfRule type="beginsWith" dxfId="2293" priority="3" stopIfTrue="1" operator="beginsWith" text="Not Functioning">
      <formula>LEFT(B14,LEN("Not Functioning"))="Not Functioning"</formula>
    </cfRule>
    <cfRule type="containsText" dxfId="2292" priority="4" operator="containsText" text="Functioning">
      <formula>NOT(ISERROR(SEARCH("Functioning",B14)))</formula>
    </cfRule>
  </conditionalFormatting>
  <pageMargins left="0.7" right="0.7" top="0.75" bottom="0.75" header="0.3" footer="0.3"/>
  <pageSetup paperSize="3" orientation="landscape" r:id="rId1"/>
  <headerFooter>
    <oddHeader>&amp;C&amp;"-,Bold"TN SQT v1.0
Data Summary Spreadsheet Reach 4</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90B26FC4-3878-4CF5-B1B9-469063D181F4}">
            <xm:f>'Quantification Tool R4'!$B$18="Ephemeral"</xm:f>
            <x14:dxf>
              <fill>
                <patternFill patternType="darkDown"/>
              </fill>
            </x14:dxf>
          </x14:cfRule>
          <xm:sqref>C7:O7 C11:O19 C26:O26 C28:O29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0"/>
  <sheetViews>
    <sheetView topLeftCell="A5" zoomScale="70" zoomScaleNormal="70" zoomScalePageLayoutView="70" workbookViewId="0">
      <selection activeCell="E44" sqref="E44"/>
    </sheetView>
  </sheetViews>
  <sheetFormatPr defaultColWidth="9.109375" defaultRowHeight="14.4" x14ac:dyDescent="0.3"/>
  <cols>
    <col min="1" max="1" width="30.6640625" style="14" customWidth="1"/>
    <col min="2" max="2" width="30.88671875" style="14" customWidth="1"/>
    <col min="3" max="4" width="24" style="14" customWidth="1"/>
    <col min="5" max="5" width="21.6640625" style="14" customWidth="1"/>
    <col min="6" max="7" width="14" style="14" customWidth="1"/>
    <col min="8" max="8" width="13.109375" style="14" customWidth="1"/>
    <col min="9" max="9" width="13.109375" style="316" customWidth="1"/>
    <col min="10" max="10" width="9.6640625" style="14" customWidth="1"/>
    <col min="11" max="11" width="12.44140625" style="316" customWidth="1"/>
    <col min="12" max="12" width="18.5546875" style="14" customWidth="1"/>
    <col min="13" max="13" width="13.6640625" style="14" customWidth="1"/>
    <col min="14" max="16384" width="9.109375" style="14"/>
  </cols>
  <sheetData>
    <row r="1" spans="1:11" ht="21" x14ac:dyDescent="0.4">
      <c r="A1" s="700" t="s">
        <v>438</v>
      </c>
      <c r="B1" s="701"/>
      <c r="D1" s="544" t="s">
        <v>64</v>
      </c>
      <c r="E1" s="545"/>
      <c r="F1" s="545"/>
      <c r="G1" s="545"/>
      <c r="H1" s="545"/>
      <c r="I1" s="545"/>
      <c r="J1" s="546"/>
    </row>
    <row r="2" spans="1:11" ht="15.6" x14ac:dyDescent="0.3">
      <c r="A2" s="702"/>
      <c r="B2" s="703"/>
      <c r="D2" s="613" t="s">
        <v>65</v>
      </c>
      <c r="E2" s="614"/>
      <c r="F2" s="614"/>
      <c r="G2" s="614"/>
      <c r="H2" s="614"/>
      <c r="I2" s="614"/>
      <c r="J2" s="615"/>
    </row>
    <row r="3" spans="1:11" ht="15.75" customHeight="1" x14ac:dyDescent="0.3">
      <c r="A3" s="704"/>
      <c r="B3" s="705"/>
      <c r="D3" s="619" t="s">
        <v>138</v>
      </c>
      <c r="E3" s="620"/>
      <c r="F3" s="620"/>
      <c r="G3" s="620"/>
      <c r="H3" s="620"/>
      <c r="I3" s="620"/>
      <c r="J3" s="621"/>
    </row>
    <row r="4" spans="1:11" ht="15.6" x14ac:dyDescent="0.3">
      <c r="A4" s="42" t="s">
        <v>109</v>
      </c>
      <c r="B4" s="43"/>
      <c r="D4" s="622" t="s">
        <v>137</v>
      </c>
      <c r="E4" s="623"/>
      <c r="F4" s="623"/>
      <c r="G4" s="623"/>
      <c r="H4" s="623"/>
      <c r="I4" s="623"/>
      <c r="J4" s="624"/>
    </row>
    <row r="5" spans="1:11" ht="15.6" x14ac:dyDescent="0.3">
      <c r="A5" s="42" t="s">
        <v>100</v>
      </c>
      <c r="B5" s="43"/>
      <c r="D5" s="616" t="s">
        <v>390</v>
      </c>
      <c r="E5" s="617"/>
      <c r="F5" s="617"/>
      <c r="G5" s="617"/>
      <c r="H5" s="617"/>
      <c r="I5" s="617"/>
      <c r="J5" s="618"/>
    </row>
    <row r="6" spans="1:11" ht="15.6" x14ac:dyDescent="0.3">
      <c r="A6" s="335" t="s">
        <v>434</v>
      </c>
      <c r="B6" s="43"/>
      <c r="D6" s="362"/>
      <c r="E6" s="362"/>
      <c r="F6" s="362"/>
      <c r="G6" s="362"/>
      <c r="H6" s="362"/>
      <c r="I6" s="362"/>
      <c r="J6" s="362"/>
    </row>
    <row r="7" spans="1:11" ht="15.6" x14ac:dyDescent="0.3">
      <c r="A7" s="335" t="s">
        <v>435</v>
      </c>
      <c r="B7" s="43"/>
      <c r="D7" s="362"/>
      <c r="E7" s="362"/>
      <c r="F7" s="362"/>
      <c r="G7" s="362"/>
      <c r="H7" s="362"/>
      <c r="I7" s="362"/>
      <c r="J7" s="362"/>
    </row>
    <row r="8" spans="1:11" ht="15.6" x14ac:dyDescent="0.3">
      <c r="A8" s="335" t="s">
        <v>436</v>
      </c>
      <c r="B8" s="43"/>
      <c r="D8" s="362"/>
      <c r="E8" s="362"/>
      <c r="F8" s="362"/>
      <c r="G8" s="362"/>
      <c r="H8" s="362"/>
      <c r="I8" s="362"/>
      <c r="J8" s="362"/>
    </row>
    <row r="9" spans="1:11" ht="15.6" x14ac:dyDescent="0.3">
      <c r="A9" s="335" t="s">
        <v>437</v>
      </c>
      <c r="B9" s="43"/>
      <c r="D9" s="362"/>
      <c r="E9" s="362"/>
      <c r="F9" s="362"/>
      <c r="G9" s="362"/>
      <c r="H9" s="362"/>
      <c r="I9" s="362"/>
      <c r="J9" s="362"/>
    </row>
    <row r="10" spans="1:11" ht="16.2" thickBot="1" x14ac:dyDescent="0.35">
      <c r="A10" s="42" t="s">
        <v>101</v>
      </c>
      <c r="B10" s="161"/>
      <c r="C10" s="13"/>
    </row>
    <row r="11" spans="1:11" ht="19.95" customHeight="1" x14ac:dyDescent="0.4">
      <c r="A11" s="42" t="s">
        <v>329</v>
      </c>
      <c r="B11" s="161"/>
      <c r="C11" s="13"/>
      <c r="D11" s="544" t="s">
        <v>63</v>
      </c>
      <c r="E11" s="545"/>
      <c r="F11" s="546"/>
      <c r="H11" s="605" t="s">
        <v>400</v>
      </c>
      <c r="I11" s="606"/>
      <c r="J11" s="607"/>
      <c r="K11" s="318"/>
    </row>
    <row r="12" spans="1:11" ht="21.6" thickBot="1" x14ac:dyDescent="0.45">
      <c r="A12" s="42" t="s">
        <v>363</v>
      </c>
      <c r="B12" s="161"/>
      <c r="C12" s="40"/>
      <c r="D12" s="88" t="s">
        <v>116</v>
      </c>
      <c r="E12" s="89"/>
      <c r="F12" s="303" t="str">
        <f>IFERROR(ROUND(J44,2),"")</f>
        <v/>
      </c>
      <c r="G12" s="114"/>
      <c r="H12" s="331" t="str">
        <f>F20</f>
        <v/>
      </c>
      <c r="I12" s="666" t="s">
        <v>401</v>
      </c>
      <c r="J12" s="667"/>
      <c r="K12" s="319"/>
    </row>
    <row r="13" spans="1:11" ht="15.6" x14ac:dyDescent="0.3">
      <c r="A13" s="42" t="s">
        <v>17</v>
      </c>
      <c r="B13" s="43"/>
      <c r="C13" s="40"/>
      <c r="D13" s="90" t="s">
        <v>117</v>
      </c>
      <c r="E13" s="91"/>
      <c r="F13" s="303" t="str">
        <f>IFERROR(ROUND(J84,2),"")</f>
        <v/>
      </c>
      <c r="G13" s="117"/>
      <c r="H13" s="176"/>
      <c r="I13" s="321"/>
      <c r="J13" s="21"/>
      <c r="K13" s="319"/>
    </row>
    <row r="14" spans="1:11" ht="15.6" x14ac:dyDescent="0.3">
      <c r="A14" s="42" t="s">
        <v>85</v>
      </c>
      <c r="B14" s="161"/>
      <c r="C14" s="40"/>
      <c r="D14" s="603" t="s">
        <v>396</v>
      </c>
      <c r="E14" s="604"/>
      <c r="F14" s="113" t="str">
        <f>IFERROR(F13-F12,"")</f>
        <v/>
      </c>
      <c r="G14" s="117"/>
      <c r="H14" s="176"/>
      <c r="I14" s="321"/>
      <c r="J14" s="21"/>
      <c r="K14" s="319"/>
    </row>
    <row r="15" spans="1:11" ht="15.6" x14ac:dyDescent="0.3">
      <c r="A15" s="42" t="s">
        <v>341</v>
      </c>
      <c r="B15" s="43"/>
      <c r="C15" s="41"/>
      <c r="D15" s="88" t="s">
        <v>343</v>
      </c>
      <c r="E15" s="89"/>
      <c r="F15" s="46" t="str">
        <f>IF(B15="","",B15)</f>
        <v/>
      </c>
      <c r="G15" s="118"/>
      <c r="H15" s="178"/>
      <c r="I15" s="323"/>
      <c r="J15" s="178"/>
      <c r="K15" s="320"/>
    </row>
    <row r="16" spans="1:11" ht="15.6" x14ac:dyDescent="0.3">
      <c r="A16" s="42" t="s">
        <v>342</v>
      </c>
      <c r="B16" s="43"/>
      <c r="C16" s="40"/>
      <c r="D16" s="88" t="s">
        <v>344</v>
      </c>
      <c r="E16" s="89"/>
      <c r="F16" s="46" t="str">
        <f>IF(B16="","",B16)</f>
        <v/>
      </c>
      <c r="G16" s="117"/>
      <c r="H16" s="21"/>
      <c r="I16" s="321"/>
      <c r="J16" s="21"/>
      <c r="K16" s="321"/>
    </row>
    <row r="17" spans="1:12" ht="15.6" x14ac:dyDescent="0.3">
      <c r="A17" s="42" t="s">
        <v>209</v>
      </c>
      <c r="B17" s="43"/>
      <c r="C17" s="41"/>
      <c r="D17" s="80" t="s">
        <v>345</v>
      </c>
      <c r="E17" s="81"/>
      <c r="F17" s="46" t="str">
        <f>IFERROR(F16-F15,"")</f>
        <v/>
      </c>
      <c r="G17" s="117"/>
      <c r="H17" s="21"/>
      <c r="I17" s="321"/>
      <c r="J17" s="21"/>
      <c r="K17" s="321"/>
    </row>
    <row r="18" spans="1:12" ht="16.2" customHeight="1" x14ac:dyDescent="0.4">
      <c r="A18" s="335" t="s">
        <v>403</v>
      </c>
      <c r="B18" s="336"/>
      <c r="C18" s="41"/>
      <c r="D18" s="80" t="s">
        <v>397</v>
      </c>
      <c r="E18" s="81"/>
      <c r="F18" s="47" t="str">
        <f>IFERROR(F12*F15,"")</f>
        <v/>
      </c>
      <c r="G18" s="117"/>
      <c r="H18" s="114"/>
      <c r="I18" s="318"/>
      <c r="J18" s="114"/>
      <c r="K18" s="318"/>
    </row>
    <row r="19" spans="1:12" ht="16.2" thickBot="1" x14ac:dyDescent="0.35">
      <c r="A19" s="44" t="s">
        <v>119</v>
      </c>
      <c r="B19" s="161"/>
      <c r="C19" s="40"/>
      <c r="D19" s="92" t="s">
        <v>398</v>
      </c>
      <c r="E19" s="93"/>
      <c r="F19" s="328" t="str">
        <f>IFERROR(F16*F13,"")</f>
        <v/>
      </c>
      <c r="G19" s="116"/>
      <c r="H19" s="176"/>
      <c r="I19" s="321"/>
      <c r="J19" s="21"/>
      <c r="K19" s="319"/>
    </row>
    <row r="20" spans="1:12" ht="16.2" thickBot="1" x14ac:dyDescent="0.35">
      <c r="A20" s="181" t="s">
        <v>186</v>
      </c>
      <c r="B20" s="161"/>
      <c r="C20" s="41"/>
      <c r="D20" s="327" t="s">
        <v>399</v>
      </c>
      <c r="E20" s="329"/>
      <c r="F20" s="330" t="str">
        <f>IFERROR(F19-F18,"")</f>
        <v/>
      </c>
      <c r="G20" s="116"/>
      <c r="H20" s="176"/>
      <c r="I20" s="321"/>
      <c r="J20" s="21"/>
      <c r="K20" s="319"/>
    </row>
    <row r="21" spans="1:12" ht="15.6" x14ac:dyDescent="0.3">
      <c r="A21" s="42" t="s">
        <v>316</v>
      </c>
      <c r="B21" s="161"/>
      <c r="C21" s="41"/>
      <c r="G21" s="116"/>
      <c r="H21" s="118"/>
      <c r="I21" s="321"/>
      <c r="J21" s="21"/>
      <c r="K21" s="319"/>
    </row>
    <row r="22" spans="1:12" ht="23.4" x14ac:dyDescent="0.45">
      <c r="C22" s="41"/>
      <c r="D22" s="628" t="str">
        <f>IF(OR(C28="",C30="",C31="",C33="",D28="",D30="",D31="",D33=""),"WARNING: Sufficient data are not provided.","")</f>
        <v>WARNING: Sufficient data are not provided.</v>
      </c>
      <c r="E22" s="628"/>
      <c r="F22" s="628"/>
      <c r="G22" s="628"/>
      <c r="H22" s="628"/>
      <c r="I22" s="628"/>
      <c r="J22" s="628"/>
      <c r="K22" s="628"/>
      <c r="L22" s="21"/>
    </row>
    <row r="23" spans="1:12" ht="30.75" customHeight="1" x14ac:dyDescent="0.3">
      <c r="A23" s="625" t="s">
        <v>118</v>
      </c>
      <c r="B23" s="626"/>
      <c r="C23" s="626"/>
      <c r="D23" s="627"/>
      <c r="E23" s="120"/>
      <c r="F23" s="629" t="s">
        <v>102</v>
      </c>
      <c r="G23" s="629"/>
      <c r="H23" s="629"/>
      <c r="I23" s="629"/>
      <c r="J23" s="629"/>
      <c r="K23" s="629"/>
    </row>
    <row r="24" spans="1:12" ht="15" customHeight="1" x14ac:dyDescent="0.3">
      <c r="A24" s="532" t="s">
        <v>1</v>
      </c>
      <c r="B24" s="532" t="s">
        <v>2</v>
      </c>
      <c r="C24" s="642" t="s">
        <v>66</v>
      </c>
      <c r="D24" s="642" t="s">
        <v>67</v>
      </c>
      <c r="E24" s="121"/>
      <c r="F24" s="527" t="s">
        <v>103</v>
      </c>
      <c r="G24" s="527"/>
      <c r="H24" s="527" t="s">
        <v>104</v>
      </c>
      <c r="I24" s="671" t="s">
        <v>105</v>
      </c>
      <c r="J24" s="527" t="s">
        <v>106</v>
      </c>
      <c r="K24" s="527"/>
    </row>
    <row r="25" spans="1:12" ht="15" customHeight="1" x14ac:dyDescent="0.3">
      <c r="A25" s="533"/>
      <c r="B25" s="533"/>
      <c r="C25" s="643"/>
      <c r="D25" s="643"/>
      <c r="E25" s="121"/>
      <c r="F25" s="527"/>
      <c r="G25" s="527"/>
      <c r="H25" s="527"/>
      <c r="I25" s="671"/>
      <c r="J25" s="527"/>
      <c r="K25" s="527"/>
    </row>
    <row r="26" spans="1:12" ht="15.75" customHeight="1" x14ac:dyDescent="0.3">
      <c r="A26" s="540" t="s">
        <v>60</v>
      </c>
      <c r="B26" s="75" t="s">
        <v>86</v>
      </c>
      <c r="C26" s="48" t="str">
        <f>G44</f>
        <v/>
      </c>
      <c r="D26" s="48" t="str">
        <f>G84</f>
        <v/>
      </c>
      <c r="E26" s="122"/>
      <c r="F26" s="601" t="s">
        <v>60</v>
      </c>
      <c r="G26" s="601"/>
      <c r="H26" s="591" t="str">
        <f>H44</f>
        <v/>
      </c>
      <c r="I26" s="668" t="str">
        <f>H84</f>
        <v/>
      </c>
      <c r="J26" s="591" t="str">
        <f>IFERROR(ROUND(I26-H26,2),"")</f>
        <v/>
      </c>
      <c r="K26" s="591"/>
    </row>
    <row r="27" spans="1:12" ht="17.25" customHeight="1" x14ac:dyDescent="0.3">
      <c r="A27" s="571"/>
      <c r="B27" s="75" t="s">
        <v>128</v>
      </c>
      <c r="C27" s="48" t="str">
        <f>G45</f>
        <v/>
      </c>
      <c r="D27" s="48" t="str">
        <f>G85</f>
        <v/>
      </c>
      <c r="E27" s="122"/>
      <c r="F27" s="601"/>
      <c r="G27" s="601"/>
      <c r="H27" s="591"/>
      <c r="I27" s="668"/>
      <c r="J27" s="591"/>
      <c r="K27" s="591"/>
    </row>
    <row r="28" spans="1:12" ht="15.75" customHeight="1" x14ac:dyDescent="0.3">
      <c r="A28" s="76" t="s">
        <v>6</v>
      </c>
      <c r="B28" s="76" t="s">
        <v>7</v>
      </c>
      <c r="C28" s="48" t="str">
        <f>G46</f>
        <v/>
      </c>
      <c r="D28" s="48" t="str">
        <f>G86</f>
        <v/>
      </c>
      <c r="E28" s="122"/>
      <c r="F28" s="601"/>
      <c r="G28" s="601"/>
      <c r="H28" s="591"/>
      <c r="I28" s="668"/>
      <c r="J28" s="591"/>
      <c r="K28" s="591"/>
    </row>
    <row r="29" spans="1:12" ht="15.75" customHeight="1" x14ac:dyDescent="0.3">
      <c r="A29" s="526" t="s">
        <v>26</v>
      </c>
      <c r="B29" s="77" t="s">
        <v>27</v>
      </c>
      <c r="C29" s="48" t="str">
        <f>G48</f>
        <v/>
      </c>
      <c r="D29" s="48" t="str">
        <f>G88</f>
        <v/>
      </c>
      <c r="E29" s="122"/>
      <c r="F29" s="602" t="s">
        <v>6</v>
      </c>
      <c r="G29" s="602"/>
      <c r="H29" s="591" t="str">
        <f>H46</f>
        <v/>
      </c>
      <c r="I29" s="668" t="str">
        <f>H86</f>
        <v/>
      </c>
      <c r="J29" s="591" t="str">
        <f>IFERROR(ROUND(I29-H29,2),"")</f>
        <v/>
      </c>
      <c r="K29" s="591"/>
    </row>
    <row r="30" spans="1:12" ht="15.75" customHeight="1" x14ac:dyDescent="0.3">
      <c r="A30" s="520"/>
      <c r="B30" s="77" t="s">
        <v>395</v>
      </c>
      <c r="C30" s="48" t="str">
        <f>G50</f>
        <v/>
      </c>
      <c r="D30" s="48" t="str">
        <f>G90</f>
        <v/>
      </c>
      <c r="E30" s="122"/>
      <c r="F30" s="602"/>
      <c r="G30" s="602"/>
      <c r="H30" s="591"/>
      <c r="I30" s="668"/>
      <c r="J30" s="591"/>
      <c r="K30" s="591"/>
    </row>
    <row r="31" spans="1:12" ht="15.75" customHeight="1" x14ac:dyDescent="0.3">
      <c r="A31" s="520"/>
      <c r="B31" s="77" t="s">
        <v>50</v>
      </c>
      <c r="C31" s="48" t="str">
        <f>G54</f>
        <v/>
      </c>
      <c r="D31" s="48" t="str">
        <f>G94</f>
        <v/>
      </c>
      <c r="E31" s="122"/>
      <c r="F31" s="602"/>
      <c r="G31" s="602"/>
      <c r="H31" s="591"/>
      <c r="I31" s="668"/>
      <c r="J31" s="591"/>
      <c r="K31" s="591"/>
    </row>
    <row r="32" spans="1:12" ht="15.75" customHeight="1" x14ac:dyDescent="0.3">
      <c r="A32" s="520"/>
      <c r="B32" s="77" t="s">
        <v>107</v>
      </c>
      <c r="C32" s="48" t="str">
        <f>G64</f>
        <v/>
      </c>
      <c r="D32" s="48" t="str">
        <f>G104</f>
        <v/>
      </c>
      <c r="E32" s="122"/>
      <c r="F32" s="592" t="s">
        <v>26</v>
      </c>
      <c r="G32" s="593"/>
      <c r="H32" s="598" t="str">
        <f>H48</f>
        <v/>
      </c>
      <c r="I32" s="663" t="str">
        <f>H88</f>
        <v/>
      </c>
      <c r="J32" s="585" t="str">
        <f>IFERROR(ROUND(I32-H32,2),"")</f>
        <v/>
      </c>
      <c r="K32" s="586"/>
    </row>
    <row r="33" spans="1:15" ht="15.75" customHeight="1" x14ac:dyDescent="0.3">
      <c r="A33" s="520"/>
      <c r="B33" s="77" t="s">
        <v>51</v>
      </c>
      <c r="C33" s="48" t="str">
        <f>G65</f>
        <v/>
      </c>
      <c r="D33" s="48" t="str">
        <f>G105</f>
        <v/>
      </c>
      <c r="E33" s="122"/>
      <c r="F33" s="594"/>
      <c r="G33" s="595"/>
      <c r="H33" s="599"/>
      <c r="I33" s="664"/>
      <c r="J33" s="587"/>
      <c r="K33" s="588"/>
    </row>
    <row r="34" spans="1:15" ht="15.75" customHeight="1" x14ac:dyDescent="0.3">
      <c r="A34" s="521"/>
      <c r="B34" s="77" t="s">
        <v>54</v>
      </c>
      <c r="C34" s="48" t="str">
        <f t="shared" ref="C34:C35" si="0">G69</f>
        <v/>
      </c>
      <c r="D34" s="48" t="str">
        <f t="shared" ref="D34:D35" si="1">G109</f>
        <v/>
      </c>
      <c r="E34" s="122"/>
      <c r="F34" s="596"/>
      <c r="G34" s="597"/>
      <c r="H34" s="600"/>
      <c r="I34" s="665"/>
      <c r="J34" s="589"/>
      <c r="K34" s="590"/>
    </row>
    <row r="35" spans="1:15" ht="15.75" customHeight="1" x14ac:dyDescent="0.3">
      <c r="A35" s="537" t="s">
        <v>58</v>
      </c>
      <c r="B35" s="290" t="s">
        <v>88</v>
      </c>
      <c r="C35" s="48" t="str">
        <f t="shared" si="0"/>
        <v/>
      </c>
      <c r="D35" s="48" t="str">
        <f t="shared" si="1"/>
        <v/>
      </c>
      <c r="E35" s="122"/>
      <c r="F35" s="630" t="s">
        <v>58</v>
      </c>
      <c r="G35" s="631"/>
      <c r="H35" s="598" t="str">
        <f>H70</f>
        <v/>
      </c>
      <c r="I35" s="663" t="str">
        <f>H110</f>
        <v/>
      </c>
      <c r="J35" s="585" t="str">
        <f>IFERROR(ROUND(I35-H35,2),"")</f>
        <v/>
      </c>
      <c r="K35" s="586"/>
    </row>
    <row r="36" spans="1:15" ht="15.75" customHeight="1" x14ac:dyDescent="0.3">
      <c r="A36" s="538"/>
      <c r="B36" s="297" t="s">
        <v>362</v>
      </c>
      <c r="C36" s="48" t="str">
        <f>G71</f>
        <v/>
      </c>
      <c r="D36" s="48" t="str">
        <f>G111</f>
        <v/>
      </c>
      <c r="E36" s="122"/>
      <c r="F36" s="632"/>
      <c r="G36" s="633"/>
      <c r="H36" s="599"/>
      <c r="I36" s="664"/>
      <c r="J36" s="587"/>
      <c r="K36" s="588"/>
    </row>
    <row r="37" spans="1:15" ht="15.75" customHeight="1" x14ac:dyDescent="0.3">
      <c r="A37" s="538"/>
      <c r="B37" s="290" t="s">
        <v>81</v>
      </c>
      <c r="C37" s="48" t="str">
        <f>G72</f>
        <v/>
      </c>
      <c r="D37" s="48" t="str">
        <f>G112</f>
        <v/>
      </c>
      <c r="E37" s="122"/>
      <c r="F37" s="634"/>
      <c r="G37" s="635"/>
      <c r="H37" s="600"/>
      <c r="I37" s="665"/>
      <c r="J37" s="589"/>
      <c r="K37" s="590"/>
      <c r="L37" s="18"/>
    </row>
    <row r="38" spans="1:15" ht="15.75" customHeight="1" x14ac:dyDescent="0.3">
      <c r="A38" s="539"/>
      <c r="B38" s="290" t="s">
        <v>82</v>
      </c>
      <c r="C38" s="48" t="str">
        <f>G73</f>
        <v/>
      </c>
      <c r="D38" s="48" t="str">
        <f>G113</f>
        <v/>
      </c>
      <c r="E38" s="122"/>
      <c r="F38" s="636" t="s">
        <v>59</v>
      </c>
      <c r="G38" s="637"/>
      <c r="H38" s="598" t="str">
        <f>H74</f>
        <v/>
      </c>
      <c r="I38" s="663" t="str">
        <f>H114</f>
        <v/>
      </c>
      <c r="J38" s="585" t="str">
        <f>IFERROR(I38-H38,"")</f>
        <v/>
      </c>
      <c r="K38" s="586"/>
      <c r="L38" s="21"/>
    </row>
    <row r="39" spans="1:15" ht="15.75" customHeight="1" x14ac:dyDescent="0.3">
      <c r="A39" s="550" t="s">
        <v>59</v>
      </c>
      <c r="B39" s="78" t="s">
        <v>340</v>
      </c>
      <c r="C39" s="48" t="str">
        <f>G74</f>
        <v/>
      </c>
      <c r="D39" s="48" t="str">
        <f>G114</f>
        <v/>
      </c>
      <c r="E39" s="122"/>
      <c r="F39" s="638"/>
      <c r="G39" s="639"/>
      <c r="H39" s="599"/>
      <c r="I39" s="664"/>
      <c r="J39" s="587"/>
      <c r="K39" s="588"/>
    </row>
    <row r="40" spans="1:15" ht="15.6" customHeight="1" x14ac:dyDescent="0.3">
      <c r="A40" s="551"/>
      <c r="B40" s="78" t="s">
        <v>74</v>
      </c>
      <c r="C40" s="48" t="str">
        <f>G78</f>
        <v/>
      </c>
      <c r="D40" s="48" t="str">
        <f>G118</f>
        <v/>
      </c>
      <c r="E40" s="122"/>
      <c r="F40" s="640"/>
      <c r="G40" s="641"/>
      <c r="H40" s="600"/>
      <c r="I40" s="665"/>
      <c r="J40" s="589"/>
      <c r="K40" s="590"/>
    </row>
    <row r="41" spans="1:15" ht="15" customHeight="1" x14ac:dyDescent="0.3">
      <c r="A41" s="1"/>
      <c r="B41" s="13"/>
      <c r="C41" s="13"/>
      <c r="D41" s="13"/>
      <c r="E41" s="13"/>
      <c r="F41" s="13"/>
      <c r="G41" s="13"/>
      <c r="H41" s="36"/>
      <c r="I41" s="322"/>
      <c r="J41" s="36"/>
      <c r="K41" s="322"/>
      <c r="L41" s="21"/>
    </row>
    <row r="42" spans="1:15" ht="21" x14ac:dyDescent="0.4">
      <c r="A42" s="544" t="s">
        <v>56</v>
      </c>
      <c r="B42" s="545"/>
      <c r="C42" s="545"/>
      <c r="D42" s="545"/>
      <c r="E42" s="545"/>
      <c r="F42" s="546"/>
      <c r="G42" s="544" t="s">
        <v>18</v>
      </c>
      <c r="H42" s="545"/>
      <c r="I42" s="545"/>
      <c r="J42" s="545"/>
      <c r="K42" s="546"/>
      <c r="L42" s="21"/>
    </row>
    <row r="43" spans="1:15" ht="15.6" x14ac:dyDescent="0.3">
      <c r="A43" s="158" t="s">
        <v>1</v>
      </c>
      <c r="B43" s="158" t="s">
        <v>2</v>
      </c>
      <c r="C43" s="542" t="s">
        <v>3</v>
      </c>
      <c r="D43" s="543"/>
      <c r="E43" s="158" t="s">
        <v>15</v>
      </c>
      <c r="F43" s="302" t="s">
        <v>16</v>
      </c>
      <c r="G43" s="158" t="s">
        <v>19</v>
      </c>
      <c r="H43" s="158" t="s">
        <v>20</v>
      </c>
      <c r="I43" s="314" t="s">
        <v>20</v>
      </c>
      <c r="J43" s="158" t="s">
        <v>104</v>
      </c>
      <c r="K43" s="315" t="s">
        <v>104</v>
      </c>
      <c r="L43" s="21"/>
    </row>
    <row r="44" spans="1:15" ht="15.6" x14ac:dyDescent="0.3">
      <c r="A44" s="540" t="s">
        <v>60</v>
      </c>
      <c r="B44" s="299" t="s">
        <v>86</v>
      </c>
      <c r="C44" s="52" t="s">
        <v>388</v>
      </c>
      <c r="D44" s="52"/>
      <c r="E44" s="162"/>
      <c r="F44" s="338" t="str">
        <f>IF(E44="","",IF(E44&lt;=0,0,IF(E44&gt;=0.95,1,ROUND('Reference Standards'!C$14*E44+'Reference Standards'!C$15,2))))</f>
        <v/>
      </c>
      <c r="G44" s="83" t="str">
        <f>IFERROR(AVERAGE(F44),"")</f>
        <v/>
      </c>
      <c r="H44" s="522" t="str">
        <f>IFERROR(ROUND(AVERAGE(G44:G45),2),"")</f>
        <v/>
      </c>
      <c r="I44" s="519" t="str">
        <f>IF(H44="","",IF(H44&gt;0.69,"Functioning",IF(H44&gt;0.29,"Functioning At Risk",IF(H44&gt;-1,"Not Functioning"))))</f>
        <v/>
      </c>
      <c r="J44" s="559" t="str">
        <f>IF(AND(H44="",H46="",H48="",H70="",H74=""),"",ROUND((IF(H44="",0,H44)*0.2)+(IF(H46="",0,H46)*0.2)+(IF(H48="",0,H48)*0.2)+(IF(H70="",0,H70)*0.2)+(IF(H74="",0,H74)*0.2),2))</f>
        <v/>
      </c>
      <c r="K44" s="555" t="str">
        <f>IF(J44="","",IF(J44&lt;0.3, "Not Functioning",IF(OR(H44&lt;0.7,H46&lt;0.7,H48&lt;0.7,H70&lt;0.7,H74&lt;0.7),"Functioning At Risk",IF(J44&lt;0.7,"Functioning At Risk","Functioning"))))</f>
        <v/>
      </c>
      <c r="L44" s="21"/>
      <c r="N44" s="19"/>
    </row>
    <row r="45" spans="1:15" ht="15.6" x14ac:dyDescent="0.3">
      <c r="A45" s="541"/>
      <c r="B45" s="371" t="s">
        <v>128</v>
      </c>
      <c r="C45" s="373" t="s">
        <v>161</v>
      </c>
      <c r="D45" s="374"/>
      <c r="E45" s="43"/>
      <c r="F45" s="372" t="str">
        <f>IF(E45="","",IF(E45&gt;=1,1,IF(E45&lt;=0,0,ROUND(E45,2))))</f>
        <v/>
      </c>
      <c r="G45" s="365" t="str">
        <f>IFERROR(AVERAGE(F45:F45),"")</f>
        <v/>
      </c>
      <c r="H45" s="523"/>
      <c r="I45" s="519"/>
      <c r="J45" s="559"/>
      <c r="K45" s="555"/>
      <c r="L45" s="21"/>
      <c r="N45" s="19"/>
    </row>
    <row r="46" spans="1:15" ht="15.6" x14ac:dyDescent="0.3">
      <c r="A46" s="524" t="s">
        <v>6</v>
      </c>
      <c r="B46" s="572" t="s">
        <v>7</v>
      </c>
      <c r="C46" s="54" t="s">
        <v>8</v>
      </c>
      <c r="D46" s="54"/>
      <c r="E46" s="162"/>
      <c r="F46" s="339" t="str">
        <f>IF(E46="","",ROUND(IF(E46&gt;1.6,0,IF(E46&lt;=1,1,E46^2*'Reference Standards'!K$14+E46*'Reference Standards'!K$15+'Reference Standards'!K$16)),2))</f>
        <v/>
      </c>
      <c r="G46" s="581" t="str">
        <f>IFERROR(AVERAGE(F46:F47),"")</f>
        <v/>
      </c>
      <c r="H46" s="579" t="str">
        <f>IFERROR(ROUND(AVERAGE(G46),2),"")</f>
        <v/>
      </c>
      <c r="I46" s="569" t="str">
        <f>IF(H46="","",IF(H46&gt;0.69,"Functioning",IF(H46&gt;0.29,"Functioning At Risk",IF(H46&gt;-1,"Not Functioning"))))</f>
        <v/>
      </c>
      <c r="J46" s="559"/>
      <c r="K46" s="555"/>
      <c r="L46" s="21"/>
      <c r="N46" s="19"/>
      <c r="O46" s="19"/>
    </row>
    <row r="47" spans="1:15" ht="15.6" x14ac:dyDescent="0.3">
      <c r="A47" s="525"/>
      <c r="B47" s="572"/>
      <c r="C47" s="54" t="s">
        <v>9</v>
      </c>
      <c r="D47" s="54"/>
      <c r="E47" s="162"/>
      <c r="F47" s="339" t="str">
        <f>IF(E47="","",(IF(OR(B$11="A",B$11="B",$B$11="Bc"),IF(E47&lt;1.2,0,IF(E47&gt;=2.2,1,ROUND(IF(E47&lt;1.4,E47*'Reference Standards'!$K$84+'Reference Standards'!$K$85,E47*'Reference Standards'!$L$84+'Reference Standards'!$L$85),2))),IF(OR(B$11="C",B$11="E"),IF(E47&lt;2,0,IF(E47&gt;=5,1,ROUND(IF(E47&lt;2.4,E47*'Reference Standards'!$L$49+'Reference Standards'!$L$50,E47*'Reference Standards'!$K$49+'Reference Standards'!$K$50),2)))))))</f>
        <v/>
      </c>
      <c r="G47" s="581"/>
      <c r="H47" s="580"/>
      <c r="I47" s="570"/>
      <c r="J47" s="559"/>
      <c r="K47" s="555"/>
      <c r="L47" s="21"/>
      <c r="N47" s="19"/>
      <c r="O47" s="19"/>
    </row>
    <row r="48" spans="1:15" ht="15.6" x14ac:dyDescent="0.3">
      <c r="A48" s="526" t="s">
        <v>26</v>
      </c>
      <c r="B48" s="557" t="s">
        <v>27</v>
      </c>
      <c r="C48" s="60" t="s">
        <v>333</v>
      </c>
      <c r="D48" s="244"/>
      <c r="E48" s="61"/>
      <c r="F48" s="340" t="str">
        <f>IF(E48="","",IF(OR(LEFT('Quantification Tool R5'!$B$12,2)="65",LEFT('Quantification Tool R5'!$B$12,2)="66",LEFT('Quantification Tool R5'!$B$12,2)="71"),IF(E48&gt;=850,1,IF(E48&lt;250,ROUND('Reference Standards'!$S$17*(E48)+'Reference Standards'!$S$18,2),ROUND('Reference Standards'!$T$17*E48+'Reference Standards'!$T$18,2))),  IF(E48&gt;=345,1,IF(E48&lt;=180,ROUND('Reference Standards'!$U$17*(E48)+'Reference Standards'!$U$18,2),ROUND('Reference Standards'!$V$17*E48+'Reference Standards'!$V$18,2))))    )</f>
        <v/>
      </c>
      <c r="G48" s="528" t="str">
        <f>IFERROR(AVERAGE(F48:F49),"")</f>
        <v/>
      </c>
      <c r="H48" s="566" t="str">
        <f>IFERROR(ROUND(AVERAGE(G48:G69),2),"")</f>
        <v/>
      </c>
      <c r="I48" s="555" t="str">
        <f>IF(H48="","",IF(H48&gt;0.69,"Functioning",IF(H48&gt;0.29,"Functioning At Risk",IF(H48&gt;-1,"Not Functioning"))))</f>
        <v/>
      </c>
      <c r="J48" s="559"/>
      <c r="K48" s="555"/>
      <c r="L48" s="21"/>
      <c r="N48" s="19"/>
      <c r="O48" s="19"/>
    </row>
    <row r="49" spans="1:15" ht="15.6" x14ac:dyDescent="0.3">
      <c r="A49" s="520"/>
      <c r="B49" s="558"/>
      <c r="C49" s="63" t="s">
        <v>323</v>
      </c>
      <c r="D49" s="245"/>
      <c r="E49" s="53"/>
      <c r="F49" s="341" t="str">
        <f>IF(E49="","",IF(OR(LEFT('Quantification Tool R5'!$B$12,2)="65",LEFT('Quantification Tool R5'!$B$12,2)="66",LEFT('Quantification Tool R5'!$B$12,2)="71"),IF(E49&gt;=30,1,IF(E49&lt;13,ROUND('Reference Standards'!$S$53*(E49)+'Reference Standards'!$S$54,2),ROUND('Reference Standards'!$T$53*E49+'Reference Standards'!$T$54,2))),  IF(E49&gt;=16,1,IF(E49&lt;=9,ROUND('Reference Standards'!$U$53*(E49)+'Reference Standards'!$U$54,2),ROUND('Reference Standards'!$V$53*E49+'Reference Standards'!$V$54,2))))    )</f>
        <v/>
      </c>
      <c r="G49" s="530"/>
      <c r="H49" s="566"/>
      <c r="I49" s="555"/>
      <c r="J49" s="559"/>
      <c r="K49" s="555"/>
      <c r="L49" s="21"/>
      <c r="N49" s="19"/>
      <c r="O49" s="19"/>
    </row>
    <row r="50" spans="1:15" ht="15.6" x14ac:dyDescent="0.3">
      <c r="A50" s="520"/>
      <c r="B50" s="520" t="s">
        <v>395</v>
      </c>
      <c r="C50" s="58" t="s">
        <v>80</v>
      </c>
      <c r="D50" s="58"/>
      <c r="E50" s="165"/>
      <c r="F50" s="340" t="str">
        <f>IF(E50="","",ROUND(IF(E50&gt;0.7,0,IF(E50&lt;=0.1,1,E50^3*'Reference Standards'!S$87+E50^2*'Reference Standards'!S$88+E50*'Reference Standards'!S$89+'Reference Standards'!S$90)),2))</f>
        <v/>
      </c>
      <c r="G50" s="529" t="str">
        <f>IFERROR(ROUND(AVERAGE(F50:F53),2),"")</f>
        <v/>
      </c>
      <c r="H50" s="567"/>
      <c r="I50" s="555"/>
      <c r="J50" s="559"/>
      <c r="K50" s="555"/>
      <c r="L50" s="21"/>
      <c r="N50" s="19"/>
      <c r="O50" s="19"/>
    </row>
    <row r="51" spans="1:15" ht="15.6" x14ac:dyDescent="0.3">
      <c r="A51" s="520"/>
      <c r="B51" s="520"/>
      <c r="C51" s="58" t="s">
        <v>49</v>
      </c>
      <c r="D51" s="58"/>
      <c r="E51" s="165"/>
      <c r="F51" s="84" t="str">
        <f>IF(E51="","",IF(OR(E51="Ex/Ex",E51="Ex/VH"),0, IF(OR(E51="Ex/H",E51="VH/Ex",E51="VH/VH", E51="H/Ex",E51="H/VH",E51="M/Ex"),0.1,IF(OR(E51="Ex/M",E51="VH/H",E51="H/H", E51="M/VH"),0.2, IF(OR(E51="Ex/L",E51="VH/M",E51="H/M", E51="M/H",E51="L/Ex"),0.3, IF(OR(E51="Ex/VL",E51="VH/L",E51="H/L"),0.4, IF(OR(E51="VH/VL",E51="H/VL",E51="M/M", E51="L/VH"),0.5, IF(OR(E51="M/L",E51="L/H"),0.6, IF(OR(E51="M/VL",E51="L/M"),0.7, IF(OR(E51="L/L",E51="L/VL"),1))))))))))</f>
        <v/>
      </c>
      <c r="G51" s="529"/>
      <c r="H51" s="567"/>
      <c r="I51" s="555"/>
      <c r="J51" s="559"/>
      <c r="K51" s="555"/>
      <c r="L51" s="21"/>
      <c r="N51" s="19"/>
      <c r="O51" s="19"/>
    </row>
    <row r="52" spans="1:15" ht="15.6" x14ac:dyDescent="0.3">
      <c r="A52" s="520"/>
      <c r="B52" s="520"/>
      <c r="C52" s="58" t="s">
        <v>87</v>
      </c>
      <c r="D52" s="58"/>
      <c r="E52" s="165"/>
      <c r="F52" s="84" t="str">
        <f>IF(E52="","",ROUND(IF(E52&gt;40,0,IF(E52&lt;5,1,E52^3*'Reference Standards'!S$122+E52^2*'Reference Standards'!S$123+E52*'Reference Standards'!S$124+'Reference Standards'!S$125)),2))</f>
        <v/>
      </c>
      <c r="G52" s="529"/>
      <c r="H52" s="567"/>
      <c r="I52" s="555"/>
      <c r="J52" s="559"/>
      <c r="K52" s="555"/>
      <c r="L52" s="21"/>
      <c r="N52" s="19"/>
      <c r="O52" s="19"/>
    </row>
    <row r="53" spans="1:15" ht="15.6" x14ac:dyDescent="0.3">
      <c r="A53" s="520"/>
      <c r="B53" s="521"/>
      <c r="C53" s="59" t="s">
        <v>394</v>
      </c>
      <c r="D53" s="59"/>
      <c r="E53" s="167"/>
      <c r="F53" s="341" t="str">
        <f>IF(E53="","",ROUND(IF(E53&gt;=30,0,IF(E53&lt;=0,1,E53*'Reference Standards'!S$156+'Reference Standards'!S$157)),2))</f>
        <v/>
      </c>
      <c r="G53" s="529"/>
      <c r="H53" s="567"/>
      <c r="I53" s="555"/>
      <c r="J53" s="559"/>
      <c r="K53" s="555"/>
      <c r="L53" s="21"/>
      <c r="N53" s="19"/>
      <c r="O53" s="19"/>
    </row>
    <row r="54" spans="1:15" ht="15.6" x14ac:dyDescent="0.3">
      <c r="A54" s="520"/>
      <c r="B54" s="520" t="s">
        <v>50</v>
      </c>
      <c r="C54" s="60" t="s">
        <v>377</v>
      </c>
      <c r="D54" s="64"/>
      <c r="E54" s="136"/>
      <c r="F54" s="294" t="str">
        <f>IF(E54="","",ROUND(IF(E54&gt;9.2,1,E54*'Reference Standards'!$S$189+'Reference Standards'!$S$190),2))</f>
        <v/>
      </c>
      <c r="G54" s="552" t="str">
        <f>IFERROR(ROUND(AVERAGE(F54:F63),2),"")</f>
        <v/>
      </c>
      <c r="H54" s="567"/>
      <c r="I54" s="555"/>
      <c r="J54" s="559"/>
      <c r="K54" s="555"/>
      <c r="L54" s="21"/>
      <c r="N54" s="19"/>
      <c r="O54" s="19"/>
    </row>
    <row r="55" spans="1:15" ht="15.6" x14ac:dyDescent="0.3">
      <c r="A55" s="520"/>
      <c r="B55" s="520"/>
      <c r="C55" s="62" t="s">
        <v>378</v>
      </c>
      <c r="D55" s="58"/>
      <c r="E55" s="162"/>
      <c r="F55" s="294" t="str">
        <f>IF(E55="","",ROUND(IF(E55&gt;9.2,1,E55*'Reference Standards'!$S$189+'Reference Standards'!$S$190),2))</f>
        <v/>
      </c>
      <c r="G55" s="553"/>
      <c r="H55" s="567"/>
      <c r="I55" s="555"/>
      <c r="J55" s="559"/>
      <c r="K55" s="555"/>
      <c r="L55" s="21"/>
      <c r="N55" s="19"/>
      <c r="O55" s="19"/>
    </row>
    <row r="56" spans="1:15" ht="15.6" x14ac:dyDescent="0.3">
      <c r="A56" s="520"/>
      <c r="B56" s="520"/>
      <c r="C56" s="62" t="s">
        <v>379</v>
      </c>
      <c r="D56" s="58"/>
      <c r="E56" s="162"/>
      <c r="F56" s="294" t="str">
        <f>IF(E56="","",ROUND( IF(E56&gt;=200,1,IF(E56&lt;50, E56^2*'Reference Standards'!S$224+E56*'Reference Standards'!S$225+'Reference Standards'!S$226, E56*'Reference Standards'!T$224+'Reference Standards'!T$225)),2))</f>
        <v/>
      </c>
      <c r="G56" s="553"/>
      <c r="H56" s="567"/>
      <c r="I56" s="555"/>
      <c r="J56" s="559"/>
      <c r="K56" s="555"/>
      <c r="L56" s="21"/>
      <c r="N56" s="19"/>
      <c r="O56" s="19"/>
    </row>
    <row r="57" spans="1:15" ht="15.6" x14ac:dyDescent="0.3">
      <c r="A57" s="520"/>
      <c r="B57" s="520"/>
      <c r="C57" s="62" t="s">
        <v>380</v>
      </c>
      <c r="D57" s="58"/>
      <c r="E57" s="162"/>
      <c r="F57" s="294" t="str">
        <f>IF(E57="","",ROUND( IF(E57&gt;=200,1,IF(E57&lt;50, E57^2*'Reference Standards'!S$224+E57*'Reference Standards'!S$225+'Reference Standards'!S$226, E57*'Reference Standards'!T$224+'Reference Standards'!T$225)),2))</f>
        <v/>
      </c>
      <c r="G57" s="553"/>
      <c r="H57" s="567"/>
      <c r="I57" s="555"/>
      <c r="J57" s="559"/>
      <c r="K57" s="555"/>
      <c r="L57" s="21"/>
      <c r="N57" s="19"/>
      <c r="O57" s="19"/>
    </row>
    <row r="58" spans="1:15" ht="15.6" x14ac:dyDescent="0.3">
      <c r="A58" s="520"/>
      <c r="B58" s="520"/>
      <c r="C58" s="58" t="s">
        <v>381</v>
      </c>
      <c r="D58" s="58"/>
      <c r="E58" s="162"/>
      <c r="F58" s="294" t="str">
        <f>IF(E58="","",ROUND(IF(AND(E58&gt;=135,E58&lt;=262),1,IF(  E58&gt;=366,0.5, IF(E58&lt;135,E58*'Reference Standards'!S$259+'Reference Standards'!S$260, E58*'Reference Standards'!T$259+'Reference Standards'!T$260))),2))</f>
        <v/>
      </c>
      <c r="G58" s="553"/>
      <c r="H58" s="567"/>
      <c r="I58" s="555"/>
      <c r="J58" s="559"/>
      <c r="K58" s="555"/>
      <c r="L58" s="21"/>
      <c r="N58" s="19"/>
      <c r="O58" s="19"/>
    </row>
    <row r="59" spans="1:15" ht="15.6" x14ac:dyDescent="0.3">
      <c r="A59" s="520"/>
      <c r="B59" s="520"/>
      <c r="C59" s="58" t="s">
        <v>382</v>
      </c>
      <c r="D59" s="58"/>
      <c r="E59" s="162"/>
      <c r="F59" s="294" t="str">
        <f>IF(E59="","",ROUND(IF(AND(E59&gt;=135,E59&lt;=262),1,IF(  E59&gt;=366,0.5, IF(E59&lt;135,E59*'Reference Standards'!S$259+'Reference Standards'!S$260, E59*'Reference Standards'!T$259+'Reference Standards'!T$260))),2))</f>
        <v/>
      </c>
      <c r="G59" s="553"/>
      <c r="H59" s="567"/>
      <c r="I59" s="555"/>
      <c r="J59" s="559"/>
      <c r="K59" s="555"/>
      <c r="L59" s="21"/>
      <c r="N59" s="19"/>
      <c r="O59" s="19"/>
    </row>
    <row r="60" spans="1:15" ht="15.6" x14ac:dyDescent="0.3">
      <c r="A60" s="520"/>
      <c r="B60" s="520"/>
      <c r="C60" s="58" t="s">
        <v>383</v>
      </c>
      <c r="D60" s="58"/>
      <c r="E60" s="162"/>
      <c r="F60" s="84" t="str">
        <f>IF(E60="","",ROUND(IF(E60&gt;=75,1,IF(E60&lt;=0,0,E60*'Reference Standards'!S$330)),2))</f>
        <v/>
      </c>
      <c r="G60" s="553"/>
      <c r="H60" s="567"/>
      <c r="I60" s="555"/>
      <c r="J60" s="559"/>
      <c r="K60" s="555"/>
      <c r="L60" s="21"/>
      <c r="N60" s="19"/>
      <c r="O60" s="19"/>
    </row>
    <row r="61" spans="1:15" ht="15.6" x14ac:dyDescent="0.3">
      <c r="A61" s="520"/>
      <c r="B61" s="520"/>
      <c r="C61" s="58" t="s">
        <v>384</v>
      </c>
      <c r="D61" s="58"/>
      <c r="E61" s="162"/>
      <c r="F61" s="84" t="str">
        <f>IF(E61="","",ROUND(IF(E61&gt;=75,1,IF(E61&lt;=0,0,E61*'Reference Standards'!S$330)),2))</f>
        <v/>
      </c>
      <c r="G61" s="553"/>
      <c r="H61" s="567"/>
      <c r="I61" s="555"/>
      <c r="J61" s="559"/>
      <c r="K61" s="555"/>
      <c r="L61" s="21"/>
      <c r="N61" s="19"/>
      <c r="O61" s="19"/>
    </row>
    <row r="62" spans="1:15" ht="15.6" x14ac:dyDescent="0.3">
      <c r="A62" s="520"/>
      <c r="B62" s="520"/>
      <c r="C62" s="58" t="s">
        <v>385</v>
      </c>
      <c r="D62" s="58"/>
      <c r="E62" s="162"/>
      <c r="F62" s="294" t="str">
        <f>IF(E62="","",ROUND(IF(AND(E62&gt;=36.3,E62&lt;=68),1,IF(E62&gt;100,0,IF(E62&lt;36.3,(('Reference Standards'!S$297*(E62^2))+('Reference Standards'!S$298*E62)+'Reference Standards'!S$299),IF(E62&gt;68,(('Reference Standards'!T$297*(E62^2))+('Reference Standards'!T$298*E62)+'Reference Standards'!T$299))))),2))</f>
        <v/>
      </c>
      <c r="G62" s="553"/>
      <c r="H62" s="567"/>
      <c r="I62" s="555"/>
      <c r="J62" s="559"/>
      <c r="K62" s="555"/>
      <c r="L62" s="21"/>
      <c r="N62" s="19"/>
      <c r="O62" s="19"/>
    </row>
    <row r="63" spans="1:15" ht="15.6" x14ac:dyDescent="0.3">
      <c r="A63" s="520"/>
      <c r="B63" s="521"/>
      <c r="C63" s="58" t="s">
        <v>386</v>
      </c>
      <c r="D63" s="65"/>
      <c r="E63" s="162"/>
      <c r="F63" s="294" t="str">
        <f>IF(E63="","",ROUND(IF(AND(E63&gt;=36.3,E63&lt;=68),1,IF(E63&gt;100,0,IF(E63&lt;36.3,(('Reference Standards'!S$297*(E63^2))+('Reference Standards'!S$298*E63)+'Reference Standards'!S$299),IF(E63&gt;68,(('Reference Standards'!T$297*(E63^2))+('Reference Standards'!T$298*E63)+'Reference Standards'!T$299))))),2))</f>
        <v/>
      </c>
      <c r="G63" s="554"/>
      <c r="H63" s="567"/>
      <c r="I63" s="555"/>
      <c r="J63" s="559"/>
      <c r="K63" s="555"/>
      <c r="L63" s="21"/>
      <c r="N63" s="19"/>
      <c r="O63" s="19"/>
    </row>
    <row r="64" spans="1:15" ht="15.6" x14ac:dyDescent="0.3">
      <c r="A64" s="520"/>
      <c r="B64" s="56" t="s">
        <v>108</v>
      </c>
      <c r="C64" s="72" t="s">
        <v>130</v>
      </c>
      <c r="D64" s="58"/>
      <c r="E64" s="43"/>
      <c r="F64" s="82" t="str">
        <f>IF(E64="","",IF(OR(B$14="Cobble",B$14="Gravel"),IF(E64&gt;0.1,1,IF(E64&lt;=0.01,0,ROUND(E64*'Reference Standards'!$S$362+'Reference Standards'!$S$363,2)))))</f>
        <v/>
      </c>
      <c r="G64" s="82" t="str">
        <f>IFERROR(AVERAGE(F64),"")</f>
        <v/>
      </c>
      <c r="H64" s="567"/>
      <c r="I64" s="555"/>
      <c r="J64" s="559"/>
      <c r="K64" s="555"/>
      <c r="L64" s="21"/>
      <c r="N64" s="19"/>
      <c r="O64" s="19"/>
    </row>
    <row r="65" spans="1:15" ht="15.6" x14ac:dyDescent="0.3">
      <c r="A65" s="520"/>
      <c r="B65" s="526" t="s">
        <v>51</v>
      </c>
      <c r="C65" s="64" t="s">
        <v>52</v>
      </c>
      <c r="D65" s="64"/>
      <c r="E65" s="166"/>
      <c r="F65" s="337" t="str">
        <f>IF(E65="","", IF(ISNUMBER($B$17), IF($B$17&lt;=2,   IF(AND(E65&gt;=3,E65&lt;=5),1, IF(OR(E65&lt;=1,E65&gt;=7), 0, ROUND( IF(E65&lt;3, E65*'Reference Standards'!S$398+'Reference Standards'!S$399,E65*'Reference Standards'!T$398+'Reference Standards'!T$399),2) ) ),   IF(E65&lt;=2.5,1, IF(E65&gt;=5.8,0, E65*'Reference Standards'!S$430+'Reference Standards'!S$431)))   ))</f>
        <v/>
      </c>
      <c r="G65" s="528" t="str">
        <f>IFERROR(AVERAGE(F65:F68),"")</f>
        <v/>
      </c>
      <c r="H65" s="567"/>
      <c r="I65" s="555"/>
      <c r="J65" s="559"/>
      <c r="K65" s="555"/>
      <c r="L65" s="21"/>
      <c r="N65" s="19"/>
      <c r="O65" s="19"/>
    </row>
    <row r="66" spans="1:15" ht="15.6" x14ac:dyDescent="0.3">
      <c r="A66" s="520"/>
      <c r="B66" s="520"/>
      <c r="C66" s="58" t="s">
        <v>53</v>
      </c>
      <c r="D66" s="58"/>
      <c r="E66" s="165"/>
      <c r="F66" s="84" t="str">
        <f>IF(E66="","", IF( E66&gt;=2.4,1, IF(E66&lt;=1,0,  ROUND(IF(E66&lt;2.4, E66*'Reference Standards'!$S$464+'Reference Standards'!$S$465  ),2))))</f>
        <v/>
      </c>
      <c r="G66" s="529"/>
      <c r="H66" s="567"/>
      <c r="I66" s="555"/>
      <c r="J66" s="559"/>
      <c r="K66" s="555"/>
      <c r="L66" s="21"/>
      <c r="N66" s="19"/>
      <c r="O66" s="19"/>
    </row>
    <row r="67" spans="1:15" ht="15.6" x14ac:dyDescent="0.3">
      <c r="A67" s="520"/>
      <c r="B67" s="520"/>
      <c r="C67" s="58" t="s">
        <v>334</v>
      </c>
      <c r="D67" s="58"/>
      <c r="E67" s="165"/>
      <c r="F67" s="390" t="str">
        <f>IF(E67="","", IF(LEFT($B$12,2)="67",  IF( AND(E67&gt;=45,E67&lt;=65),1, IF(OR(E67&lt;=20,E67&gt;=90),0, ROUND(  IF(E67&lt;45, E67*'Reference Standards'!$S$498+'Reference Standards'!$S$499,E67*'Reference Standards'!$T$498+'Reference Standards'!$T$499),2))), IF(OR(  LEFT($B$12,2)="68", LEFT($B$12,2)="69",LEFT($B$12,2)="71"),  IF( AND(E67&gt;=30,E67&lt;=50),1, IF(OR(E67&lt;=10,E67&gt;=70),0, ROUND(  IF(E67&lt;30, E67*'Reference Standards'!$S$533+'Reference Standards'!$S$534,E67*'Reference Standards'!$T$533+'Reference Standards'!$T$534),2))), IF(LEFT($B$12,2)="66",  IF( AND(E67&gt;=20,E67&lt;=45),1, IF(OR(E67&lt;=0,E67&gt;=90),0, ROUND(  IF(E67&lt;20, E67*'Reference Standards'!$S$567+'Reference Standards'!$S$568,E67*'Reference Standards'!$T$567+'Reference Standards'!$T$568),2))), IF(OR(  LEFT($B$12,2)="65", LEFT($B$12,2)="74", LEFT($B$12,2)="73"),  IF( AND(E67&gt;=20,E67&lt;=30),1, IF(OR(E67&lt;=0,E67&gt;=50),0, ROUND(  IF(E67&lt;20, E67*'Reference Standards'!$S$601+'Reference Standards'!$S$602,E67*'Reference Standards'!$T$601+'Reference Standards'!$T$602),2))))))))</f>
        <v/>
      </c>
      <c r="G67" s="529"/>
      <c r="H67" s="567"/>
      <c r="I67" s="555"/>
      <c r="J67" s="559"/>
      <c r="K67" s="555"/>
      <c r="L67" s="21"/>
      <c r="N67" s="19"/>
      <c r="O67" s="19"/>
    </row>
    <row r="68" spans="1:15" ht="15.6" x14ac:dyDescent="0.3">
      <c r="A68" s="520"/>
      <c r="B68" s="521"/>
      <c r="C68" s="62" t="s">
        <v>210</v>
      </c>
      <c r="D68" s="58"/>
      <c r="E68" s="167"/>
      <c r="F68" s="391" t="str">
        <f>IF(E68="","",IF(E68&gt;=1.6,0,IF(E68&lt;=1,1,ROUND('Reference Standards'!$S$633*E68^3+'Reference Standards'!$S$634*E68^2+'Reference Standards'!$S$635*E68+'Reference Standards'!$S$636,2))))</f>
        <v/>
      </c>
      <c r="G68" s="530"/>
      <c r="H68" s="567"/>
      <c r="I68" s="555"/>
      <c r="J68" s="559"/>
      <c r="K68" s="555"/>
      <c r="L68" s="21"/>
      <c r="N68" s="19"/>
      <c r="O68" s="19"/>
    </row>
    <row r="69" spans="1:15" ht="15.6" x14ac:dyDescent="0.3">
      <c r="A69" s="521"/>
      <c r="B69" s="296" t="s">
        <v>55</v>
      </c>
      <c r="C69" s="242" t="s">
        <v>54</v>
      </c>
      <c r="D69" s="243"/>
      <c r="E69" s="241"/>
      <c r="F69" s="342" t="str">
        <f>IF(E69="","",IF(AND(B$11="E",$B$14="Sand",$B$21="Unconfined Alluvial"),ROUND(IF(OR(E69&gt;1.8,E69&lt;1.3),0,IF(E69&lt;=1.6,1,E69*'Reference Standards'!S$667+'Reference Standards'!S$668)),2),    IF($B$21="Unconfined Alluvial",ROUND(IF(OR(E69&lt;1.2, E69&gt;1.5),0,IF(E69&lt;=1.4,1,E69*'Reference Standards'!$S$700+'Reference Standards'!$S$701)),2), IF($B$21="Confined Alluvial",ROUND(IF(E69&lt;1.15,0,IF(E69&lt;=1.4,E69*'Reference Standards'!$S$729+'Reference Standards'!$S$730,1)),2),  IF($B$21="Colluvial",ROUND(IF(E69&gt;1.3,0,IF(E69&gt;1.2,E69*'Reference Standards'!$S$760+'Reference Standards'!$S$761,1)),2) )))))</f>
        <v/>
      </c>
      <c r="G69" s="84" t="str">
        <f>IFERROR(AVERAGE(F69),"")</f>
        <v/>
      </c>
      <c r="H69" s="567"/>
      <c r="I69" s="555"/>
      <c r="J69" s="559"/>
      <c r="K69" s="555"/>
      <c r="L69" s="21"/>
      <c r="N69" s="19"/>
      <c r="O69" s="19"/>
    </row>
    <row r="70" spans="1:15" ht="15.6" x14ac:dyDescent="0.3">
      <c r="A70" s="537" t="s">
        <v>58</v>
      </c>
      <c r="B70" s="67" t="s">
        <v>88</v>
      </c>
      <c r="C70" s="70" t="s">
        <v>338</v>
      </c>
      <c r="D70" s="70"/>
      <c r="E70" s="43"/>
      <c r="F70" s="343" t="str">
        <f>IF(E70="","",ROUND(IF(E70&gt;=942,0,IF(E70&lt;=487,E70*'Reference Standards'!AB$15+'Reference Standards'!AB$16,E70*'Reference Standards'!$AC$15+'Reference Standards'!$AC$16)),2))</f>
        <v/>
      </c>
      <c r="G70" s="85" t="str">
        <f>IFERROR(AVERAGE(F70),"")</f>
        <v/>
      </c>
      <c r="H70" s="547" t="str">
        <f>IFERROR(ROUND(AVERAGE(G70:G73),2),"")</f>
        <v/>
      </c>
      <c r="I70" s="534" t="str">
        <f>IF(H70="","",IF(H70&gt;0.69,"Functioning",IF(H70&gt;0.29,"Functioning At Risk",IF(H70&gt;-1,"Not Functioning"))))</f>
        <v/>
      </c>
      <c r="J70" s="559"/>
      <c r="K70" s="555"/>
      <c r="L70" s="21"/>
      <c r="O70" s="19"/>
    </row>
    <row r="71" spans="1:15" ht="15.6" x14ac:dyDescent="0.3">
      <c r="A71" s="538"/>
      <c r="B71" s="297" t="s">
        <v>362</v>
      </c>
      <c r="C71" s="66" t="s">
        <v>354</v>
      </c>
      <c r="D71" s="66"/>
      <c r="E71" s="163"/>
      <c r="F71" s="344" t="str">
        <f>IF(E71="","",IF(OR($B$12="65abei", $B$12="65j", $B$12="66d", $B$12="66e", $B$12="66ik", $B$12="66f", $B$12="66g", $B$12="66j", $B$12="68a", $B$12="69de", $B$12="74b",AND(OR($B$12="67fhi", $B$12="67g"),$B$13&lt;=2),AND(OR($B$12="68c", $B$12="68d"),$B$19="January - June")),IF(E71&gt;93,0,IF(E71&lt;13,1,ROUND('Reference Standards'!$AB$53*E71^2+'Reference Standards'!$AB$54*E71+'Reference Standards'!$AB$55,2))),   IF(OR(AND(OR($B$12="67fhi", $B$12="67g",$B$12="71f",$B$12="71g",$B$12="71h"),$B$13&gt;2),AND(OR($B$12="68c", $B$12="68d"),$B$19="July - December"),$B$12="73a",$B$12="73b"),IF(E71&gt;94,0,IF(E71&lt;17,1,ROUND('Reference Standards'!$AC$53*E71^2+'Reference Standards'!$AC$54*E71+'Reference Standards'!$AC$55,2))),    IF(OR(AND(OR($B$12="68b",$B$12="71i"),$B$13&gt;2), $B$12="71e"),IF(E71&gt;91,0,IF(E71&lt;24,1,ROUND('Reference Standards'!$AD$53*E71^2+'Reference Standards'!$AD$54*E71+'Reference Standards'!$AD$55,2))),  IF(OR(AND(OR($B$12="71f",$B$12="71g",$B$12="71h",$B$12="71i"),$B$13&lt;=2), AND($B$12="74a",$B$13&gt;2)),IF(E71&gt;95,0,IF(E71&lt;=36,1,ROUND('Reference Standards'!$AE$53*E71^2+'Reference Standards'!$AE$54*E71+'Reference Standards'!$AE$55,2))))))))</f>
        <v/>
      </c>
      <c r="G71" s="236" t="str">
        <f>IFERROR(AVERAGE(F71:F71),"")</f>
        <v/>
      </c>
      <c r="H71" s="548"/>
      <c r="I71" s="535"/>
      <c r="J71" s="559"/>
      <c r="K71" s="555"/>
      <c r="L71" s="21"/>
      <c r="O71" s="19"/>
    </row>
    <row r="72" spans="1:15" ht="15.6" x14ac:dyDescent="0.3">
      <c r="A72" s="538"/>
      <c r="B72" s="67" t="s">
        <v>81</v>
      </c>
      <c r="C72" s="68" t="s">
        <v>281</v>
      </c>
      <c r="D72" s="68"/>
      <c r="E72" s="162"/>
      <c r="F72" s="344" t="str">
        <f>IF(E72="","",IF(ISNUMBER($B$13), IF(OR($B$12="66e",$B$12="66f",$B$12="66g"), ROUND(IF(E72&gt;=0.61,0,IF(E72&lt;=0.01,1,IF(E72&lt;=0.06,E72*'Reference Standards'!$AD$197+'Reference Standards'!$AD$198,E72^2*'Reference Standards'!$AB$196+E72*'Reference Standards'!$AB$197+'Reference Standards'!$AB$198))),2),  IF($B$12="68b", ROUND(IF(E72&gt;=1.1,0,IF(E72&lt;=0.17,1,IF(E72&lt;=0.22,E72*'Reference Standards'!$AE$197+'Reference Standards'!$AE$198,E72^2*'Reference Standards'!$AC$196+E72*'Reference Standards'!$AC$197+'Reference Standards'!$AC$198))),2),IF($B$13&lt;=2.5,   IF($B$12="69de",ROUND(IF(E72&gt;=0.22,0,IF(E72&lt;=0.01,1,E72^2*'Reference Standards'!$AB$90+E72*'Reference Standards'!$AB$91+'Reference Standards'!$AB$92)),2),   IF($B$12="68c",ROUND(IF(E72&gt;=0.87,0,IF(E72&lt;=0.01,1,E72^2*'Reference Standards'!$AC$90+E72*'Reference Standards'!$AC$91+'Reference Standards'!$AC$92)),2),   IF($B$12="68a",ROUND(IF(E72&gt;=0.81,0,IF(E72&lt;=0.01,1,E72^2*'Reference Standards'!$AD$90+E72*'Reference Standards'!$AD$91+'Reference Standards'!$AD$92)),2),   IF($B$12="65abei",ROUND(IF(E72&gt;=0.67,0,IF(E72&lt;=0.01,1,IF(E72&lt;=0.18,E72*'Reference Standards'!$AG$91+'Reference Standards'!$AG$92,E72*'Reference Standards'!$AE$91+'Reference Standards'!$AE$92))),2),   IF($B$12="65j",ROUND(IF(E72&gt;=0.32,0,IF(E72&lt;=0.01,1,IF(E72&lt;=0.25,E72*'Reference Standards'!$AH$91+'Reference Standards'!$AH$92,E72*'Reference Standards'!$AF$91+'Reference Standards'!$AF$92))),2),   IF($B$12="71f",ROUND(IF(E72&gt;=3,0,IF(E72&lt;=0,1,IF(E72&lt;=0.01,0.7,E72^2*'Reference Standards'!$AB$126+E72*'Reference Standards'!$AB$127+'Reference Standards'!$AB$128))),2),   IF($B$12="74a",ROUND(IF(E72&gt;=0.14,0,IF(E72&lt;=0.01,1,IF(E72&lt;=0.02,0.7,E72^2*'Reference Standards'!$AC$126+E72*'Reference Standards'!$AC$127+'Reference Standards'!$AC$128))),2),   IF(OR($B$12="67fhi",$B$12="67g"),ROUND(IF(E72&gt;=1.9,0,IF(E72&lt;=0.01,1,IF(E72&lt;=0.05,E72*'Reference Standards'!$AF$127+'Reference Standards'!$AF$128,E72^2*'Reference Standards'!$AD$126+E72*'Reference Standards'!$AD$127+'Reference Standards'!$AD$128))),2),   IF($B$12="73a",ROUND(IF(E72&gt;=1.44,0,IF(E72&lt;=0.01,1,IF(E72&lt;=0.12,E72*'Reference Standards'!$AG$127+'Reference Standards'!$AG$128,E72^2*'Reference Standards'!$AE$126+E72*'Reference Standards'!$AE$127+'Reference Standards'!$AE$128))),2),   IF($B$12="66d",ROUND(IF(E72&gt;=0.46,0,IF(E72&lt;=0.02,1,IF(E72&lt;=0.08,E72*'Reference Standards'!$AF$163+'Reference Standards'!$AF$164,E72^2*'Reference Standards'!$AB$162+E72*'Reference Standards'!$AB$163+'Reference Standards'!$AB$164))),2),   IF(OR($B$12="71g",$B$12="71h",$B$12="71i"),ROUND(IF(E72&gt;=3,0,IF(E72&lt;=0.06,1,IF(E72&lt;=0.24,E72*'Reference Standards'!$AG$163+'Reference Standards'!$AG$164, E72^2*'Reference Standards'!$AC$162+E72*'Reference Standards'!$AC$163+'Reference Standards'!$AC$164))),2),   IF($B$12="74b",ROUND(IF(E72&gt;=1.3,0,IF(E72&lt;=0.29,1,IF(E72&lt;=0.48,E72*'Reference Standards'!$AH$163+'Reference Standards'!$AH$164,E72^2*'Reference Standards'!$AD$162+E72*'Reference Standards'!$AD$163+'Reference Standards'!$AD$164))),2),   IF($B$12="71e",ROUND(IF(E72&gt;=4.3,0,IF(E72&lt;=0.53,1,IF(E72&lt;=0.67,E72*'Reference Standards'!$AI$163+'Reference Standards'!$AI$164,E72^2*'Reference Standards'!$AE$162+E72*'Reference Standards'!$AE$163+'Reference Standards'!$AE$164))),2)       ))))))))))))),IF($B$13&gt;2.5,    IF($B$12="73a",ROUND(IF(E72&gt;=0.55,0,IF(E72&lt;=0,1,E72^2*'Reference Standards'!$AB$232+E72*'Reference Standards'!$AB$233+'Reference Standards'!$AB$234)),2),   IF($B$12="68a",ROUND(IF(E72&gt;=0.54,0,IF(E72&lt;=0,1, IF(E72&lt;=0.01,0.85, E72^2*'Reference Standards'!$AC$232+E72*'Reference Standards'!$AC$233+'Reference Standards'!$AC$234))),2),   IF($B$12="74a",ROUND(IF(E72&gt;=0.47,0,IF(E72&lt;=0.01,1, IF(E72&lt;=0.02,0.7, E72^2*'Reference Standards'!$AD$232+E72*'Reference Standards'!$AD$233+'Reference Standards'!$AD$234))),2),    IF($B$12="69de",ROUND(IF(E72&gt;=0.26,0,IF(E72&lt;=0.01,1, IF(E72&lt;=0.02,0.85, E72^2*'Reference Standards'!$AE$232+E72*'Reference Standards'!$AE$233+'Reference Standards'!$AE$234))),2),   IF($B$12="71f",ROUND(IF(E72&gt;=0.87,0,IF(E72&lt;=0.01,1,IF(E72&lt;=0.04,E72*'Reference Standards'!$AF$269+'Reference Standards'!$AF$270,E72^2*'Reference Standards'!$AB$268+E72*'Reference Standards'!$AB$269+'Reference Standards'!$AB$270))),2),  IF($B$12="65abei",ROUND(IF(E72&gt;=0.82,0,IF(E72&lt;=0.01,1,IF(E72&lt;=0.06,E72*'Reference Standards'!$AG$269+'Reference Standards'!$AG$270,E72^2*'Reference Standards'!$AC$268+E72*'Reference Standards'!$AC$269+'Reference Standards'!$AC$270))),2),  IF($B$12="65j",ROUND(IF(E72&gt;=0.33,0,IF(E72&lt;=0.03,1,IF(E72&lt;=0.09,E72*'Reference Standards'!$AH$269+'Reference Standards'!$AH$270,E72^2*'Reference Standards'!$AD$268+E72*'Reference Standards'!$AD$269+'Reference Standards'!$AD$270))),2),  IF($B$12="68c",ROUND(IF(E72&gt;=0.7,0,IF(E72&lt;=0.07,1,IF(E72&lt;=0.12,E72*'Reference Standards'!$AI$269+'Reference Standards'!$AI$270,E72^2*'Reference Standards'!$AE$268+E72*'Reference Standards'!$AE$269+'Reference Standards'!$AE$270))),2),   IF(OR($B$12="67fhi",$B$12="67g"),ROUND(IF(E72&gt;=1.8,0,IF(E72&lt;=0.08,1,IF(E72&lt;=0.2,E72*'Reference Standards'!$AF$306+'Reference Standards'!$AF$307,E72^2*'Reference Standards'!$AB$305+E72*'Reference Standards'!$AB$306+'Reference Standards'!$AB$307))),2),   IF($B$12="74b",ROUND(IF(E72&gt;=0.96,0,IF(E72&lt;=0.12,1,IF(E72&lt;=0.16,E72*'Reference Standards'!$AG$306+'Reference Standards'!$AG$307,E72^2*'Reference Standards'!$AC$305+E72*'Reference Standards'!$AC$306+'Reference Standards'!$AC$307))),2),   IF($B$12="66d",ROUND(IF(E72&gt;=0.75,0,IF(E72&lt;=0.13,1,IF(E72&lt;=0.2,E72*'Reference Standards'!$AH$306+'Reference Standards'!$AH$307,E72^2*'Reference Standards'!$AD$305+E72*'Reference Standards'!$AD$306+'Reference Standards'!$AD$307))),2),    IF(OR($B$12="71g",$B$12="71h",$B$12="71i"),ROUND(IF(E72&gt;=1.68,0,IF(E72&lt;=0.08,1,IF(E72&lt;=0.23,E72*'Reference Standards'!$AI$306+'Reference Standards'!$AI$307,E72^2*'Reference Standards'!$AE$305+E72*'Reference Standards'!$AE$306+'Reference Standards'!$AE$307))),2),   IF($B$12="71e",ROUND(IF(E72&gt;=5.3,0,IF(E72&lt;=0.94,1,IF(E72&lt;=1.4,E72*'Reference Standards'!$AF$310+'Reference Standards'!$AF$311,E72^2*'Reference Standards'!$AB$309+E72*'Reference Standards'!$AB$310+'Reference Standards'!$AB$311))),2))    ))))))))))))))))))</f>
        <v/>
      </c>
      <c r="G72" s="86" t="str">
        <f>IFERROR(AVERAGE(F72),"")</f>
        <v/>
      </c>
      <c r="H72" s="548"/>
      <c r="I72" s="535"/>
      <c r="J72" s="559"/>
      <c r="K72" s="555"/>
      <c r="L72" s="21"/>
      <c r="O72" s="19"/>
    </row>
    <row r="73" spans="1:15" ht="15.6" x14ac:dyDescent="0.3">
      <c r="A73" s="539"/>
      <c r="B73" s="298" t="s">
        <v>82</v>
      </c>
      <c r="C73" s="66" t="s">
        <v>280</v>
      </c>
      <c r="D73" s="66"/>
      <c r="E73" s="136"/>
      <c r="F73" s="343" t="str">
        <f>IF(E73="","",IF(ISNUMBER($B$13),IF($B$13&gt;2.5,IF(OR($B$12="71h",$B$12="71i",$B$12="73a",$B$12="74a"),IF(E73&lt;=0.01,1,IF(OR($B$12="71h",$B$12="71i"),IF(E73&gt;0.37,0,ROUND(IF(E73&gt;0.03,'Reference Standards'!$AB$425*E73^2+'Reference Standards'!$AB$426*E73+'Reference Standards'!$AB$427,'Reference Standards'!$AF$426*E73+'Reference Standards'!$AF$427),2)),  IF($B$12="73a",IF(E73&gt;0.405,0,ROUND(IF(E73&gt;0.046,'Reference Standards'!$AC$425*E73^2+'Reference Standards'!$AC$426*E73+'Reference Standards'!$AC$427,'Reference Standards'!$AG$426*E73+'Reference Standards'!$AG$427),2)),IF($B$12="74a",IF(E73&gt;0.3,0,ROUND(IF(E73&gt;0.052,'Reference Standards'!$AD$425*E73^2+'Reference Standards'!$AD$426*E73+'Reference Standards'!$AD$427,'Reference Standards'!$AH$426*E73+'Reference Standards'!$AH$427),2)))))),   IF(E73&lt;=0.002,1,IF(OR($B$12="66d",$B$12="66e",$B$12="66g"),IF(E73&gt;0.053,0,ROUND(E73^2*'Reference Standards'!$AB$347+E73*'Reference Standards'!$AB$348+'Reference Standards'!$AB$349,2)), IF($B$12="68b",IF(E73&gt;0.05,0,ROUND(E73^2*'Reference Standards'!$AC$347+E73*'Reference Standards'!$AC$348+'Reference Standards'!$AC$349,2)),  IF(OR($B$12="68a",$B$12="68c"),IF(E73&gt;0.07,0,ROUND(E73^2*'Reference Standards'!$AD$347+E73*'Reference Standards'!$AD$348+'Reference Standards'!$AD$349,2)), IF(OR($B$12="71f",$B$12="71g"),IF(E73&gt;0.13,0,ROUND(IF(E73&gt;0.042,E73*'Reference Standards'!$AE$348+'Reference Standards'!$AE$349,E73*'Reference Standards'!$AF$348+'Reference Standards'!$AF$349),2)), IF($B$12="67fhi",IF(E73&gt;0.16,0,ROUND(E73^2*'Reference Standards'!$AG$347+E73*'Reference Standards'!$AG$348+'Reference Standards'!$AG$349,2)),  IF($B$12="65j",IF(E73&gt;0.035,0,ROUND(IF(E73&lt;=0.003,0.7,E73^2*'Reference Standards'!$AB$387+E73*'Reference Standards'!$AB$388+'Reference Standards'!$AB$389),2)),IF($B$12="69de",IF(E73&gt;0.037,0,ROUND(IF(E73&lt;=0.003,0.7,E73^2*'Reference Standards'!$AC$387+E73*'Reference Standards'!$AC$388+'Reference Standards'!$AC$389),2)),IF($B$12="71e",IF(E73&gt;0.23,0,ROUND(IF(E73&lt;=0.003,0.7,E73^2*'Reference Standards'!$AD$387+E73*'Reference Standards'!$AD$388+'Reference Standards'!$AD$389),2)),IF($B$12="66f",IF(E73&gt;0.06,0,ROUND(IF(E73&lt;=0.003,0.85,IF(E73&lt;=0.004,0.7,E73^2*'Reference Standards'!$AE$387+E73*'Reference Standards'!$AE$388+'Reference Standards'!$AE$389)),2)),IF($B$12="67g",IF(E73&gt;0.11,0,ROUND(IF(E73&lt;=0.01,E73*'Reference Standards'!$AH$388+'Reference Standards'!$AH$389, E73^2*'Reference Standards'!$AF$387+E73*'Reference Standards'!$AF$388+'Reference Standards'!$AF$389),2)),IF($B$12="74b",IF(E73&gt;0.49,0,ROUND(IF(E73&lt;=0.01,E73*'Reference Standards'!$AH$388+'Reference Standards'!$AH$389, E73^2*'Reference Standards'!$AG$387+E73*'Reference Standards'!$AG$388+'Reference Standards'!$AG$389),2)),IF($B$12="65abei",IF(E73&gt;0.199,0,ROUND(IF(E73&lt;=0.01,E73*'Reference Standards'!$AI$426+'Reference Standards'!$AI$427, E73^2*'Reference Standards'!$AE$425+E73*'Reference Standards'!$AE$426+'Reference Standards'!$AE$427),2))    )))))))))))))),      IF($B$13&lt;=2.5, IF(OR($B$12="66d",$B$12="66e",$B$12="66g"),IF(E73&gt;0.05,0,ROUND(IF(E73&lt;=0.002,1,IF(E73&lt;=0.005,E73*'Reference Standards'!$AF$464+'Reference Standards'!$AF$465, E73^2*'Reference Standards'!$AB$463+E73*'Reference Standards'!$AB$464+'Reference Standards'!$AB$465)),2)), IF($B$12="67fhi",IF(E73&gt;0.1,0,ROUND(IF(E73&lt;=0.002,1,IF(E73&lt;=0.006,E73*'Reference Standards'!$AG$464+'Reference Standards'!$AG$465, E73^2*'Reference Standards'!$AC$463+E73*'Reference Standards'!$AC$464+'Reference Standards'!$AC$465)),2)), IF($B$12="65abei",IF(E73&gt;0.13,0,ROUND(IF(E73&lt;=0.003,1,IF(E73&lt;=0.008,E73*'Reference Standards'!$AH$464+'Reference Standards'!$AH$465, E73^2*'Reference Standards'!$AD$463+E73*'Reference Standards'!$AD$464+'Reference Standards'!$AD$465)),2)), IF($B$12="68b",IF(E73&gt;0.043,0,ROUND(IF(E73&lt;=0.004,1, IF(E73&lt;=0.005,0.7, E73^2*'Reference Standards'!$AE$463+E73*'Reference Standards'!$AE$464+'Reference Standards'!$AE$465)),2)), IF($B$12="69de",IF(E73&gt;=0.034,0,ROUND(IF(E73&lt;=0.003,1, IF(E73&lt;=0.006,E73*'Reference Standards'!$AG$500+'Reference Standards'!$AG$501, E73*'Reference Standards'!$AB$500+'Reference Standards'!$AB$501)),2)), IF(OR($B$12="68a",$B$12="68c"),IF(E73&gt;0.202,0,ROUND(IF(E73&lt;=0.003,1, IF(E73&lt;=0.006,E73*'Reference Standards'!$AG$500+'Reference Standards'!$AG$501, IF(E73&gt;=0.04,E73*'Reference Standards'!$AC$500+'Reference Standards'!$AC$501,E73*'Reference Standards'!$AE$500+'Reference Standards'!$AE$501))),2)), IF(OR($B$12="71f",$B$12="71g"),IF(E73&gt;0.631,0,ROUND(IF(E73&lt;=0.003,1, IF(E73&lt;=0.006,E73*'Reference Standards'!$AG$500+'Reference Standards'!$AG$501, IF(E73&gt;=0.17,E73*'Reference Standards'!$AD$500+'Reference Standards'!$AD$501,E73*'Reference Standards'!$AF$500+'Reference Standards'!$AF$501))),2)),   IF($B$12="71e",IF(E73&gt;1.23,0,ROUND(IF(E73&lt;=0.004,1,IF(E73&lt;=0.006,E73*'Reference Standards'!$AF$538+'Reference Standards'!$AF$539, E73^2*'Reference Standards'!$AB$537+E73*'Reference Standards'!$AB$538+'Reference Standards'!$AB$539)),2)), IF($B$12="67g",IF(E73&gt;0.11,0,ROUND(IF(E73&lt;=0.006,1,IF(E73&lt;=0.011,E73*'Reference Standards'!$AG$538+'Reference Standards'!$AG$539, E73^2*'Reference Standards'!$AC$537+E73*'Reference Standards'!$AC$538+'Reference Standards'!$AC$539)),2)), IF($B$12="65j",IF(E73&gt;0.046,0,ROUND(IF(E73&lt;=0.007,1,IF(E73&lt;=0.012,E73*'Reference Standards'!$AH$538+'Reference Standards'!$AH$539, E73^2*'Reference Standards'!$AD$537+E73*'Reference Standards'!$AD$538+'Reference Standards'!$AD$539)),2)), IF($B$12="66f",IF(E73&gt;0.081,0,ROUND(IF(E73&lt;=0.008,1,IF(E73&lt;=0.011,E73*'Reference Standards'!$AI$538+'Reference Standards'!$AI$539, E73^2*'Reference Standards'!$AE$537+E73*'Reference Standards'!$AE$538+'Reference Standards'!$AE$539)),2)), IF(OR($B$12="71h",$B$12="71i"),IF(E73&gt;0.37,0,ROUND(IF(E73&lt;=0.013,1,IF(E73&lt;=0.032,E73*'Reference Standards'!$AH$576+'Reference Standards'!$AH$577, IF(E73&lt;=0.3,E73*'Reference Standards'!$AF$576+'Reference Standards'!$AF$577,E73*'Reference Standards'!$AB$576+'Reference Standards'!$AB$577))),2)), IF($B$12="73a",IF(E73&gt;0.448,0,ROUND(IF(E73&lt;=0.071,1,IF(E73&lt;=0.086,E73*'Reference Standards'!$AJ$576+'Reference Standards'!$AJ$577, IF(E73&lt;=0.165,E73*'Reference Standards'!$AG$576+'Reference Standards'!$AG$577,E73*'Reference Standards'!$AE$576+'Reference Standards'!$AE$577))),2)),  IF($B$12="74b",IF(E73&gt;0.43,0,ROUND(IF(E73&lt;=0.018,1,IF(E73&lt;=0.019,0.85, IF(E73&lt;=0.02,0.7, E73^2*'Reference Standards'!$AC$575+E73*'Reference Standards'!$AC$576+'Reference Standards'!$AC$577))),2)), IF($B$12="74a",IF(E73&gt;0.217,0,ROUND(IF(E73&lt;=0.02,1,IF(E73&lt;=0.033,E73*'Reference Standards'!$AI$576+'Reference Standards'!$AI$577, E73^2*'Reference Standards'!$AD$575+E73*'Reference Standards'!$AD$576+'Reference Standards'!$AD$577)),2))     )))))))))))))))))))</f>
        <v/>
      </c>
      <c r="G73" s="87" t="str">
        <f>IFERROR(AVERAGE(F73),"")</f>
        <v/>
      </c>
      <c r="H73" s="549"/>
      <c r="I73" s="536"/>
      <c r="J73" s="559"/>
      <c r="K73" s="555"/>
      <c r="L73" s="21"/>
      <c r="O73" s="19"/>
    </row>
    <row r="74" spans="1:15" ht="15.6" x14ac:dyDescent="0.3">
      <c r="A74" s="550" t="s">
        <v>59</v>
      </c>
      <c r="B74" s="560" t="s">
        <v>340</v>
      </c>
      <c r="C74" s="125" t="s">
        <v>331</v>
      </c>
      <c r="D74" s="126"/>
      <c r="E74" s="166"/>
      <c r="F74" s="345" t="str">
        <f>IF(E74="","",IF(OR(B$12="73a",B$12="73b"),IF(E74&lt;1,0,IF(E74&gt;=30,1,ROUND(IF(E74&lt;22,'Reference Standards'!$AL$16*E74+'Reference Standards'!$AL$17,'Reference Standards'!$AM$16*E74+'Reference Standards'!$AM$17),2))), IF(E74&lt;1,0, IF(E74&gt;=42,1, ROUND(IF(E74&lt;32,'Reference Standards'!$AN$16*E74+'Reference Standards'!$AN$17,'Reference Standards'!$AO$16*E74+'Reference Standards'!$AO$17),2)))))</f>
        <v/>
      </c>
      <c r="G74" s="531" t="str">
        <f>IFERROR(AVERAGE(F74:F77),"")</f>
        <v/>
      </c>
      <c r="H74" s="568" t="str">
        <f>IFERROR(ROUND(AVERAGE(G74:G79),2),"")</f>
        <v/>
      </c>
      <c r="I74" s="519" t="str">
        <f>IF(H74="","",IF(H74&gt;0.69,"Functioning",IF(H74&gt;0.29,"Functioning At Risk",IF(H74&gt;-1,"Not Functioning"))))</f>
        <v/>
      </c>
      <c r="J74" s="559"/>
      <c r="K74" s="555"/>
      <c r="L74" s="21"/>
      <c r="O74" s="19"/>
    </row>
    <row r="75" spans="1:15" ht="15.6" x14ac:dyDescent="0.3">
      <c r="A75" s="556"/>
      <c r="B75" s="561"/>
      <c r="C75" s="174" t="s">
        <v>335</v>
      </c>
      <c r="D75" s="175"/>
      <c r="E75" s="165"/>
      <c r="F75" s="346" t="str">
        <f>IF(E75="","",IF(AND($B$12="74b",$B$13&lt;=2),IF(E75&lt;0,0,IF(E75&gt;15.6,0.69,ROUND('Reference Standards'!$AL$54*E75^2+'Reference Standards'!$AL$55*E75+'Reference Standards'!$AL$56,2))),IF(AND($B$12="65abei",$B$13&lt;=2),IF(E75&lt;0,0,IF(E75&gt;=20,0.69,ROUND('Reference Standards'!$AM$54*E75^2+'Reference Standards'!$AM$55*E75+'Reference Standards'!$AM$56,2))),IF(OR(AND($B$12="74a",$B$13&gt;2,$B$19="January - June"),AND($B$12="71i",$B$13&gt;2,$B$20="SQBANK")),IF(E75&lt;0,0,IF(E75&gt;24.7,0.69,ROUND('Reference Standards'!$AN$54*E75^2+'Reference Standards'!$AN$55*E75+'Reference Standards'!$AN$56,2))),IF(OR($B$12="74b",$B$12="65abei"),IF(E75&lt;0,0,IF(E75&gt;32.7,0.69,ROUND('Reference Standards'!$AO$54*E75^2+'Reference Standards'!$AO$55*E75+'Reference Standards'!$AO$56,2))),IF(AND($B$12="68b",$B$13&gt;2),IF(E75&lt;0,0,IF(E75&gt;41.2,0.69,ROUND('Reference Standards'!$AP$54*E75^2+'Reference Standards'!$AP$55*E75+'Reference Standards'!$AP$56,2))),IF(OR(AND($B$12="71i",$B$13&lt;=2),AND(OR($B$12="68c",$B$12="68d"),$B$19="January - June")),IF(E75&lt;0,0,IF(E75&gt;49.2,0.69,ROUND('Reference Standards'!$AL$94*E75^2+'Reference Standards'!$AL$95*E75+'Reference Standards'!$AL$96,2))),IF(OR(AND($B$12="68a",$B$19="January - June"),AND(OR($B$12="68c",$B$12="68d"),$B$19="July - December")),IF(E75&lt;0,0,IF(E75&gt;53.4,0.69,ROUND('Reference Standards'!$AM$94*E75^2+'Reference Standards'!$AM$95*E75+'Reference Standards'!$AM$96,2))),IF(OR(AND($B$12="71i",$B$13&gt;2,$B$20="SQKICK"),AND(OR($B$12="67fhi",$B$12="67g"),$B$13&lt;=2),$B$12="65j"),IF(E75&lt;0,0,IF(E75&gt;57.8,0.69,ROUND('Reference Standards'!$AN$94*E75^2+'Reference Standards'!$AN$95*E75+'Reference Standards'!$AN$96,2))),IF(OR(AND($B$12="74a",$B$13&gt;2,$B$19="July - December"),AND(OR($B$12="67fhi",$B$12="67g"),$B$13&gt;2),$B$12="69de"),IF(E75&lt;0,0,IF(E75&gt;62.5,0.69,ROUND('Reference Standards'!$AO$94*E75^2+'Reference Standards'!$AO$95*E75+'Reference Standards'!$AO$96,2))),  IF(OR($B$12="66d",$B$12="66e",$B$12="66ik",$B$12="71e",$B$12="71f",$B$12="71g",$B$12="71h"),IF(E75&lt;0,0,IF(E75&gt;66.5,0.69,ROUND('Reference Standards'!$AP$94*E75^2+'Reference Standards'!$AP$95*E75+'Reference Standards'!$AP$96,2))),IF(OR($B$12="66f",$B$12="66g",$B$12="66j",AND($B$12="68a",$B$19="July - December")), IF(E75&lt;0,0,IF(E75&gt;69,0.69,ROUND('Reference Standards'!$AQ$94*E75^2+'Reference Standards'!$AQ$95*E75+'Reference Standards'!$AQ$96,2))))   )))))))))))</f>
        <v/>
      </c>
      <c r="G75" s="531"/>
      <c r="H75" s="568"/>
      <c r="I75" s="519"/>
      <c r="J75" s="559"/>
      <c r="K75" s="555"/>
      <c r="L75" s="21"/>
      <c r="O75" s="19"/>
    </row>
    <row r="76" spans="1:15" ht="15.6" x14ac:dyDescent="0.3">
      <c r="A76" s="556"/>
      <c r="B76" s="561"/>
      <c r="C76" s="174" t="s">
        <v>339</v>
      </c>
      <c r="D76" s="175"/>
      <c r="E76" s="165"/>
      <c r="F76" s="346" t="str">
        <f>IF(E76="","",IF(AND($B$12="74b",$B$13&lt;=2),IF(E76&lt;0,0,IF(E76&gt;8.1,0.69,ROUND('Reference Standards'!$AL$131*E76^2+'Reference Standards'!$AL$132*E76+'Reference Standards'!$AL$133,2))),IF(OR($B$12="73a",$B$12="73b"),IF(E76&lt;0,0,IF(E76&gt;=28,0.69,ROUND('Reference Standards'!$AM$131*E76^2+'Reference Standards'!$AM$132*E76+'Reference Standards'!$AM$133,2))),IF(AND($B$12="74a",$B$13&gt;2,$B$19="January - June"),IF(E76&lt;0,0,IF(E76&gt;=32.5,0.69,ROUND('Reference Standards'!$AN$131*E76^2+'Reference Standards'!$AN$132*E76+'Reference Standards'!$AN$133,2))),IF(AND($B$12="71i",$B$13&gt;2,$B$20="SQBANK"),IF(E76&lt;0,0,IF(E76&gt;=37,0.69,ROUND('Reference Standards'!$AO$131*E76^2+'Reference Standards'!$AO$132*E76+'Reference Standards'!$AO$133,2))),IF(OR(AND(OR($B$12="65abei",$B$12="74b"),$B$13&gt;2),AND($B$12="71i",$B$13&gt;2,$B$20="SQKICK")),IF(E76&lt;0,0,IF(E76&gt;42.6,0.69,ROUND('Reference Standards'!$AP$131*E76^2+'Reference Standards'!$AP$132*E76+'Reference Standards'!$AP$133,2))),     IF(OR(AND($B$12="65abei",$B$13&lt;=2),AND(OR($B$12="68c",$B$12="68d"),$B$19="July - December"),$B$12="71e"),IF(E76&lt;0,0,IF(E76&gt;=48,0.69,ROUND('Reference Standards'!$AL$171*E76^2+'Reference Standards'!$AL$172*E76+'Reference Standards'!$AL$173,2))),IF(OR($B$12="65j",$B$12="67fhi",$B$12="67g",AND($B$12="74a",$B$19="July - December",$B$13&gt;2),AND($B$12="71i",$B$13&lt;=2)),IF(E76&lt;0,0,IF(E76&gt;=53,0.69,ROUND('Reference Standards'!$AM$171*E76^2+'Reference Standards'!$AM$172*E76+'Reference Standards'!$AM$173,2))),IF(OR(AND(OR($B$12="68b",$B$12="71f",$B$12="71g",$B$12="71h"),$B$13&gt;2),$B$12="68a"),IF(E76&lt;0,0,IF(E76&gt;=57,0.69,ROUND('Reference Standards'!$AN$171*E76^2+'Reference Standards'!$AN$172*E76+'Reference Standards'!$AN$173,2))),IF(OR($B$12="66f",$B$12="66g",$B$12="66j",AND(OR($B$12="71f",$B$12="71g",$B$12="71h"),$B$13&lt;=2)),IF(E76&lt;0,0,IF(E76&gt;=60,0.69,ROUND('Reference Standards'!$AO$171*E76^2+'Reference Standards'!$AO$172*E76+'Reference Standards'!$AO$173,2))),  IF(OR($B$12="66d",$B$12="66e",$B$12="66ik", AND(OR($B$12="68c",$B$12="68d"),$B$19="January - June"),AND($B$12="69de",$B$19="July - December")),IF(E76&lt;0,0,IF(E76&gt;=67.5,0.69,ROUND('Reference Standards'!$AP$171*E76^2+'Reference Standards'!$AP$172*E76+'Reference Standards'!$AP$173,2))),IF(AND($B$12="69de",$B$19="January - June"), IF(E76&lt;0,0,IF(E76&gt;=72,0.69,ROUND('Reference Standards'!$AQ$171*E76^2+'Reference Standards'!$AQ$172*E76+'Reference Standards'!$AQ$173,2))))   )))))))))))</f>
        <v/>
      </c>
      <c r="G76" s="531"/>
      <c r="H76" s="568"/>
      <c r="I76" s="519"/>
      <c r="J76" s="559"/>
      <c r="K76" s="555"/>
      <c r="L76" s="21"/>
      <c r="O76" s="19"/>
    </row>
    <row r="77" spans="1:15" ht="15.6" x14ac:dyDescent="0.3">
      <c r="A77" s="556"/>
      <c r="B77" s="562"/>
      <c r="C77" s="127" t="s">
        <v>336</v>
      </c>
      <c r="D77" s="71"/>
      <c r="E77" s="167"/>
      <c r="F77" s="346" t="str">
        <f>IF(E77="","",IF(OR($B$12="67fhi",$B$12="67g",$B$12="71e",$B$12="73a",$B$12="73b",AND(OR($B$12="71f",$B$12="71g",$B$12="71h"),$B$13&gt;2)),IF(E77&gt;100,0,IF(E77&lt;15,0.69,ROUND('Reference Standards'!$AL$208*E77^2+'Reference Standards'!$AL$209*E77+'Reference Standards'!$AL$210,2))),  IF(OR($B$12="66d",$B$12="66e",$B$12="66ik",$B$12="66f",$B$12="66g",$B$12="66j",$B$12="68a",$B$12="68c",$B$12="68d",AND($B$12="69de",$B$19="July - December"), AND($B$12="71i",$B$13&lt;=2), AND($B$12="71i",$B$13&gt;2,$B$20="SQBANK" ), AND($B$12="74a",$B$13&gt;2,$B$19="July - December") ),IF(E77&gt;100,0,IF(E77&lt;19,0.69,ROUND('Reference Standards'!$AM$208*E77^2+'Reference Standards'!$AM$209*E77+'Reference Standards'!$AM$210,2))),    IF(OR(AND($B$12="69de",$B$19="January - June"),AND($B$12="71i",$B$13&gt;2,$B$20="SQKICK" )),IF(E77&gt;100,0,IF(E77&lt;22,0.69,ROUND('Reference Standards'!$AN$208*E77^2+'Reference Standards'!$AN$209*E77+'Reference Standards'!$AN$210,2))),    IF(OR($B$12="65j",AND($B$12="68b",$B$13&gt;2)),IF(E77&gt;100,0,IF(E77&lt;24,0.69,ROUND('Reference Standards'!$AO$208*E77^2+'Reference Standards'!$AO$209*E77+'Reference Standards'!$AO$210,2))),    IF(AND(OR($B$12="65abei",$B$12="71f",$B$12="71g",$B$12="71h"),$B$13&lt;=2),IF(E77&gt;95,0,IF(E77&lt;33,0.69,ROUND('Reference Standards'!$AL$246*E77^2+'Reference Standards'!$AL$247*E77+'Reference Standards'!$AL$248,2))),   IF(AND(OR($B$12="65abei",$B$12="74b"),$B$13&gt;2),IF(E77&gt;97,0,IF(E77&lt;36,0.69,ROUND('Reference Standards'!$AM$246*E77^2+'Reference Standards'!$AM$247*E77+'Reference Standards'!$AM$248,2))),  IF(AND($B$12="74a",$B$19="January - June",$B$13&gt;2),IF(E77&gt;93,0,IF(E77&lt;52,0.69,ROUND('Reference Standards'!$AN$246*E77^2+'Reference Standards'!$AN$247*E77+'Reference Standards'!$AN$248,2))),   IF(AND($B$12="74b",$B$13&lt;=2),IF(E77&gt;97,0,IF(E77&lt;62,0.69,ROUND('Reference Standards'!$AO$246*E77^2+'Reference Standards'!$AO$247*E77+'Reference Standards'!$AO$248,2)))  )))))))))</f>
        <v/>
      </c>
      <c r="G77" s="531"/>
      <c r="H77" s="568"/>
      <c r="I77" s="519"/>
      <c r="J77" s="559"/>
      <c r="K77" s="555"/>
      <c r="L77" s="21"/>
      <c r="O77" s="19"/>
    </row>
    <row r="78" spans="1:15" ht="15.6" x14ac:dyDescent="0.3">
      <c r="A78" s="556"/>
      <c r="B78" s="563" t="s">
        <v>74</v>
      </c>
      <c r="C78" s="125" t="s">
        <v>211</v>
      </c>
      <c r="D78" s="126"/>
      <c r="E78" s="136"/>
      <c r="F78" s="345" t="str">
        <f>IF(E78="","",IF(E78=1,0.15,IF(E78=3,0.5,IF(E78=5,0.85,0))))</f>
        <v/>
      </c>
      <c r="G78" s="564" t="str">
        <f>IFERROR(AVERAGE(F78:F79),"")</f>
        <v/>
      </c>
      <c r="H78" s="568"/>
      <c r="I78" s="519"/>
      <c r="J78" s="559"/>
      <c r="K78" s="555"/>
      <c r="L78" s="21"/>
      <c r="O78" s="19"/>
    </row>
    <row r="79" spans="1:15" ht="15.6" x14ac:dyDescent="0.3">
      <c r="A79" s="551"/>
      <c r="B79" s="563"/>
      <c r="C79" s="127" t="s">
        <v>332</v>
      </c>
      <c r="D79" s="71"/>
      <c r="E79" s="163"/>
      <c r="F79" s="347" t="str">
        <f>IF(E79="","",IF(E79=1,0.15,IF(E79=3,0.5,IF(E79=5,0.85,0))))</f>
        <v/>
      </c>
      <c r="G79" s="565"/>
      <c r="H79" s="568"/>
      <c r="I79" s="519"/>
      <c r="J79" s="559"/>
      <c r="K79" s="555"/>
      <c r="L79" s="21"/>
    </row>
    <row r="80" spans="1:15" x14ac:dyDescent="0.3">
      <c r="J80" s="13"/>
      <c r="K80" s="317"/>
      <c r="L80" s="21"/>
    </row>
    <row r="81" spans="1:12" x14ac:dyDescent="0.3">
      <c r="J81" s="13"/>
      <c r="K81" s="317"/>
      <c r="L81" s="21"/>
    </row>
    <row r="82" spans="1:12" ht="21" x14ac:dyDescent="0.4">
      <c r="A82" s="544" t="s">
        <v>57</v>
      </c>
      <c r="B82" s="545"/>
      <c r="C82" s="545"/>
      <c r="D82" s="545"/>
      <c r="E82" s="545"/>
      <c r="F82" s="546"/>
      <c r="G82" s="544" t="s">
        <v>18</v>
      </c>
      <c r="H82" s="545"/>
      <c r="I82" s="545"/>
      <c r="J82" s="545"/>
      <c r="K82" s="546"/>
      <c r="L82" s="21"/>
    </row>
    <row r="83" spans="1:12" ht="15.6" x14ac:dyDescent="0.3">
      <c r="A83" s="158" t="s">
        <v>1</v>
      </c>
      <c r="B83" s="158" t="s">
        <v>2</v>
      </c>
      <c r="C83" s="542" t="s">
        <v>3</v>
      </c>
      <c r="D83" s="543"/>
      <c r="E83" s="158" t="s">
        <v>15</v>
      </c>
      <c r="F83" s="302" t="s">
        <v>16</v>
      </c>
      <c r="G83" s="158" t="s">
        <v>19</v>
      </c>
      <c r="H83" s="158" t="s">
        <v>20</v>
      </c>
      <c r="I83" s="314" t="s">
        <v>20</v>
      </c>
      <c r="J83" s="158" t="s">
        <v>105</v>
      </c>
      <c r="K83" s="315" t="s">
        <v>105</v>
      </c>
    </row>
    <row r="84" spans="1:12" ht="15.6" x14ac:dyDescent="0.3">
      <c r="A84" s="540" t="s">
        <v>60</v>
      </c>
      <c r="B84" s="299" t="s">
        <v>86</v>
      </c>
      <c r="C84" s="52" t="s">
        <v>388</v>
      </c>
      <c r="D84" s="52"/>
      <c r="E84" s="162"/>
      <c r="F84" s="338" t="str">
        <f>IF(E84="","",IF(E84&lt;=0,0,IF(E84&gt;=0.95,1,ROUND('Reference Standards'!C$14*E84+'Reference Standards'!C$15,2))))</f>
        <v/>
      </c>
      <c r="G84" s="83" t="str">
        <f>IFERROR(AVERAGE(F84),"")</f>
        <v/>
      </c>
      <c r="H84" s="522" t="str">
        <f>IFERROR(ROUND(AVERAGE(G84:G85),2),"")</f>
        <v/>
      </c>
      <c r="I84" s="519" t="str">
        <f>IF(H84="","",IF(H84&gt;0.69,"Functioning",IF(H84&gt;0.29,"Functioning At Risk",IF(H84&gt;-1,"Not Functioning"))))</f>
        <v/>
      </c>
      <c r="J84" s="559" t="str">
        <f>IF(AND(H84="",H86="",H88="",H110="",H114=""),"",ROUND((IF(H84="",0,H84)*0.2)+(IF(H86="",0,H86)*0.2)+(IF(H88="",0,H88)*0.2)+(IF(H110="",0,H110)*0.2)+(IF(H114="",0,H114)*0.2),2))</f>
        <v/>
      </c>
      <c r="K84" s="555" t="str">
        <f>IF(J84="","",IF(J84&lt;0.3, "Not Functioning",IF(OR(H84&lt;0.7,H86&lt;0.7,H88&lt;0.7,H110&lt;0.7,H114&lt;0.7),"Functioning At Risk",IF(J84&lt;0.7,"Functioning At Risk","Functioning"))))</f>
        <v/>
      </c>
    </row>
    <row r="85" spans="1:12" ht="15.6" x14ac:dyDescent="0.3">
      <c r="A85" s="541"/>
      <c r="B85" s="371" t="s">
        <v>128</v>
      </c>
      <c r="C85" s="373" t="s">
        <v>161</v>
      </c>
      <c r="D85" s="374"/>
      <c r="E85" s="43"/>
      <c r="F85" s="372" t="str">
        <f>IF(E85="","",IF(E85&gt;=1,1,IF(E85&lt;=0,0,ROUND(E85,2))))</f>
        <v/>
      </c>
      <c r="G85" s="365" t="str">
        <f>IFERROR(AVERAGE(F85:F85),"")</f>
        <v/>
      </c>
      <c r="H85" s="523"/>
      <c r="I85" s="519"/>
      <c r="J85" s="559"/>
      <c r="K85" s="555"/>
    </row>
    <row r="86" spans="1:12" ht="15.6" x14ac:dyDescent="0.3">
      <c r="A86" s="524" t="s">
        <v>6</v>
      </c>
      <c r="B86" s="572" t="s">
        <v>7</v>
      </c>
      <c r="C86" s="54" t="s">
        <v>8</v>
      </c>
      <c r="D86" s="54"/>
      <c r="E86" s="162"/>
      <c r="F86" s="339" t="str">
        <f>IF(E86="","",ROUND(IF(E86&gt;1.6,0,IF(E86&lt;=1,1,E86^2*'Reference Standards'!K$14+E86*'Reference Standards'!K$15+'Reference Standards'!K$16)),2))</f>
        <v/>
      </c>
      <c r="G86" s="581" t="str">
        <f>IFERROR(AVERAGE(F86:F87),"")</f>
        <v/>
      </c>
      <c r="H86" s="579" t="str">
        <f>IFERROR(ROUND(AVERAGE(G86),2),"")</f>
        <v/>
      </c>
      <c r="I86" s="569" t="str">
        <f>IF(H86="","",IF(H86&gt;0.69,"Functioning",IF(H86&gt;0.29,"Functioning At Risk",IF(H86&gt;-1,"Not Functioning"))))</f>
        <v/>
      </c>
      <c r="J86" s="559"/>
      <c r="K86" s="555"/>
    </row>
    <row r="87" spans="1:12" ht="15.6" x14ac:dyDescent="0.3">
      <c r="A87" s="525"/>
      <c r="B87" s="525"/>
      <c r="C87" s="54" t="s">
        <v>9</v>
      </c>
      <c r="D87" s="55"/>
      <c r="E87" s="163"/>
      <c r="F87" s="339" t="str">
        <f>IF(E87="","",(IF(OR(B$11="A",B$11="B",$B$11="Bc"),IF(E87&lt;1.2,0,IF(E87&gt;=2.2,1,ROUND(IF(E87&lt;1.4,E87*'Reference Standards'!$K$84+'Reference Standards'!$K$85,E87*'Reference Standards'!$L$84+'Reference Standards'!$L$85),2))),IF(OR(B$11="C",B$11="E"),IF(E87&lt;2,0,IF(E87&gt;=5,1,ROUND(IF(E87&lt;2.4,E87*'Reference Standards'!$L$49+'Reference Standards'!$L$50,E87*'Reference Standards'!$K$49+'Reference Standards'!$K$50),2)))))))</f>
        <v/>
      </c>
      <c r="G87" s="580"/>
      <c r="H87" s="580"/>
      <c r="I87" s="570"/>
      <c r="J87" s="559"/>
      <c r="K87" s="555"/>
    </row>
    <row r="88" spans="1:12" ht="15.6" x14ac:dyDescent="0.3">
      <c r="A88" s="526" t="s">
        <v>26</v>
      </c>
      <c r="B88" s="557" t="s">
        <v>27</v>
      </c>
      <c r="C88" s="60" t="s">
        <v>333</v>
      </c>
      <c r="D88" s="244"/>
      <c r="E88" s="61"/>
      <c r="F88" s="340" t="str">
        <f>IF(E88="","",IF(OR(LEFT('Quantification Tool R5'!$B$12,2)="65",LEFT('Quantification Tool R5'!$B$12,2)="66",LEFT('Quantification Tool R5'!$B$12,2)="71"),IF(E88&gt;=850,1,IF(E88&lt;250,ROUND('Reference Standards'!$S$17*(E88)+'Reference Standards'!$S$18,2),ROUND('Reference Standards'!$T$17*E88+'Reference Standards'!$T$18,2))),  IF(E88&gt;=345,1,IF(E88&lt;=180,ROUND('Reference Standards'!$U$17*(E88)+'Reference Standards'!$U$18,2),ROUND('Reference Standards'!$V$17*E88+'Reference Standards'!$V$18,2))))    )</f>
        <v/>
      </c>
      <c r="G88" s="552" t="str">
        <f>IFERROR(AVERAGE(F88:F89),"")</f>
        <v/>
      </c>
      <c r="H88" s="567" t="str">
        <f>IFERROR(ROUND(AVERAGE(G88:G109),2),"")</f>
        <v/>
      </c>
      <c r="I88" s="555" t="str">
        <f>IF(H88="","",IF(H88&gt;0.69,"Functioning",IF(H88&gt;0.29,"Functioning At Risk",IF(H88&gt;-1,"Not Functioning"))))</f>
        <v/>
      </c>
      <c r="J88" s="559"/>
      <c r="K88" s="555"/>
    </row>
    <row r="89" spans="1:12" ht="15.6" x14ac:dyDescent="0.3">
      <c r="A89" s="520"/>
      <c r="B89" s="558"/>
      <c r="C89" s="63" t="s">
        <v>323</v>
      </c>
      <c r="D89" s="245"/>
      <c r="E89" s="53"/>
      <c r="F89" s="341" t="str">
        <f>IF(E89="","",IF(OR(LEFT('Quantification Tool R5'!$B$12,2)="65",LEFT('Quantification Tool R5'!$B$12,2)="66",LEFT('Quantification Tool R5'!$B$12,2)="71"),IF(E89&gt;=30,1,IF(E89&lt;13,ROUND('Reference Standards'!$S$53*(E89)+'Reference Standards'!$S$54,2),ROUND('Reference Standards'!$T$53*E89+'Reference Standards'!$T$54,2))),  IF(E89&gt;=16,1,IF(E89&lt;=9,ROUND('Reference Standards'!$U$53*(E89)+'Reference Standards'!$U$54,2),ROUND('Reference Standards'!$V$53*E89+'Reference Standards'!$V$54,2))))    )</f>
        <v/>
      </c>
      <c r="G89" s="554"/>
      <c r="H89" s="567"/>
      <c r="I89" s="555"/>
      <c r="J89" s="559"/>
      <c r="K89" s="555"/>
    </row>
    <row r="90" spans="1:12" ht="15.6" x14ac:dyDescent="0.3">
      <c r="A90" s="520"/>
      <c r="B90" s="520" t="s">
        <v>395</v>
      </c>
      <c r="C90" s="58" t="s">
        <v>80</v>
      </c>
      <c r="D90" s="58"/>
      <c r="E90" s="165"/>
      <c r="F90" s="340" t="str">
        <f>IF(E90="","",ROUND(IF(E90&gt;0.7,0,IF(E90&lt;=0.1,1,E90^3*'Reference Standards'!S$87+E90^2*'Reference Standards'!S$88+E90*'Reference Standards'!S$89+'Reference Standards'!S$90)),2))</f>
        <v/>
      </c>
      <c r="G90" s="529" t="str">
        <f>IFERROR(ROUND(AVERAGE(F90:F93),2),"")</f>
        <v/>
      </c>
      <c r="H90" s="567"/>
      <c r="I90" s="555"/>
      <c r="J90" s="559"/>
      <c r="K90" s="555"/>
    </row>
    <row r="91" spans="1:12" ht="15.6" x14ac:dyDescent="0.3">
      <c r="A91" s="520"/>
      <c r="B91" s="520"/>
      <c r="C91" s="58" t="s">
        <v>49</v>
      </c>
      <c r="D91" s="58"/>
      <c r="E91" s="165"/>
      <c r="F91" s="84" t="str">
        <f>IF(E91="","",IF(OR(E91="Ex/Ex",E91="Ex/VH"),0, IF(OR(E91="Ex/H",E91="VH/Ex",E91="VH/VH", E91="H/Ex",E91="H/VH",E91="M/Ex"),0.1,IF(OR(E91="Ex/M",E91="VH/H",E91="H/H", E91="M/VH"),0.2, IF(OR(E91="Ex/L",E91="VH/M",E91="H/M", E91="M/H",E91="L/Ex"),0.3, IF(OR(E91="Ex/VL",E91="VH/L",E91="H/L"),0.4, IF(OR(E91="VH/VL",E91="H/VL",E91="M/M", E91="L/VH"),0.5, IF(OR(E91="M/L",E91="L/H"),0.6, IF(OR(E91="M/VL",E91="L/M"),0.7, IF(OR(E91="L/L",E91="L/VL"),1))))))))))</f>
        <v/>
      </c>
      <c r="G91" s="529"/>
      <c r="H91" s="567"/>
      <c r="I91" s="555"/>
      <c r="J91" s="559"/>
      <c r="K91" s="555"/>
    </row>
    <row r="92" spans="1:12" ht="15.6" x14ac:dyDescent="0.3">
      <c r="A92" s="520"/>
      <c r="B92" s="520"/>
      <c r="C92" s="58" t="s">
        <v>87</v>
      </c>
      <c r="D92" s="58"/>
      <c r="E92" s="165"/>
      <c r="F92" s="84" t="str">
        <f>IF(E92="","",ROUND(IF(E92&gt;40,0,IF(E92&lt;5,1,E92^3*'Reference Standards'!S$122+E92^2*'Reference Standards'!S$123+E92*'Reference Standards'!S$124+'Reference Standards'!S$125)),2))</f>
        <v/>
      </c>
      <c r="G92" s="529"/>
      <c r="H92" s="567"/>
      <c r="I92" s="555"/>
      <c r="J92" s="559"/>
      <c r="K92" s="555"/>
    </row>
    <row r="93" spans="1:12" ht="15.6" x14ac:dyDescent="0.3">
      <c r="A93" s="520"/>
      <c r="B93" s="521"/>
      <c r="C93" s="59" t="s">
        <v>394</v>
      </c>
      <c r="D93" s="59"/>
      <c r="E93" s="167"/>
      <c r="F93" s="341" t="str">
        <f>IF(E93="","",ROUND(IF(E93&gt;=30,0,IF(E93&lt;=0,1,E93*'Reference Standards'!S$156+'Reference Standards'!S$157)),2))</f>
        <v/>
      </c>
      <c r="G93" s="529"/>
      <c r="H93" s="567"/>
      <c r="I93" s="555"/>
      <c r="J93" s="559"/>
      <c r="K93" s="555"/>
    </row>
    <row r="94" spans="1:12" ht="15.6" x14ac:dyDescent="0.3">
      <c r="A94" s="520"/>
      <c r="B94" s="526" t="s">
        <v>50</v>
      </c>
      <c r="C94" s="60" t="s">
        <v>377</v>
      </c>
      <c r="D94" s="64"/>
      <c r="E94" s="136"/>
      <c r="F94" s="294" t="str">
        <f>IF(E94="","",ROUND(IF(E94&gt;9.2,1,E94*'Reference Standards'!$S$189+'Reference Standards'!$S$190),2))</f>
        <v/>
      </c>
      <c r="G94" s="552" t="str">
        <f>IFERROR(AVERAGE(F94:F103),"")</f>
        <v/>
      </c>
      <c r="H94" s="567"/>
      <c r="I94" s="555"/>
      <c r="J94" s="559"/>
      <c r="K94" s="555"/>
    </row>
    <row r="95" spans="1:12" ht="15.6" x14ac:dyDescent="0.3">
      <c r="A95" s="520"/>
      <c r="B95" s="520"/>
      <c r="C95" s="62" t="s">
        <v>378</v>
      </c>
      <c r="D95" s="58"/>
      <c r="E95" s="162"/>
      <c r="F95" s="294" t="str">
        <f>IF(E95="","",ROUND(IF(E95&gt;9.2,1,E95*'Reference Standards'!$S$189+'Reference Standards'!$S$190),2))</f>
        <v/>
      </c>
      <c r="G95" s="553"/>
      <c r="H95" s="567"/>
      <c r="I95" s="555"/>
      <c r="J95" s="559"/>
      <c r="K95" s="555"/>
    </row>
    <row r="96" spans="1:12" ht="15.6" x14ac:dyDescent="0.3">
      <c r="A96" s="520"/>
      <c r="B96" s="520"/>
      <c r="C96" s="62" t="s">
        <v>379</v>
      </c>
      <c r="D96" s="58"/>
      <c r="E96" s="162"/>
      <c r="F96" s="294" t="str">
        <f>IF(E96="","",ROUND( IF(E96&gt;=200,1,IF(E96&lt;50, E96^2*'Reference Standards'!S$224+E96*'Reference Standards'!S$225+'Reference Standards'!S$226, E96*'Reference Standards'!T$224+'Reference Standards'!T$225)),2))</f>
        <v/>
      </c>
      <c r="G96" s="553"/>
      <c r="H96" s="567"/>
      <c r="I96" s="555"/>
      <c r="J96" s="559"/>
      <c r="K96" s="555"/>
    </row>
    <row r="97" spans="1:13" ht="15.6" x14ac:dyDescent="0.3">
      <c r="A97" s="520"/>
      <c r="B97" s="520"/>
      <c r="C97" s="62" t="s">
        <v>380</v>
      </c>
      <c r="D97" s="58"/>
      <c r="E97" s="162"/>
      <c r="F97" s="294" t="str">
        <f>IF(E97="","",ROUND( IF(E97&gt;=200,1,IF(E97&lt;50, E97^2*'Reference Standards'!S$224+E97*'Reference Standards'!S$225+'Reference Standards'!S$226, E97*'Reference Standards'!T$224+'Reference Standards'!T$225)),2))</f>
        <v/>
      </c>
      <c r="G97" s="553"/>
      <c r="H97" s="567"/>
      <c r="I97" s="555"/>
      <c r="J97" s="559"/>
      <c r="K97" s="555"/>
    </row>
    <row r="98" spans="1:13" ht="15.6" x14ac:dyDescent="0.3">
      <c r="A98" s="520"/>
      <c r="B98" s="520"/>
      <c r="C98" s="58" t="s">
        <v>381</v>
      </c>
      <c r="D98" s="58"/>
      <c r="E98" s="162"/>
      <c r="F98" s="294" t="str">
        <f>IF(E98="","",ROUND(IF(AND(E98&gt;=135,E98&lt;=262),1,IF(  E98&gt;=366,0.5, IF(E98&lt;135,E98*'Reference Standards'!S$259+'Reference Standards'!S$260, E98*'Reference Standards'!T$259+'Reference Standards'!T$260))),2))</f>
        <v/>
      </c>
      <c r="G98" s="553"/>
      <c r="H98" s="567"/>
      <c r="I98" s="555"/>
      <c r="J98" s="559"/>
      <c r="K98" s="555"/>
    </row>
    <row r="99" spans="1:13" ht="15.6" x14ac:dyDescent="0.3">
      <c r="A99" s="520"/>
      <c r="B99" s="520"/>
      <c r="C99" s="58" t="s">
        <v>382</v>
      </c>
      <c r="D99" s="58"/>
      <c r="E99" s="162"/>
      <c r="F99" s="294" t="str">
        <f>IF(E99="","",ROUND(IF(AND(E99&gt;=135,E99&lt;=262),1,IF(  E99&gt;=366,0.5, IF(E99&lt;135,E99*'Reference Standards'!S$259+'Reference Standards'!S$260, E99*'Reference Standards'!T$259+'Reference Standards'!T$260))),2))</f>
        <v/>
      </c>
      <c r="G99" s="553"/>
      <c r="H99" s="567"/>
      <c r="I99" s="555"/>
      <c r="J99" s="559"/>
      <c r="K99" s="555"/>
    </row>
    <row r="100" spans="1:13" ht="15.6" x14ac:dyDescent="0.3">
      <c r="A100" s="520"/>
      <c r="B100" s="520"/>
      <c r="C100" s="58" t="s">
        <v>383</v>
      </c>
      <c r="D100" s="58"/>
      <c r="E100" s="162"/>
      <c r="F100" s="84" t="str">
        <f>IF(E100="","",ROUND(IF(E100&gt;=75,1,IF(E100&lt;=0,0,E100*'Reference Standards'!S$330)),2))</f>
        <v/>
      </c>
      <c r="G100" s="553"/>
      <c r="H100" s="567"/>
      <c r="I100" s="555"/>
      <c r="J100" s="559"/>
      <c r="K100" s="555"/>
    </row>
    <row r="101" spans="1:13" ht="15.6" x14ac:dyDescent="0.3">
      <c r="A101" s="520"/>
      <c r="B101" s="520"/>
      <c r="C101" s="58" t="s">
        <v>384</v>
      </c>
      <c r="D101" s="58"/>
      <c r="E101" s="162"/>
      <c r="F101" s="84" t="str">
        <f>IF(E101="","",ROUND(IF(E101&gt;=75,1,IF(E101&lt;=0,0,E101*'Reference Standards'!S$330)),2))</f>
        <v/>
      </c>
      <c r="G101" s="553"/>
      <c r="H101" s="567"/>
      <c r="I101" s="555"/>
      <c r="J101" s="559"/>
      <c r="K101" s="555"/>
    </row>
    <row r="102" spans="1:13" ht="15.6" x14ac:dyDescent="0.3">
      <c r="A102" s="520"/>
      <c r="B102" s="520"/>
      <c r="C102" s="58" t="s">
        <v>385</v>
      </c>
      <c r="D102" s="58"/>
      <c r="E102" s="162"/>
      <c r="F102" s="294" t="str">
        <f>IF(E102="","",ROUND(IF(AND(E102&gt;=36.3,E102&lt;=68),1,IF(E102&gt;100,0,IF(E102&lt;36.3,(('Reference Standards'!S$297*(E102^2))+('Reference Standards'!S$298*E102)+'Reference Standards'!S$299),IF(E102&gt;68,(('Reference Standards'!T$297*(E102^2))+('Reference Standards'!T$298*E102)+'Reference Standards'!T$299))))),2))</f>
        <v/>
      </c>
      <c r="G102" s="553"/>
      <c r="H102" s="567"/>
      <c r="I102" s="555"/>
      <c r="J102" s="559"/>
      <c r="K102" s="555"/>
      <c r="M102" s="21"/>
    </row>
    <row r="103" spans="1:13" ht="15.6" x14ac:dyDescent="0.3">
      <c r="A103" s="520"/>
      <c r="B103" s="521"/>
      <c r="C103" s="58" t="s">
        <v>386</v>
      </c>
      <c r="D103" s="65"/>
      <c r="E103" s="162"/>
      <c r="F103" s="294" t="str">
        <f>IF(E103="","",ROUND(IF(AND(E103&gt;=36.3,E103&lt;=68),1,IF(E103&gt;100,0,IF(E103&lt;36.3,(('Reference Standards'!S$297*(E103^2))+('Reference Standards'!S$298*E103)+'Reference Standards'!S$299),IF(E103&gt;68,(('Reference Standards'!T$297*(E103^2))+('Reference Standards'!T$298*E103)+'Reference Standards'!T$299))))),2))</f>
        <v/>
      </c>
      <c r="G103" s="554"/>
      <c r="H103" s="567"/>
      <c r="I103" s="555"/>
      <c r="J103" s="559"/>
      <c r="K103" s="555"/>
    </row>
    <row r="104" spans="1:13" ht="15.6" x14ac:dyDescent="0.3">
      <c r="A104" s="520"/>
      <c r="B104" s="56" t="s">
        <v>108</v>
      </c>
      <c r="C104" s="72" t="s">
        <v>130</v>
      </c>
      <c r="D104" s="57"/>
      <c r="E104" s="43"/>
      <c r="F104" s="82" t="str">
        <f>IF(E104="","",IF(OR(B$14="Cobble",B$14="Gravel"),IF(E104&gt;0.1,1,IF(E104&lt;=0.01,0,ROUND(E104*'Reference Standards'!$S$362+'Reference Standards'!$S$363,2)))))</f>
        <v/>
      </c>
      <c r="G104" s="82" t="str">
        <f>IFERROR(AVERAGE(F104),"")</f>
        <v/>
      </c>
      <c r="H104" s="567"/>
      <c r="I104" s="555"/>
      <c r="J104" s="559"/>
      <c r="K104" s="555"/>
    </row>
    <row r="105" spans="1:13" ht="15.6" x14ac:dyDescent="0.3">
      <c r="A105" s="520"/>
      <c r="B105" s="526" t="s">
        <v>51</v>
      </c>
      <c r="C105" s="64" t="s">
        <v>52</v>
      </c>
      <c r="D105" s="64"/>
      <c r="E105" s="166"/>
      <c r="F105" s="337" t="str">
        <f>IF(E105="","", IF(ISNUMBER($B$17), IF($B$17&lt;=2,   IF(AND(E105&gt;=3,E105&lt;=5),1, IF(OR(E105&lt;=1,E105&gt;=7), 0, ROUND( IF(E105&lt;3, E105*'Reference Standards'!S$398+'Reference Standards'!S$399,E105*'Reference Standards'!T$398+'Reference Standards'!T$399),2) ) ),   IF(E105&lt;=2.5,1, IF(E105&gt;=5.8,0, E105*'Reference Standards'!S$430+'Reference Standards'!S$431)))   ))</f>
        <v/>
      </c>
      <c r="G105" s="552" t="str">
        <f>IFERROR(AVERAGE(F105:F108),"")</f>
        <v/>
      </c>
      <c r="H105" s="567"/>
      <c r="I105" s="555"/>
      <c r="J105" s="559"/>
      <c r="K105" s="555"/>
    </row>
    <row r="106" spans="1:13" ht="15.6" x14ac:dyDescent="0.3">
      <c r="A106" s="520"/>
      <c r="B106" s="520"/>
      <c r="C106" s="58" t="s">
        <v>53</v>
      </c>
      <c r="D106" s="58"/>
      <c r="E106" s="165"/>
      <c r="F106" s="84" t="str">
        <f>IF(E106="","", IF( E106&gt;=2.4,1, IF(E106&lt;=1,0,  ROUND(IF(E106&lt;2.4, E106*'Reference Standards'!$S$464+'Reference Standards'!$S$465  ),2))))</f>
        <v/>
      </c>
      <c r="G106" s="553"/>
      <c r="H106" s="567"/>
      <c r="I106" s="555"/>
      <c r="J106" s="559"/>
      <c r="K106" s="555"/>
    </row>
    <row r="107" spans="1:13" ht="15.6" x14ac:dyDescent="0.3">
      <c r="A107" s="520"/>
      <c r="B107" s="520"/>
      <c r="C107" s="58" t="s">
        <v>334</v>
      </c>
      <c r="D107" s="58"/>
      <c r="E107" s="165"/>
      <c r="F107" s="390" t="str">
        <f>IF(E107="","", IF(LEFT($B$12,2)="67",  IF( AND(E107&gt;=45,E107&lt;=65),1, IF(OR(E107&lt;=20,E107&gt;=90),0, ROUND(  IF(E107&lt;45, E107*'Reference Standards'!$S$498+'Reference Standards'!$S$499,E107*'Reference Standards'!$T$498+'Reference Standards'!$T$499),2))), IF(OR(  LEFT($B$12,2)="68", LEFT($B$12,2)="69",LEFT($B$12,2)="71"),  IF( AND(E107&gt;=30,E107&lt;=50),1, IF(OR(E107&lt;=10,E107&gt;=70),0, ROUND(  IF(E107&lt;30, E107*'Reference Standards'!$S$533+'Reference Standards'!$S$534,E107*'Reference Standards'!$T$533+'Reference Standards'!$T$534),2))), IF(LEFT($B$12,2)="66",  IF( AND(E107&gt;=20,E107&lt;=45),1, IF(OR(E107&lt;=0,E107&gt;=90),0, ROUND(  IF(E107&lt;20, E107*'Reference Standards'!$S$567+'Reference Standards'!$S$568,E107*'Reference Standards'!$T$567+'Reference Standards'!$T$568),2))), IF(OR(  LEFT($B$12,2)="65", LEFT($B$12,2)="74", LEFT($B$12,2)="73"),  IF( AND(E107&gt;=20,E107&lt;=30),1, IF(OR(E107&lt;=0,E107&gt;=50),0, ROUND(  IF(E107&lt;20, E107*'Reference Standards'!$S$601+'Reference Standards'!$S$602,E107*'Reference Standards'!$T$601+'Reference Standards'!$T$602),2))))))))</f>
        <v/>
      </c>
      <c r="G107" s="553"/>
      <c r="H107" s="567"/>
      <c r="I107" s="555"/>
      <c r="J107" s="559"/>
      <c r="K107" s="555"/>
    </row>
    <row r="108" spans="1:13" ht="15.6" x14ac:dyDescent="0.3">
      <c r="A108" s="520"/>
      <c r="B108" s="521"/>
      <c r="C108" s="62" t="s">
        <v>210</v>
      </c>
      <c r="D108" s="65"/>
      <c r="E108" s="167"/>
      <c r="F108" s="391" t="str">
        <f>IF(E108="","",IF(E108&gt;=1.6,0,IF(E108&lt;=1,1,ROUND('Reference Standards'!$S$633*E108^3+'Reference Standards'!$S$634*E108^2+'Reference Standards'!$S$635*E108+'Reference Standards'!$S$636,2))))</f>
        <v/>
      </c>
      <c r="G108" s="554"/>
      <c r="H108" s="567"/>
      <c r="I108" s="555"/>
      <c r="J108" s="559"/>
      <c r="K108" s="555"/>
    </row>
    <row r="109" spans="1:13" ht="15.6" x14ac:dyDescent="0.3">
      <c r="A109" s="521"/>
      <c r="B109" s="296" t="s">
        <v>55</v>
      </c>
      <c r="C109" s="242" t="s">
        <v>54</v>
      </c>
      <c r="D109" s="65"/>
      <c r="E109" s="163"/>
      <c r="F109" s="342" t="str">
        <f>IF(E109="","",IF(AND(B$11="E",$B$14="Sand",$B$21="Unconfined Alluvial"),ROUND(IF(OR(E109&gt;1.8,E109&lt;1.3),0,IF(E109&lt;=1.6,1,E109*'Reference Standards'!S$667+'Reference Standards'!S$668)),2),    IF($B$21="Unconfined Alluvial",ROUND(IF(OR(E109&lt;1.2, E109&gt;1.5),0,IF(E109&lt;=1.4,1,E109*'Reference Standards'!$S$700+'Reference Standards'!$S$701)),2), IF($B$21="Confined Alluvial",ROUND(IF(E109&lt;1.15,0,IF(E109&lt;=1.4,E109*'Reference Standards'!$S$729+'Reference Standards'!$S$730,1)),2),  IF($B$21="Colluvial",ROUND(IF(E109&gt;1.3,0,IF(E109&gt;1.2,E109*'Reference Standards'!$S$760+'Reference Standards'!$S$761,1)),2) )))))</f>
        <v/>
      </c>
      <c r="G109" s="84" t="str">
        <f>IFERROR(AVERAGE(F109),"")</f>
        <v/>
      </c>
      <c r="H109" s="567"/>
      <c r="I109" s="555"/>
      <c r="J109" s="559"/>
      <c r="K109" s="555"/>
      <c r="L109" s="13"/>
    </row>
    <row r="110" spans="1:13" ht="15.6" x14ac:dyDescent="0.3">
      <c r="A110" s="537" t="s">
        <v>58</v>
      </c>
      <c r="B110" s="298" t="s">
        <v>88</v>
      </c>
      <c r="C110" s="70" t="s">
        <v>338</v>
      </c>
      <c r="D110" s="68"/>
      <c r="E110" s="43"/>
      <c r="F110" s="343" t="str">
        <f>IF(E110="","",ROUND(IF(E110&gt;=942,0,IF(E110&lt;=487,E110*'Reference Standards'!AB$15+'Reference Standards'!AB$16,E110*'Reference Standards'!$AC$15+'Reference Standards'!$AC$16)),2))</f>
        <v/>
      </c>
      <c r="G110" s="85" t="str">
        <f>IFERROR(AVERAGE(F110),"")</f>
        <v/>
      </c>
      <c r="H110" s="547" t="str">
        <f>IFERROR(ROUND(AVERAGE(G110:G113),2),"")</f>
        <v/>
      </c>
      <c r="I110" s="534" t="str">
        <f>IF(H110="","",IF(H110&gt;0.69,"Functioning",IF(H110&gt;0.29,"Functioning At Risk",IF(H110&gt;-1,"Not Functioning"))))</f>
        <v/>
      </c>
      <c r="J110" s="559"/>
      <c r="K110" s="555"/>
      <c r="L110" s="13"/>
    </row>
    <row r="111" spans="1:13" ht="15.6" x14ac:dyDescent="0.3">
      <c r="A111" s="538"/>
      <c r="B111" s="297" t="s">
        <v>362</v>
      </c>
      <c r="C111" s="66" t="s">
        <v>354</v>
      </c>
      <c r="D111" s="70"/>
      <c r="E111" s="163"/>
      <c r="F111" s="344" t="str">
        <f>IF(E111="","",IF(OR($B$12="65abei", $B$12="65j", $B$12="66d", $B$12="66e", $B$12="66ik", $B$12="66f", $B$12="66g", $B$12="66j", $B$12="68a", $B$12="69de", $B$12="74b",AND(OR($B$12="67fhi", $B$12="67g"),$B$13&lt;=2),AND(OR($B$12="68c", $B$12="68d"),$B$19="January - June")),IF(E111&gt;93,0,IF(E111&lt;13,1,ROUND('Reference Standards'!$AB$53*E111^2+'Reference Standards'!$AB$54*E111+'Reference Standards'!$AB$55,2))),   IF(OR(AND(OR($B$12="67fhi", $B$12="67g",$B$12="71f",$B$12="71g",$B$12="71h"),$B$13&gt;2),AND(OR($B$12="68c", $B$12="68d"),$B$19="July - December"),$B$12="73a",$B$12="73b"),IF(E111&gt;94,0,IF(E111&lt;17,1,ROUND('Reference Standards'!$AC$53*E111^2+'Reference Standards'!$AC$54*E111+'Reference Standards'!$AC$55,2))),    IF(OR(AND(OR($B$12="68b",$B$12="71i"),$B$13&gt;2), $B$12="71e"),IF(E111&gt;91,0,IF(E111&lt;24,1,ROUND('Reference Standards'!$AD$53*E111^2+'Reference Standards'!$AD$54*E111+'Reference Standards'!$AD$55,2))),  IF(OR(AND(OR($B$12="71f",$B$12="71g",$B$12="71h",$B$12="71i"),$B$13&lt;=2), AND($B$12="74a",$B$13&gt;2)),IF(E111&gt;95,0,IF(E111&lt;=36,1,ROUND('Reference Standards'!$AE$53*E111^2+'Reference Standards'!$AE$54*E111+'Reference Standards'!$AE$55,2))))))))</f>
        <v/>
      </c>
      <c r="G111" s="236" t="str">
        <f>IFERROR(AVERAGE(F111:F111),"")</f>
        <v/>
      </c>
      <c r="H111" s="548"/>
      <c r="I111" s="535"/>
      <c r="J111" s="559"/>
      <c r="K111" s="555"/>
      <c r="L111" s="21"/>
    </row>
    <row r="112" spans="1:13" ht="15.6" x14ac:dyDescent="0.3">
      <c r="A112" s="538"/>
      <c r="B112" s="67" t="s">
        <v>81</v>
      </c>
      <c r="C112" s="68" t="s">
        <v>281</v>
      </c>
      <c r="D112" s="68"/>
      <c r="E112" s="162"/>
      <c r="F112" s="344" t="str">
        <f>IF(E112="","",IF(ISNUMBER($B$13), IF(OR($B$12="66e",$B$12="66f",$B$12="66g"), ROUND(IF(E112&gt;=0.61,0,IF(E112&lt;=0.01,1,IF(E112&lt;=0.06,E112*'Reference Standards'!$AD$197+'Reference Standards'!$AD$198,E112^2*'Reference Standards'!$AB$196+E112*'Reference Standards'!$AB$197+'Reference Standards'!$AB$198))),2),  IF($B$12="68b", ROUND(IF(E112&gt;=1.1,0,IF(E112&lt;=0.17,1,IF(E112&lt;=0.22,E112*'Reference Standards'!$AE$197+'Reference Standards'!$AE$198,E112^2*'Reference Standards'!$AC$196+E112*'Reference Standards'!$AC$197+'Reference Standards'!$AC$198))),2),IF($B$13&lt;=2.5,   IF($B$12="69de",ROUND(IF(E112&gt;=0.22,0,IF(E112&lt;=0.01,1,E112^2*'Reference Standards'!$AB$90+E112*'Reference Standards'!$AB$91+'Reference Standards'!$AB$92)),2),   IF($B$12="68c",ROUND(IF(E112&gt;=0.87,0,IF(E112&lt;=0.01,1,E112^2*'Reference Standards'!$AC$90+E112*'Reference Standards'!$AC$91+'Reference Standards'!$AC$92)),2),   IF($B$12="68a",ROUND(IF(E112&gt;=0.81,0,IF(E112&lt;=0.01,1,E112^2*'Reference Standards'!$AD$90+E112*'Reference Standards'!$AD$91+'Reference Standards'!$AD$92)),2),   IF($B$12="65abei",ROUND(IF(E112&gt;=0.67,0,IF(E112&lt;=0.01,1,IF(E112&lt;=0.18,E112*'Reference Standards'!$AG$91+'Reference Standards'!$AG$92,E112*'Reference Standards'!$AE$91+'Reference Standards'!$AE$92))),2),   IF($B$12="65j",ROUND(IF(E112&gt;=0.32,0,IF(E112&lt;=0.01,1,IF(E112&lt;=0.25,E112*'Reference Standards'!$AH$91+'Reference Standards'!$AH$92,E112*'Reference Standards'!$AF$91+'Reference Standards'!$AF$92))),2),   IF($B$12="71f",ROUND(IF(E112&gt;=3,0,IF(E112&lt;=0,1,IF(E112&lt;=0.01,0.7,E112^2*'Reference Standards'!$AB$126+E112*'Reference Standards'!$AB$127+'Reference Standards'!$AB$128))),2),   IF($B$12="74a",ROUND(IF(E112&gt;=0.14,0,IF(E112&lt;=0.01,1,IF(E112&lt;=0.02,0.7,E112^2*'Reference Standards'!$AC$126+E112*'Reference Standards'!$AC$127+'Reference Standards'!$AC$128))),2),   IF(OR($B$12="67fhi",$B$12="67g"),ROUND(IF(E112&gt;=1.9,0,IF(E112&lt;=0.01,1,IF(E112&lt;=0.05,E112*'Reference Standards'!$AF$127+'Reference Standards'!$AF$128,E112^2*'Reference Standards'!$AD$126+E112*'Reference Standards'!$AD$127+'Reference Standards'!$AD$128))),2),   IF($B$12="73a",ROUND(IF(E112&gt;=1.44,0,IF(E112&lt;=0.01,1,IF(E112&lt;=0.12,E112*'Reference Standards'!$AG$127+'Reference Standards'!$AG$128,E112^2*'Reference Standards'!$AE$126+E112*'Reference Standards'!$AE$127+'Reference Standards'!$AE$128))),2),   IF($B$12="66d",ROUND(IF(E112&gt;=0.46,0,IF(E112&lt;=0.02,1,IF(E112&lt;=0.08,E112*'Reference Standards'!$AF$163+'Reference Standards'!$AF$164,E112^2*'Reference Standards'!$AB$162+E112*'Reference Standards'!$AB$163+'Reference Standards'!$AB$164))),2),   IF(OR($B$12="71g",$B$12="71h",$B$12="71i"),ROUND(IF(E112&gt;=3,0,IF(E112&lt;=0.06,1,IF(E112&lt;=0.24,E112*'Reference Standards'!$AG$163+'Reference Standards'!$AG$164, E112^2*'Reference Standards'!$AC$162+E112*'Reference Standards'!$AC$163+'Reference Standards'!$AC$164))),2),   IF($B$12="74b",ROUND(IF(E112&gt;=1.3,0,IF(E112&lt;=0.29,1,IF(E112&lt;=0.48,E112*'Reference Standards'!$AH$163+'Reference Standards'!$AH$164,E112^2*'Reference Standards'!$AD$162+E112*'Reference Standards'!$AD$163+'Reference Standards'!$AD$164))),2),   IF($B$12="71e",ROUND(IF(E112&gt;=4.3,0,IF(E112&lt;=0.53,1,IF(E112&lt;=0.67,E112*'Reference Standards'!$AI$163+'Reference Standards'!$AI$164,E112^2*'Reference Standards'!$AE$162+E112*'Reference Standards'!$AE$163+'Reference Standards'!$AE$164))),2)       ))))))))))))),IF($B$13&gt;2.5,    IF($B$12="73a",ROUND(IF(E112&gt;=0.55,0,IF(E112&lt;=0,1,E112^2*'Reference Standards'!$AB$232+E112*'Reference Standards'!$AB$233+'Reference Standards'!$AB$234)),2),   IF($B$12="68a",ROUND(IF(E112&gt;=0.54,0,IF(E112&lt;=0,1, IF(E112&lt;=0.01,0.85, E112^2*'Reference Standards'!$AC$232+E112*'Reference Standards'!$AC$233+'Reference Standards'!$AC$234))),2),   IF($B$12="74a",ROUND(IF(E112&gt;=0.47,0,IF(E112&lt;=0.01,1, IF(E112&lt;=0.02,0.7, E112^2*'Reference Standards'!$AD$232+E112*'Reference Standards'!$AD$233+'Reference Standards'!$AD$234))),2),    IF($B$12="69de",ROUND(IF(E112&gt;=0.26,0,IF(E112&lt;=0.01,1, IF(E112&lt;=0.02,0.85, E112^2*'Reference Standards'!$AE$232+E112*'Reference Standards'!$AE$233+'Reference Standards'!$AE$234))),2),   IF($B$12="71f",ROUND(IF(E112&gt;=0.87,0,IF(E112&lt;=0.01,1,IF(E112&lt;=0.04,E112*'Reference Standards'!$AF$269+'Reference Standards'!$AF$270,E112^2*'Reference Standards'!$AB$268+E112*'Reference Standards'!$AB$269+'Reference Standards'!$AB$270))),2),  IF($B$12="65abei",ROUND(IF(E112&gt;=0.82,0,IF(E112&lt;=0.01,1,IF(E112&lt;=0.06,E112*'Reference Standards'!$AG$269+'Reference Standards'!$AG$270,E112^2*'Reference Standards'!$AC$268+E112*'Reference Standards'!$AC$269+'Reference Standards'!$AC$270))),2),  IF($B$12="65j",ROUND(IF(E112&gt;=0.33,0,IF(E112&lt;=0.03,1,IF(E112&lt;=0.09,E112*'Reference Standards'!$AH$269+'Reference Standards'!$AH$270,E112^2*'Reference Standards'!$AD$268+E112*'Reference Standards'!$AD$269+'Reference Standards'!$AD$270))),2),  IF($B$12="68c",ROUND(IF(E112&gt;=0.7,0,IF(E112&lt;=0.07,1,IF(E112&lt;=0.12,E112*'Reference Standards'!$AI$269+'Reference Standards'!$AI$270,E112^2*'Reference Standards'!$AE$268+E112*'Reference Standards'!$AE$269+'Reference Standards'!$AE$270))),2),   IF(OR($B$12="67fhi",$B$12="67g"),ROUND(IF(E112&gt;=1.8,0,IF(E112&lt;=0.08,1,IF(E112&lt;=0.2,E112*'Reference Standards'!$AF$306+'Reference Standards'!$AF$307,E112^2*'Reference Standards'!$AB$305+E112*'Reference Standards'!$AB$306+'Reference Standards'!$AB$307))),2),   IF($B$12="74b",ROUND(IF(E112&gt;=0.96,0,IF(E112&lt;=0.12,1,IF(E112&lt;=0.16,E112*'Reference Standards'!$AG$306+'Reference Standards'!$AG$307,E112^2*'Reference Standards'!$AC$305+E112*'Reference Standards'!$AC$306+'Reference Standards'!$AC$307))),2),   IF($B$12="66d",ROUND(IF(E112&gt;=0.75,0,IF(E112&lt;=0.13,1,IF(E112&lt;=0.2,E112*'Reference Standards'!$AH$306+'Reference Standards'!$AH$307,E112^2*'Reference Standards'!$AD$305+E112*'Reference Standards'!$AD$306+'Reference Standards'!$AD$307))),2),    IF(OR($B$12="71g",$B$12="71h",$B$12="71i"),ROUND(IF(E112&gt;=1.68,0,IF(E112&lt;=0.08,1,IF(E112&lt;=0.23,E112*'Reference Standards'!$AI$306+'Reference Standards'!$AI$307,E112^2*'Reference Standards'!$AE$305+E112*'Reference Standards'!$AE$306+'Reference Standards'!$AE$307))),2),   IF($B$12="71e",ROUND(IF(E112&gt;=5.3,0,IF(E112&lt;=0.94,1,IF(E112&lt;=1.4,E112*'Reference Standards'!$AF$310+'Reference Standards'!$AF$311,E112^2*'Reference Standards'!$AB$309+E112*'Reference Standards'!$AB$310+'Reference Standards'!$AB$311))),2))    ))))))))))))))))))</f>
        <v/>
      </c>
      <c r="G112" s="87" t="str">
        <f>IFERROR(AVERAGE(F112),"")</f>
        <v/>
      </c>
      <c r="H112" s="548"/>
      <c r="I112" s="535"/>
      <c r="J112" s="559"/>
      <c r="K112" s="555"/>
      <c r="L112" s="21"/>
    </row>
    <row r="113" spans="1:12" ht="15.6" x14ac:dyDescent="0.3">
      <c r="A113" s="539"/>
      <c r="B113" s="298" t="s">
        <v>82</v>
      </c>
      <c r="C113" s="66" t="s">
        <v>280</v>
      </c>
      <c r="D113" s="66"/>
      <c r="E113" s="136"/>
      <c r="F113" s="343" t="str">
        <f>IF(E113="","",IF(ISNUMBER($B$13),IF($B$13&gt;2.5,IF(OR($B$12="71h",$B$12="71i",$B$12="73a",$B$12="74a"),IF(E113&lt;=0.01,1,IF(OR($B$12="71h",$B$12="71i"),IF(E113&gt;0.37,0,ROUND(IF(E113&gt;0.03,'Reference Standards'!$AB$425*E113^2+'Reference Standards'!$AB$426*E113+'Reference Standards'!$AB$427,'Reference Standards'!$AF$426*E113+'Reference Standards'!$AF$427),2)),  IF($B$12="73a",IF(E113&gt;0.405,0,ROUND(IF(E113&gt;0.046,'Reference Standards'!$AC$425*E113^2+'Reference Standards'!$AC$426*E113+'Reference Standards'!$AC$427,'Reference Standards'!$AG$426*E113+'Reference Standards'!$AG$427),2)),IF($B$12="74a",IF(E113&gt;0.3,0,ROUND(IF(E113&gt;0.052,'Reference Standards'!$AD$425*E113^2+'Reference Standards'!$AD$426*E113+'Reference Standards'!$AD$427,'Reference Standards'!$AH$426*E113+'Reference Standards'!$AH$427),2)))))),   IF(E113&lt;=0.002,1,IF(OR($B$12="66d",$B$12="66e",$B$12="66g"),IF(E113&gt;0.053,0,ROUND(E113^2*'Reference Standards'!$AB$347+E113*'Reference Standards'!$AB$348+'Reference Standards'!$AB$349,2)), IF($B$12="68b",IF(E113&gt;0.05,0,ROUND(E113^2*'Reference Standards'!$AC$347+E113*'Reference Standards'!$AC$348+'Reference Standards'!$AC$349,2)),  IF(OR($B$12="68a",$B$12="68c"),IF(E113&gt;0.07,0,ROUND(E113^2*'Reference Standards'!$AD$347+E113*'Reference Standards'!$AD$348+'Reference Standards'!$AD$349,2)), IF(OR($B$12="71f",$B$12="71g"),IF(E113&gt;0.13,0,ROUND(IF(E113&gt;0.042,E113*'Reference Standards'!$AE$348+'Reference Standards'!$AE$349,E113*'Reference Standards'!$AF$348+'Reference Standards'!$AF$349),2)), IF($B$12="67fhi",IF(E113&gt;0.16,0,ROUND(E113^2*'Reference Standards'!$AG$347+E113*'Reference Standards'!$AG$348+'Reference Standards'!$AG$349,2)),  IF($B$12="65j",IF(E113&gt;0.035,0,ROUND(IF(E113&lt;=0.003,0.7,E113^2*'Reference Standards'!$AB$387+E113*'Reference Standards'!$AB$388+'Reference Standards'!$AB$389),2)),IF($B$12="69de",IF(E113&gt;0.037,0,ROUND(IF(E113&lt;=0.003,0.7,E113^2*'Reference Standards'!$AC$387+E113*'Reference Standards'!$AC$388+'Reference Standards'!$AC$389),2)),IF($B$12="71e",IF(E113&gt;0.23,0,ROUND(IF(E113&lt;=0.003,0.7,E113^2*'Reference Standards'!$AD$387+E113*'Reference Standards'!$AD$388+'Reference Standards'!$AD$389),2)),IF($B$12="66f",IF(E113&gt;0.06,0,ROUND(IF(E113&lt;=0.003,0.85,IF(E113&lt;=0.004,0.7,E113^2*'Reference Standards'!$AE$387+E113*'Reference Standards'!$AE$388+'Reference Standards'!$AE$389)),2)),IF($B$12="67g",IF(E113&gt;0.11,0,ROUND(IF(E113&lt;=0.01,E113*'Reference Standards'!$AH$388+'Reference Standards'!$AH$389, E113^2*'Reference Standards'!$AF$387+E113*'Reference Standards'!$AF$388+'Reference Standards'!$AF$389),2)),IF($B$12="74b",IF(E113&gt;0.49,0,ROUND(IF(E113&lt;=0.01,E113*'Reference Standards'!$AH$388+'Reference Standards'!$AH$389, E113^2*'Reference Standards'!$AG$387+E113*'Reference Standards'!$AG$388+'Reference Standards'!$AG$389),2)),IF($B$12="65abei",IF(E113&gt;0.199,0,ROUND(IF(E113&lt;=0.01,E113*'Reference Standards'!$AI$426+'Reference Standards'!$AI$427, E113^2*'Reference Standards'!$AE$425+E113*'Reference Standards'!$AE$426+'Reference Standards'!$AE$427),2))    )))))))))))))),      IF($B$13&lt;=2.5, IF(OR($B$12="66d",$B$12="66e",$B$12="66g"),IF(E113&gt;0.05,0,ROUND(IF(E113&lt;=0.002,1,IF(E113&lt;=0.005,E113*'Reference Standards'!$AF$464+'Reference Standards'!$AF$465, E113^2*'Reference Standards'!$AB$463+E113*'Reference Standards'!$AB$464+'Reference Standards'!$AB$465)),2)), IF($B$12="67fhi",IF(E113&gt;0.1,0,ROUND(IF(E113&lt;=0.002,1,IF(E113&lt;=0.006,E113*'Reference Standards'!$AG$464+'Reference Standards'!$AG$465, E113^2*'Reference Standards'!$AC$463+E113*'Reference Standards'!$AC$464+'Reference Standards'!$AC$465)),2)), IF($B$12="65abei",IF(E113&gt;0.13,0,ROUND(IF(E113&lt;=0.003,1,IF(E113&lt;=0.008,E113*'Reference Standards'!$AH$464+'Reference Standards'!$AH$465, E113^2*'Reference Standards'!$AD$463+E113*'Reference Standards'!$AD$464+'Reference Standards'!$AD$465)),2)), IF($B$12="68b",IF(E113&gt;0.043,0,ROUND(IF(E113&lt;=0.004,1, IF(E113&lt;=0.005,0.7, E113^2*'Reference Standards'!$AE$463+E113*'Reference Standards'!$AE$464+'Reference Standards'!$AE$465)),2)), IF($B$12="69de",IF(E113&gt;=0.034,0,ROUND(IF(E113&lt;=0.003,1, IF(E113&lt;=0.006,E113*'Reference Standards'!$AG$500+'Reference Standards'!$AG$501, E113*'Reference Standards'!$AB$500+'Reference Standards'!$AB$501)),2)), IF(OR($B$12="68a",$B$12="68c"),IF(E113&gt;0.202,0,ROUND(IF(E113&lt;=0.003,1, IF(E113&lt;=0.006,E113*'Reference Standards'!$AG$500+'Reference Standards'!$AG$501, IF(E113&gt;=0.04,E113*'Reference Standards'!$AC$500+'Reference Standards'!$AC$501,E113*'Reference Standards'!$AE$500+'Reference Standards'!$AE$501))),2)), IF(OR($B$12="71f",$B$12="71g"),IF(E113&gt;0.631,0,ROUND(IF(E113&lt;=0.003,1, IF(E113&lt;=0.006,E113*'Reference Standards'!$AG$500+'Reference Standards'!$AG$501, IF(E113&gt;=0.17,E113*'Reference Standards'!$AD$500+'Reference Standards'!$AD$501,E113*'Reference Standards'!$AF$500+'Reference Standards'!$AF$501))),2)),   IF($B$12="71e",IF(E113&gt;1.23,0,ROUND(IF(E113&lt;=0.004,1,IF(E113&lt;=0.006,E113*'Reference Standards'!$AF$538+'Reference Standards'!$AF$539, E113^2*'Reference Standards'!$AB$537+E113*'Reference Standards'!$AB$538+'Reference Standards'!$AB$539)),2)), IF($B$12="67g",IF(E113&gt;0.11,0,ROUND(IF(E113&lt;=0.006,1,IF(E113&lt;=0.011,E113*'Reference Standards'!$AG$538+'Reference Standards'!$AG$539, E113^2*'Reference Standards'!$AC$537+E113*'Reference Standards'!$AC$538+'Reference Standards'!$AC$539)),2)), IF($B$12="65j",IF(E113&gt;0.046,0,ROUND(IF(E113&lt;=0.007,1,IF(E113&lt;=0.012,E113*'Reference Standards'!$AH$538+'Reference Standards'!$AH$539, E113^2*'Reference Standards'!$AD$537+E113*'Reference Standards'!$AD$538+'Reference Standards'!$AD$539)),2)), IF($B$12="66f",IF(E113&gt;0.081,0,ROUND(IF(E113&lt;=0.008,1,IF(E113&lt;=0.011,E113*'Reference Standards'!$AI$538+'Reference Standards'!$AI$539, E113^2*'Reference Standards'!$AE$537+E113*'Reference Standards'!$AE$538+'Reference Standards'!$AE$539)),2)), IF(OR($B$12="71h",$B$12="71i"),IF(E113&gt;0.37,0,ROUND(IF(E113&lt;=0.013,1,IF(E113&lt;=0.032,E113*'Reference Standards'!$AH$576+'Reference Standards'!$AH$577, IF(E113&lt;=0.3,E113*'Reference Standards'!$AF$576+'Reference Standards'!$AF$577,E113*'Reference Standards'!$AB$576+'Reference Standards'!$AB$577))),2)), IF($B$12="73a",IF(E113&gt;0.448,0,ROUND(IF(E113&lt;=0.071,1,IF(E113&lt;=0.086,E113*'Reference Standards'!$AJ$576+'Reference Standards'!$AJ$577, IF(E113&lt;=0.165,E113*'Reference Standards'!$AG$576+'Reference Standards'!$AG$577,E113*'Reference Standards'!$AE$576+'Reference Standards'!$AE$577))),2)),  IF($B$12="74b",IF(E113&gt;0.43,0,ROUND(IF(E113&lt;=0.018,1,IF(E113&lt;=0.019,0.85, IF(E113&lt;=0.02,0.7, E113^2*'Reference Standards'!$AC$575+E113*'Reference Standards'!$AC$576+'Reference Standards'!$AC$577))),2)), IF($B$12="74a",IF(E113&gt;0.217,0,ROUND(IF(E113&lt;=0.02,1,IF(E113&lt;=0.033,E113*'Reference Standards'!$AI$576+'Reference Standards'!$AI$577, E113^2*'Reference Standards'!$AD$575+E113*'Reference Standards'!$AD$576+'Reference Standards'!$AD$577)),2))     )))))))))))))))))))</f>
        <v/>
      </c>
      <c r="G113" s="85" t="str">
        <f>IFERROR(AVERAGE(F113),"")</f>
        <v/>
      </c>
      <c r="H113" s="549"/>
      <c r="I113" s="536"/>
      <c r="J113" s="559"/>
      <c r="K113" s="555"/>
      <c r="L113" s="21"/>
    </row>
    <row r="114" spans="1:12" ht="15.6" x14ac:dyDescent="0.3">
      <c r="A114" s="550" t="s">
        <v>59</v>
      </c>
      <c r="B114" s="560" t="s">
        <v>340</v>
      </c>
      <c r="C114" s="125" t="s">
        <v>331</v>
      </c>
      <c r="D114" s="126"/>
      <c r="E114" s="166"/>
      <c r="F114" s="345" t="str">
        <f>IF(E114="","",IF(OR(B$12="73a",B$12="73b"),IF(E114&lt;1,0,IF(E114&gt;=30,1,ROUND(IF(E114&lt;22,'Reference Standards'!$AL$16*E114+'Reference Standards'!$AL$17,'Reference Standards'!$AM$16*E114+'Reference Standards'!$AM$17),2))), IF(E114&lt;1,0, IF(E114&gt;=42,1, ROUND(IF(E114&lt;32,'Reference Standards'!$AN$16*E114+'Reference Standards'!$AN$17,'Reference Standards'!$AO$16*E114+'Reference Standards'!$AO$17),2)))))</f>
        <v/>
      </c>
      <c r="G114" s="582" t="str">
        <f>IFERROR(AVERAGE(F114:F117),"")</f>
        <v/>
      </c>
      <c r="H114" s="568" t="str">
        <f>IFERROR(ROUND(AVERAGE(G114:G119),2),"")</f>
        <v/>
      </c>
      <c r="I114" s="519" t="str">
        <f>IF(H114="","",IF(H114&gt;0.69,"Functioning",IF(H114&gt;0.29,"Functioning At Risk",IF(H114&gt;-1,"Not Functioning"))))</f>
        <v/>
      </c>
      <c r="J114" s="559"/>
      <c r="K114" s="555"/>
      <c r="L114" s="21"/>
    </row>
    <row r="115" spans="1:12" ht="15.6" x14ac:dyDescent="0.3">
      <c r="A115" s="556"/>
      <c r="B115" s="561"/>
      <c r="C115" s="174" t="s">
        <v>335</v>
      </c>
      <c r="D115" s="175"/>
      <c r="E115" s="165"/>
      <c r="F115" s="346" t="str">
        <f>IF(E115="","",IF(AND($B$12="74b",$B$13&lt;=2),IF(E115&lt;0,0,IF(E115&gt;15.6,0.69,ROUND('Reference Standards'!$AL$54*E115^2+'Reference Standards'!$AL$55*E115+'Reference Standards'!$AL$56,2))),IF(AND($B$12="65abei",$B$13&lt;=2),IF(E115&lt;0,0,IF(E115&gt;=20,0.69,ROUND('Reference Standards'!$AM$54*E115^2+'Reference Standards'!$AM$55*E115+'Reference Standards'!$AM$56,2))),IF(OR(AND($B$12="74a",$B$13&gt;2,$B$19="January - June"),AND($B$12="71i",$B$13&gt;2,$B$20="SQBANK")),IF(E115&lt;0,0,IF(E115&gt;24.7,0.69,ROUND('Reference Standards'!$AN$54*E115^2+'Reference Standards'!$AN$55*E115+'Reference Standards'!$AN$56,2))),IF(OR($B$12="74b",$B$12="65abei"),IF(E115&lt;0,0,IF(E115&gt;32.7,0.69,ROUND('Reference Standards'!$AO$54*E115^2+'Reference Standards'!$AO$55*E115+'Reference Standards'!$AO$56,2))),IF(AND($B$12="68b",$B$13&gt;2),IF(E115&lt;0,0,IF(E115&gt;41.2,0.69,ROUND('Reference Standards'!$AP$54*E115^2+'Reference Standards'!$AP$55*E115+'Reference Standards'!$AP$56,2))),IF(OR(AND($B$12="71i",$B$13&lt;=2),AND(OR($B$12="68c",$B$12="68d"),$B$19="January - June")),IF(E115&lt;0,0,IF(E115&gt;49.2,0.69,ROUND('Reference Standards'!$AL$94*E115^2+'Reference Standards'!$AL$95*E115+'Reference Standards'!$AL$96,2))),IF(OR(AND($B$12="68a",$B$19="January - June"),AND(OR($B$12="68c",$B$12="68d"),$B$19="July - December")),IF(E115&lt;0,0,IF(E115&gt;53.4,0.69,ROUND('Reference Standards'!$AM$94*E115^2+'Reference Standards'!$AM$95*E115+'Reference Standards'!$AM$96,2))),IF(OR(AND($B$12="71i",$B$13&gt;2,$B$20="SQKICK"),AND(OR($B$12="67fhi",$B$12="67g"),$B$13&lt;=2),$B$12="65j"),IF(E115&lt;0,0,IF(E115&gt;57.8,0.69,ROUND('Reference Standards'!$AN$94*E115^2+'Reference Standards'!$AN$95*E115+'Reference Standards'!$AN$96,2))),IF(OR(AND($B$12="74a",$B$13&gt;2,$B$19="July - December"),AND(OR($B$12="67fhi",$B$12="67g"),$B$13&gt;2),$B$12="69de"),IF(E115&lt;0,0,IF(E115&gt;62.5,0.69,ROUND('Reference Standards'!$AO$94*E115^2+'Reference Standards'!$AO$95*E115+'Reference Standards'!$AO$96,2))),  IF(OR($B$12="66d",$B$12="66e",$B$12="66ik",$B$12="71e",$B$12="71f",$B$12="71g",$B$12="71h"),IF(E115&lt;0,0,IF(E115&gt;66.5,0.69,ROUND('Reference Standards'!$AP$94*E115^2+'Reference Standards'!$AP$95*E115+'Reference Standards'!$AP$96,2))),IF(OR($B$12="66f",$B$12="66g",$B$12="66j",AND($B$12="68a",$B$19="July - December")), IF(E115&lt;0,0,IF(E115&gt;69,0.69,ROUND('Reference Standards'!$AQ$94*E115^2+'Reference Standards'!$AQ$95*E115+'Reference Standards'!$AQ$96,2))))   )))))))))))</f>
        <v/>
      </c>
      <c r="G115" s="584"/>
      <c r="H115" s="568"/>
      <c r="I115" s="519"/>
      <c r="J115" s="559"/>
      <c r="K115" s="555"/>
      <c r="L115" s="21"/>
    </row>
    <row r="116" spans="1:12" ht="15.6" x14ac:dyDescent="0.3">
      <c r="A116" s="556"/>
      <c r="B116" s="561"/>
      <c r="C116" s="174" t="s">
        <v>339</v>
      </c>
      <c r="D116" s="175"/>
      <c r="E116" s="165"/>
      <c r="F116" s="346" t="str">
        <f>IF(E116="","",IF(AND($B$12="74b",$B$13&lt;=2),IF(E116&lt;0,0,IF(E116&gt;8.1,0.69,ROUND('Reference Standards'!$AL$131*E116^2+'Reference Standards'!$AL$132*E116+'Reference Standards'!$AL$133,2))),IF(OR($B$12="73a",$B$12="73b"),IF(E116&lt;0,0,IF(E116&gt;=28,0.69,ROUND('Reference Standards'!$AM$131*E116^2+'Reference Standards'!$AM$132*E116+'Reference Standards'!$AM$133,2))),IF(AND($B$12="74a",$B$13&gt;2,$B$19="January - June"),IF(E116&lt;0,0,IF(E116&gt;=32.5,0.69,ROUND('Reference Standards'!$AN$131*E116^2+'Reference Standards'!$AN$132*E116+'Reference Standards'!$AN$133,2))),IF(AND($B$12="71i",$B$13&gt;2,$B$20="SQBANK"),IF(E116&lt;0,0,IF(E116&gt;=37,0.69,ROUND('Reference Standards'!$AO$131*E116^2+'Reference Standards'!$AO$132*E116+'Reference Standards'!$AO$133,2))),IF(OR(AND(OR($B$12="65abei",$B$12="74b"),$B$13&gt;2),AND($B$12="71i",$B$13&gt;2,$B$20="SQKICK")),IF(E116&lt;0,0,IF(E116&gt;42.6,0.69,ROUND('Reference Standards'!$AP$131*E116^2+'Reference Standards'!$AP$132*E116+'Reference Standards'!$AP$133,2))),     IF(OR(AND($B$12="65abei",$B$13&lt;=2),AND(OR($B$12="68c",$B$12="68d"),$B$19="July - December"),$B$12="71e"),IF(E116&lt;0,0,IF(E116&gt;=48,0.69,ROUND('Reference Standards'!$AL$171*E116^2+'Reference Standards'!$AL$172*E116+'Reference Standards'!$AL$173,2))),IF(OR($B$12="65j",$B$12="67fhi",$B$12="67g",AND($B$12="74a",$B$19="July - December",$B$13&gt;2),AND($B$12="71i",$B$13&lt;=2)),IF(E116&lt;0,0,IF(E116&gt;=53,0.69,ROUND('Reference Standards'!$AM$171*E116^2+'Reference Standards'!$AM$172*E116+'Reference Standards'!$AM$173,2))),IF(OR(AND(OR($B$12="68b",$B$12="71f",$B$12="71g",$B$12="71h"),$B$13&gt;2),$B$12="68a"),IF(E116&lt;0,0,IF(E116&gt;=57,0.69,ROUND('Reference Standards'!$AN$171*E116^2+'Reference Standards'!$AN$172*E116+'Reference Standards'!$AN$173,2))),IF(OR($B$12="66f",$B$12="66g",$B$12="66j",AND(OR($B$12="71f",$B$12="71g",$B$12="71h"),$B$13&lt;=2)),IF(E116&lt;0,0,IF(E116&gt;=60,0.69,ROUND('Reference Standards'!$AO$171*E116^2+'Reference Standards'!$AO$172*E116+'Reference Standards'!$AO$173,2))),  IF(OR($B$12="66d",$B$12="66e",$B$12="66ik", AND(OR($B$12="68c",$B$12="68d"),$B$19="January - June"),AND($B$12="69de",$B$19="July - December")),IF(E116&lt;0,0,IF(E116&gt;=67.5,0.69,ROUND('Reference Standards'!$AP$171*E116^2+'Reference Standards'!$AP$172*E116+'Reference Standards'!$AP$173,2))),IF(AND($B$12="69de",$B$19="January - June"), IF(E116&lt;0,0,IF(E116&gt;=72,0.69,ROUND('Reference Standards'!$AQ$171*E116^2+'Reference Standards'!$AQ$172*E116+'Reference Standards'!$AQ$173,2))))   )))))))))))</f>
        <v/>
      </c>
      <c r="G116" s="584"/>
      <c r="H116" s="568"/>
      <c r="I116" s="519"/>
      <c r="J116" s="559"/>
      <c r="K116" s="555"/>
      <c r="L116" s="21"/>
    </row>
    <row r="117" spans="1:12" ht="15.6" x14ac:dyDescent="0.3">
      <c r="A117" s="556"/>
      <c r="B117" s="562"/>
      <c r="C117" s="127" t="s">
        <v>336</v>
      </c>
      <c r="D117" s="175"/>
      <c r="E117" s="167"/>
      <c r="F117" s="346" t="str">
        <f>IF(E117="","",IF(OR($B$12="67fhi",$B$12="67g",$B$12="71e",$B$12="73a",$B$12="73b",AND(OR($B$12="71f",$B$12="71g",$B$12="71h"),$B$13&gt;2)),IF(E117&gt;100,0,IF(E117&lt;15,0.69,ROUND('Reference Standards'!$AL$208*E117^2+'Reference Standards'!$AL$209*E117+'Reference Standards'!$AL$210,2))),  IF(OR($B$12="66d",$B$12="66e",$B$12="66ik",$B$12="66f",$B$12="66g",$B$12="66j",$B$12="68a",$B$12="68c",$B$12="68d",AND($B$12="69de",$B$19="July - December"), AND($B$12="71i",$B$13&lt;=2), AND($B$12="71i",$B$13&gt;2,$B$20="SQBANK" ), AND($B$12="74a",$B$13&gt;2,$B$19="July - December") ),IF(E117&gt;100,0,IF(E117&lt;19,0.69,ROUND('Reference Standards'!$AM$208*E117^2+'Reference Standards'!$AM$209*E117+'Reference Standards'!$AM$210,2))),    IF(OR(AND($B$12="69de",$B$19="January - June"),AND($B$12="71i",$B$13&gt;2,$B$20="SQKICK" )),IF(E117&gt;100,0,IF(E117&lt;22,0.69,ROUND('Reference Standards'!$AN$208*E117^2+'Reference Standards'!$AN$209*E117+'Reference Standards'!$AN$210,2))),    IF(OR($B$12="65j",AND($B$12="68b",$B$13&gt;2)),IF(E117&gt;100,0,IF(E117&lt;24,0.69,ROUND('Reference Standards'!$AO$208*E117^2+'Reference Standards'!$AO$209*E117+'Reference Standards'!$AO$210,2))),    IF(AND(OR($B$12="65abei",$B$12="71f",$B$12="71g",$B$12="71h"),$B$13&lt;=2),IF(E117&gt;95,0,IF(E117&lt;33,0.69,ROUND('Reference Standards'!$AL$246*E117^2+'Reference Standards'!$AL$247*E117+'Reference Standards'!$AL$248,2))),   IF(AND(OR($B$12="65abei",$B$12="74b"),$B$13&gt;2),IF(E117&gt;97,0,IF(E117&lt;36,0.69,ROUND('Reference Standards'!$AM$246*E117^2+'Reference Standards'!$AM$247*E117+'Reference Standards'!$AM$248,2))),  IF(AND($B$12="74a",$B$19="January - June",$B$13&gt;2),IF(E117&gt;93,0,IF(E117&lt;52,0.69,ROUND('Reference Standards'!$AN$246*E117^2+'Reference Standards'!$AN$247*E117+'Reference Standards'!$AN$248,2))),   IF(AND($B$12="74b",$B$13&lt;=2),IF(E117&gt;97,0,IF(E117&lt;62,0.69,ROUND('Reference Standards'!$AO$246*E117^2+'Reference Standards'!$AO$247*E117+'Reference Standards'!$AO$248,2)))  )))))))))</f>
        <v/>
      </c>
      <c r="G117" s="583"/>
      <c r="H117" s="568"/>
      <c r="I117" s="519"/>
      <c r="J117" s="559"/>
      <c r="K117" s="555"/>
      <c r="L117" s="21"/>
    </row>
    <row r="118" spans="1:12" ht="15.6" x14ac:dyDescent="0.3">
      <c r="A118" s="556"/>
      <c r="B118" s="563" t="s">
        <v>74</v>
      </c>
      <c r="C118" s="125" t="s">
        <v>211</v>
      </c>
      <c r="D118" s="126"/>
      <c r="E118" s="166"/>
      <c r="F118" s="345" t="str">
        <f>IF(E118="","",IF(E118=1,0.15,IF(E118=3,0.5,IF(E118=5,0.85,0))))</f>
        <v/>
      </c>
      <c r="G118" s="582" t="str">
        <f>IFERROR(AVERAGE(F118:F119),"")</f>
        <v/>
      </c>
      <c r="H118" s="568"/>
      <c r="I118" s="519"/>
      <c r="J118" s="559"/>
      <c r="K118" s="555"/>
      <c r="L118" s="21"/>
    </row>
    <row r="119" spans="1:12" ht="15.6" x14ac:dyDescent="0.3">
      <c r="A119" s="551"/>
      <c r="B119" s="563"/>
      <c r="C119" s="127" t="s">
        <v>332</v>
      </c>
      <c r="D119" s="71"/>
      <c r="E119" s="167"/>
      <c r="F119" s="347" t="str">
        <f>IF(E119="","",IF(E119=1,0.15,IF(E119=3,0.5,IF(E119=5,0.85,0))))</f>
        <v/>
      </c>
      <c r="G119" s="583"/>
      <c r="H119" s="568"/>
      <c r="I119" s="519"/>
      <c r="J119" s="559"/>
      <c r="K119" s="555"/>
      <c r="L119" s="21"/>
    </row>
    <row r="120" spans="1:12" x14ac:dyDescent="0.3">
      <c r="L120" s="21"/>
    </row>
  </sheetData>
  <sheetProtection password="9A90" sheet="1" objects="1" scenarios="1" selectLockedCells="1"/>
  <dataConsolidate/>
  <mergeCells count="113">
    <mergeCell ref="A1:B3"/>
    <mergeCell ref="D1:J1"/>
    <mergeCell ref="D2:J2"/>
    <mergeCell ref="D3:J3"/>
    <mergeCell ref="D4:J4"/>
    <mergeCell ref="D5:J5"/>
    <mergeCell ref="I24:I25"/>
    <mergeCell ref="J24:K25"/>
    <mergeCell ref="A26:A27"/>
    <mergeCell ref="F26:G28"/>
    <mergeCell ref="H26:H28"/>
    <mergeCell ref="I26:I28"/>
    <mergeCell ref="J26:K28"/>
    <mergeCell ref="D11:F11"/>
    <mergeCell ref="D22:K22"/>
    <mergeCell ref="A23:D23"/>
    <mergeCell ref="F23:K23"/>
    <mergeCell ref="A24:A25"/>
    <mergeCell ref="B24:B25"/>
    <mergeCell ref="C24:C25"/>
    <mergeCell ref="D24:D25"/>
    <mergeCell ref="F24:G25"/>
    <mergeCell ref="H24:H25"/>
    <mergeCell ref="H11:J11"/>
    <mergeCell ref="I12:J12"/>
    <mergeCell ref="D14:E14"/>
    <mergeCell ref="A29:A34"/>
    <mergeCell ref="F29:G31"/>
    <mergeCell ref="H29:H31"/>
    <mergeCell ref="I29:I31"/>
    <mergeCell ref="J29:K31"/>
    <mergeCell ref="F32:G34"/>
    <mergeCell ref="H32:H34"/>
    <mergeCell ref="I32:I34"/>
    <mergeCell ref="J32:K34"/>
    <mergeCell ref="A35:A38"/>
    <mergeCell ref="F35:G37"/>
    <mergeCell ref="H35:H37"/>
    <mergeCell ref="I35:I37"/>
    <mergeCell ref="J35:K37"/>
    <mergeCell ref="F38:G40"/>
    <mergeCell ref="H38:H40"/>
    <mergeCell ref="I38:I40"/>
    <mergeCell ref="J38:K40"/>
    <mergeCell ref="A39:A40"/>
    <mergeCell ref="A42:F42"/>
    <mergeCell ref="G42:K42"/>
    <mergeCell ref="C43:D43"/>
    <mergeCell ref="A44:A45"/>
    <mergeCell ref="H44:H45"/>
    <mergeCell ref="I44:I45"/>
    <mergeCell ref="J44:J79"/>
    <mergeCell ref="K44:K79"/>
    <mergeCell ref="B50:B53"/>
    <mergeCell ref="G50:G53"/>
    <mergeCell ref="B54:B63"/>
    <mergeCell ref="G54:G63"/>
    <mergeCell ref="B65:B68"/>
    <mergeCell ref="G65:G68"/>
    <mergeCell ref="A46:A47"/>
    <mergeCell ref="B46:B47"/>
    <mergeCell ref="G46:G47"/>
    <mergeCell ref="A70:A73"/>
    <mergeCell ref="H70:H73"/>
    <mergeCell ref="I70:I73"/>
    <mergeCell ref="A74:A79"/>
    <mergeCell ref="B74:B77"/>
    <mergeCell ref="G74:G77"/>
    <mergeCell ref="H74:H79"/>
    <mergeCell ref="I74:I79"/>
    <mergeCell ref="B78:B79"/>
    <mergeCell ref="G78:G79"/>
    <mergeCell ref="H46:H47"/>
    <mergeCell ref="I46:I47"/>
    <mergeCell ref="A48:A69"/>
    <mergeCell ref="B48:B49"/>
    <mergeCell ref="G48:G49"/>
    <mergeCell ref="H48:H69"/>
    <mergeCell ref="I48:I69"/>
    <mergeCell ref="A82:F82"/>
    <mergeCell ref="G82:K82"/>
    <mergeCell ref="C83:D83"/>
    <mergeCell ref="A84:A85"/>
    <mergeCell ref="H84:H85"/>
    <mergeCell ref="I84:I85"/>
    <mergeCell ref="J84:J119"/>
    <mergeCell ref="K84:K119"/>
    <mergeCell ref="B90:B93"/>
    <mergeCell ref="G90:G93"/>
    <mergeCell ref="B94:B103"/>
    <mergeCell ref="G94:G103"/>
    <mergeCell ref="B105:B108"/>
    <mergeCell ref="G105:G108"/>
    <mergeCell ref="A86:A87"/>
    <mergeCell ref="B86:B87"/>
    <mergeCell ref="G86:G87"/>
    <mergeCell ref="A110:A113"/>
    <mergeCell ref="H110:H113"/>
    <mergeCell ref="I110:I113"/>
    <mergeCell ref="A114:A119"/>
    <mergeCell ref="B114:B117"/>
    <mergeCell ref="G114:G117"/>
    <mergeCell ref="H114:H119"/>
    <mergeCell ref="I114:I119"/>
    <mergeCell ref="B118:B119"/>
    <mergeCell ref="G118:G119"/>
    <mergeCell ref="H86:H87"/>
    <mergeCell ref="I86:I87"/>
    <mergeCell ref="A88:A109"/>
    <mergeCell ref="B88:B89"/>
    <mergeCell ref="G88:G89"/>
    <mergeCell ref="H88:H109"/>
    <mergeCell ref="I88:I109"/>
  </mergeCells>
  <conditionalFormatting sqref="A43:C43 I74:I78 B72:B73 A39 D62 B65:D65 A46:D46 I110 I88:I89 H48:I49 H46:I46 H43:K45 G42 H80:K81 A83:C83 G82 I114:I118 A48:D48 C47:D47 A1 F18:F19 J24 J26 J29 J32 F15:F16 L2:M9 J17:K17 H12:H15 H19:H21 C22:D22 K12:K15 K19:K21 E43:G43 E83:K83 L40 D86:D87 B70 C54:D56 M93:M108 B94:B96 C16:C21 C71:D72 C66:D66 D67:D68 D114:D118 C77:D77 D105:D110 B69:D69 A49 C49:D52 A74:A78 D76 C74:D75 L109:L120 J35 B35 F35 A4:A5 B4:B15 L46:L79 C2:C14 D1:D3 L41:M45 A19:A21 A10:A17 H84:I86 L80:M92 L22:M22">
    <cfRule type="beginsWith" dxfId="2290" priority="488" stopIfTrue="1" operator="beginsWith" text="Functioning At Risk">
      <formula>LEFT(A1,LEN("Functioning At Risk"))="Functioning At Risk"</formula>
    </cfRule>
    <cfRule type="beginsWith" dxfId="2289" priority="489" stopIfTrue="1" operator="beginsWith" text="Not Functioning">
      <formula>LEFT(A1,LEN("Not Functioning"))="Not Functioning"</formula>
    </cfRule>
    <cfRule type="containsText" dxfId="2288" priority="490" operator="containsText" text="Functioning">
      <formula>NOT(ISERROR(SEARCH("Functioning",A1)))</formula>
    </cfRule>
  </conditionalFormatting>
  <conditionalFormatting sqref="D11">
    <cfRule type="beginsWith" dxfId="2287" priority="485" stopIfTrue="1" operator="beginsWith" text="Functioning At Risk">
      <formula>LEFT(D11,LEN("Functioning At Risk"))="Functioning At Risk"</formula>
    </cfRule>
    <cfRule type="beginsWith" dxfId="2286" priority="486" stopIfTrue="1" operator="beginsWith" text="Not Functioning">
      <formula>LEFT(D11,LEN("Not Functioning"))="Not Functioning"</formula>
    </cfRule>
    <cfRule type="containsText" dxfId="2285" priority="487" operator="containsText" text="Functioning">
      <formula>NOT(ISERROR(SEARCH("Functioning",D11)))</formula>
    </cfRule>
  </conditionalFormatting>
  <conditionalFormatting sqref="B39">
    <cfRule type="beginsWith" dxfId="2284" priority="479" stopIfTrue="1" operator="beginsWith" text="Functioning At Risk">
      <formula>LEFT(B39,LEN("Functioning At Risk"))="Functioning At Risk"</formula>
    </cfRule>
    <cfRule type="beginsWith" dxfId="2283" priority="480" stopIfTrue="1" operator="beginsWith" text="Not Functioning">
      <formula>LEFT(B39,LEN("Not Functioning"))="Not Functioning"</formula>
    </cfRule>
    <cfRule type="containsText" dxfId="2282" priority="481" operator="containsText" text="Functioning">
      <formula>NOT(ISERROR(SEARCH("Functioning",B39)))</formula>
    </cfRule>
  </conditionalFormatting>
  <conditionalFormatting sqref="D119">
    <cfRule type="beginsWith" dxfId="2281" priority="476" stopIfTrue="1" operator="beginsWith" text="Functioning At Risk">
      <formula>LEFT(D119,LEN("Functioning At Risk"))="Functioning At Risk"</formula>
    </cfRule>
    <cfRule type="beginsWith" dxfId="2280" priority="477" stopIfTrue="1" operator="beginsWith" text="Not Functioning">
      <formula>LEFT(D119,LEN("Not Functioning"))="Not Functioning"</formula>
    </cfRule>
    <cfRule type="containsText" dxfId="2279" priority="478" operator="containsText" text="Functioning">
      <formula>NOT(ISERROR(SEARCH("Functioning",D119)))</formula>
    </cfRule>
  </conditionalFormatting>
  <conditionalFormatting sqref="B40">
    <cfRule type="beginsWith" dxfId="2278" priority="473" stopIfTrue="1" operator="beginsWith" text="Functioning At Risk">
      <formula>LEFT(B40,LEN("Functioning At Risk"))="Functioning At Risk"</formula>
    </cfRule>
    <cfRule type="beginsWith" dxfId="2277" priority="474" stopIfTrue="1" operator="beginsWith" text="Not Functioning">
      <formula>LEFT(B40,LEN("Not Functioning"))="Not Functioning"</formula>
    </cfRule>
    <cfRule type="containsText" dxfId="2276" priority="475" operator="containsText" text="Functioning">
      <formula>NOT(ISERROR(SEARCH("Functioning",B40)))</formula>
    </cfRule>
  </conditionalFormatting>
  <conditionalFormatting sqref="B50">
    <cfRule type="beginsWith" dxfId="2275" priority="470" stopIfTrue="1" operator="beginsWith" text="Functioning At Risk">
      <formula>LEFT(B50,LEN("Functioning At Risk"))="Functioning At Risk"</formula>
    </cfRule>
    <cfRule type="beginsWith" dxfId="2274" priority="471" stopIfTrue="1" operator="beginsWith" text="Not Functioning">
      <formula>LEFT(B50,LEN("Not Functioning"))="Not Functioning"</formula>
    </cfRule>
    <cfRule type="containsText" dxfId="2273" priority="472" operator="containsText" text="Functioning">
      <formula>NOT(ISERROR(SEARCH("Functioning",B50)))</formula>
    </cfRule>
  </conditionalFormatting>
  <conditionalFormatting sqref="D111">
    <cfRule type="beginsWith" dxfId="2272" priority="464" stopIfTrue="1" operator="beginsWith" text="Functioning At Risk">
      <formula>LEFT(D111,LEN("Functioning At Risk"))="Functioning At Risk"</formula>
    </cfRule>
    <cfRule type="beginsWith" dxfId="2271" priority="465" stopIfTrue="1" operator="beginsWith" text="Not Functioning">
      <formula>LEFT(D111,LEN("Not Functioning"))="Not Functioning"</formula>
    </cfRule>
    <cfRule type="containsText" dxfId="2270" priority="466" operator="containsText" text="Functioning">
      <formula>NOT(ISERROR(SEARCH("Functioning",D111)))</formula>
    </cfRule>
  </conditionalFormatting>
  <conditionalFormatting sqref="B38">
    <cfRule type="beginsWith" dxfId="2269" priority="461" stopIfTrue="1" operator="beginsWith" text="Functioning At Risk">
      <formula>LEFT(B38,LEN("Functioning At Risk"))="Functioning At Risk"</formula>
    </cfRule>
    <cfRule type="beginsWith" dxfId="2268" priority="462" stopIfTrue="1" operator="beginsWith" text="Not Functioning">
      <formula>LEFT(B38,LEN("Not Functioning"))="Not Functioning"</formula>
    </cfRule>
    <cfRule type="containsText" dxfId="2267" priority="463" operator="containsText" text="Functioning">
      <formula>NOT(ISERROR(SEARCH("Functioning",B38)))</formula>
    </cfRule>
  </conditionalFormatting>
  <conditionalFormatting sqref="B37">
    <cfRule type="beginsWith" dxfId="2266" priority="458" stopIfTrue="1" operator="beginsWith" text="Functioning At Risk">
      <formula>LEFT(B37,LEN("Functioning At Risk"))="Functioning At Risk"</formula>
    </cfRule>
    <cfRule type="beginsWith" dxfId="2265" priority="459" stopIfTrue="1" operator="beginsWith" text="Not Functioning">
      <formula>LEFT(B37,LEN("Not Functioning"))="Not Functioning"</formula>
    </cfRule>
    <cfRule type="containsText" dxfId="2264" priority="460" operator="containsText" text="Functioning">
      <formula>NOT(ISERROR(SEARCH("Functioning",B37)))</formula>
    </cfRule>
  </conditionalFormatting>
  <conditionalFormatting sqref="C57:D57">
    <cfRule type="beginsWith" dxfId="2263" priority="452" stopIfTrue="1" operator="beginsWith" text="Functioning At Risk">
      <formula>LEFT(C57,LEN("Functioning At Risk"))="Functioning At Risk"</formula>
    </cfRule>
    <cfRule type="beginsWith" dxfId="2262" priority="453" stopIfTrue="1" operator="beginsWith" text="Not Functioning">
      <formula>LEFT(C57,LEN("Not Functioning"))="Not Functioning"</formula>
    </cfRule>
    <cfRule type="containsText" dxfId="2261" priority="454" operator="containsText" text="Functioning">
      <formula>NOT(ISERROR(SEARCH("Functioning",C57)))</formula>
    </cfRule>
  </conditionalFormatting>
  <conditionalFormatting sqref="D63">
    <cfRule type="beginsWith" dxfId="2260" priority="449" stopIfTrue="1" operator="beginsWith" text="Functioning At Risk">
      <formula>LEFT(D63,LEN("Functioning At Risk"))="Functioning At Risk"</formula>
    </cfRule>
    <cfRule type="beginsWith" dxfId="2259" priority="450" stopIfTrue="1" operator="beginsWith" text="Not Functioning">
      <formula>LEFT(D63,LEN("Not Functioning"))="Not Functioning"</formula>
    </cfRule>
    <cfRule type="containsText" dxfId="2258" priority="451" operator="containsText" text="Functioning">
      <formula>NOT(ISERROR(SEARCH("Functioning",D63)))</formula>
    </cfRule>
  </conditionalFormatting>
  <conditionalFormatting sqref="B112:B113 B105 A86:B86 A88:A89 B118 A114:A118">
    <cfRule type="beginsWith" dxfId="2257" priority="443" stopIfTrue="1" operator="beginsWith" text="Functioning At Risk">
      <formula>LEFT(A86,LEN("Functioning At Risk"))="Functioning At Risk"</formula>
    </cfRule>
    <cfRule type="beginsWith" dxfId="2256" priority="444" stopIfTrue="1" operator="beginsWith" text="Not Functioning">
      <formula>LEFT(A86,LEN("Not Functioning"))="Not Functioning"</formula>
    </cfRule>
    <cfRule type="containsText" dxfId="2255" priority="445" operator="containsText" text="Functioning">
      <formula>NOT(ISERROR(SEARCH("Functioning",A86)))</formula>
    </cfRule>
  </conditionalFormatting>
  <conditionalFormatting sqref="A110">
    <cfRule type="beginsWith" dxfId="2254" priority="437" stopIfTrue="1" operator="beginsWith" text="Functioning At Risk">
      <formula>LEFT(A110,LEN("Functioning At Risk"))="Functioning At Risk"</formula>
    </cfRule>
    <cfRule type="beginsWith" dxfId="2253" priority="438" stopIfTrue="1" operator="beginsWith" text="Not Functioning">
      <formula>LEFT(A110,LEN("Not Functioning"))="Not Functioning"</formula>
    </cfRule>
    <cfRule type="containsText" dxfId="2252" priority="439" operator="containsText" text="Functioning">
      <formula>NOT(ISERROR(SEARCH("Functioning",A110)))</formula>
    </cfRule>
  </conditionalFormatting>
  <conditionalFormatting sqref="K84:K85">
    <cfRule type="beginsWith" dxfId="2251" priority="434" stopIfTrue="1" operator="beginsWith" text="Functioning At Risk">
      <formula>LEFT(K84,LEN("Functioning At Risk"))="Functioning At Risk"</formula>
    </cfRule>
    <cfRule type="beginsWith" dxfId="2250" priority="435" stopIfTrue="1" operator="beginsWith" text="Not Functioning">
      <formula>LEFT(K84,LEN("Not Functioning"))="Not Functioning"</formula>
    </cfRule>
    <cfRule type="containsText" dxfId="2249" priority="436" operator="containsText" text="Functioning">
      <formula>NOT(ISERROR(SEARCH("Functioning",K84)))</formula>
    </cfRule>
  </conditionalFormatting>
  <conditionalFormatting sqref="F23">
    <cfRule type="beginsWith" dxfId="2248" priority="431" stopIfTrue="1" operator="beginsWith" text="Functioning At Risk">
      <formula>LEFT(F23,LEN("Functioning At Risk"))="Functioning At Risk"</formula>
    </cfRule>
    <cfRule type="beginsWith" dxfId="2247" priority="432" stopIfTrue="1" operator="beginsWith" text="Not Functioning">
      <formula>LEFT(F23,LEN("Not Functioning"))="Not Functioning"</formula>
    </cfRule>
    <cfRule type="containsText" dxfId="2246" priority="433" operator="containsText" text="Functioning">
      <formula>NOT(ISERROR(SEARCH("Functioning",F23)))</formula>
    </cfRule>
  </conditionalFormatting>
  <conditionalFormatting sqref="F32">
    <cfRule type="beginsWith" dxfId="2245" priority="428" stopIfTrue="1" operator="beginsWith" text="Functioning At Risk">
      <formula>LEFT(F32,LEN("Functioning At Risk"))="Functioning At Risk"</formula>
    </cfRule>
    <cfRule type="beginsWith" dxfId="2244" priority="429" stopIfTrue="1" operator="beginsWith" text="Not Functioning">
      <formula>LEFT(F32,LEN("Not Functioning"))="Not Functioning"</formula>
    </cfRule>
    <cfRule type="containsText" dxfId="2243" priority="430" operator="containsText" text="Functioning">
      <formula>NOT(ISERROR(SEARCH("Functioning",F32)))</formula>
    </cfRule>
  </conditionalFormatting>
  <conditionalFormatting sqref="F29">
    <cfRule type="beginsWith" dxfId="2242" priority="425" stopIfTrue="1" operator="beginsWith" text="Functioning At Risk">
      <formula>LEFT(F29,LEN("Functioning At Risk"))="Functioning At Risk"</formula>
    </cfRule>
    <cfRule type="beginsWith" dxfId="2241" priority="426" stopIfTrue="1" operator="beginsWith" text="Not Functioning">
      <formula>LEFT(F29,LEN("Not Functioning"))="Not Functioning"</formula>
    </cfRule>
    <cfRule type="containsText" dxfId="2240" priority="427" operator="containsText" text="Functioning">
      <formula>NOT(ISERROR(SEARCH("Functioning",F29)))</formula>
    </cfRule>
  </conditionalFormatting>
  <conditionalFormatting sqref="C26:D40 H26:I32 H35:I35">
    <cfRule type="cellIs" dxfId="2239" priority="482" operator="between">
      <formula>0</formula>
      <formula>0.299999</formula>
    </cfRule>
    <cfRule type="cellIs" dxfId="2238" priority="483" operator="between">
      <formula>0.6999999</formula>
      <formula>0.3</formula>
    </cfRule>
    <cfRule type="cellIs" dxfId="2237" priority="484" operator="between">
      <formula>0.7</formula>
      <formula>1</formula>
    </cfRule>
  </conditionalFormatting>
  <conditionalFormatting sqref="D104">
    <cfRule type="beginsWith" dxfId="2236" priority="422" stopIfTrue="1" operator="beginsWith" text="Functioning At Risk">
      <formula>LEFT(D104,LEN("Functioning At Risk"))="Functioning At Risk"</formula>
    </cfRule>
    <cfRule type="beginsWith" dxfId="2235" priority="423" stopIfTrue="1" operator="beginsWith" text="Not Functioning">
      <formula>LEFT(D104,LEN("Not Functioning"))="Not Functioning"</formula>
    </cfRule>
    <cfRule type="containsText" dxfId="2234" priority="424" operator="containsText" text="Functioning">
      <formula>NOT(ISERROR(SEARCH("Functioning",D104)))</formula>
    </cfRule>
  </conditionalFormatting>
  <conditionalFormatting sqref="C64:D64">
    <cfRule type="beginsWith" dxfId="2233" priority="419" stopIfTrue="1" operator="beginsWith" text="Functioning At Risk">
      <formula>LEFT(C64,LEN("Functioning At Risk"))="Functioning At Risk"</formula>
    </cfRule>
    <cfRule type="beginsWith" dxfId="2232" priority="420" stopIfTrue="1" operator="beginsWith" text="Not Functioning">
      <formula>LEFT(C64,LEN("Not Functioning"))="Not Functioning"</formula>
    </cfRule>
    <cfRule type="containsText" dxfId="2231" priority="421" operator="containsText" text="Functioning">
      <formula>NOT(ISERROR(SEARCH("Functioning",C64)))</formula>
    </cfRule>
  </conditionalFormatting>
  <conditionalFormatting sqref="D112">
    <cfRule type="beginsWith" dxfId="2230" priority="416" stopIfTrue="1" operator="beginsWith" text="Functioning At Risk">
      <formula>LEFT(D112,LEN("Functioning At Risk"))="Functioning At Risk"</formula>
    </cfRule>
    <cfRule type="beginsWith" dxfId="2229" priority="417" stopIfTrue="1" operator="beginsWith" text="Not Functioning">
      <formula>LEFT(D112,LEN("Not Functioning"))="Not Functioning"</formula>
    </cfRule>
    <cfRule type="containsText" dxfId="2228" priority="418" operator="containsText" text="Functioning">
      <formula>NOT(ISERROR(SEARCH("Functioning",D112)))</formula>
    </cfRule>
  </conditionalFormatting>
  <conditionalFormatting sqref="H18">
    <cfRule type="beginsWith" dxfId="2227" priority="410" stopIfTrue="1" operator="beginsWith" text="Functioning At Risk">
      <formula>LEFT(H18,LEN("Functioning At Risk"))="Functioning At Risk"</formula>
    </cfRule>
    <cfRule type="beginsWith" dxfId="2226" priority="411" stopIfTrue="1" operator="beginsWith" text="Not Functioning">
      <formula>LEFT(H18,LEN("Not Functioning"))="Not Functioning"</formula>
    </cfRule>
    <cfRule type="containsText" dxfId="2225" priority="412" operator="containsText" text="Functioning">
      <formula>NOT(ISERROR(SEARCH("Functioning",H18)))</formula>
    </cfRule>
  </conditionalFormatting>
  <conditionalFormatting sqref="B18">
    <cfRule type="beginsWith" dxfId="2224" priority="401" stopIfTrue="1" operator="beginsWith" text="Functioning At Risk">
      <formula>LEFT(B18,LEN("Functioning At Risk"))="Functioning At Risk"</formula>
    </cfRule>
    <cfRule type="beginsWith" dxfId="2223" priority="402" stopIfTrue="1" operator="beginsWith" text="Not Functioning">
      <formula>LEFT(B18,LEN("Not Functioning"))="Not Functioning"</formula>
    </cfRule>
    <cfRule type="containsText" dxfId="2222" priority="403" operator="containsText" text="Functioning">
      <formula>NOT(ISERROR(SEARCH("Functioning",B18)))</formula>
    </cfRule>
  </conditionalFormatting>
  <conditionalFormatting sqref="B16:B17">
    <cfRule type="beginsWith" dxfId="2221" priority="398" stopIfTrue="1" operator="beginsWith" text="Functioning At Risk">
      <formula>LEFT(B16,LEN("Functioning At Risk"))="Functioning At Risk"</formula>
    </cfRule>
    <cfRule type="beginsWith" dxfId="2220" priority="399" stopIfTrue="1" operator="beginsWith" text="Not Functioning">
      <formula>LEFT(B16,LEN("Not Functioning"))="Not Functioning"</formula>
    </cfRule>
    <cfRule type="containsText" dxfId="2219" priority="400" operator="containsText" text="Functioning">
      <formula>NOT(ISERROR(SEARCH("Functioning",B16)))</formula>
    </cfRule>
  </conditionalFormatting>
  <conditionalFormatting sqref="E118 E86:E87 E110">
    <cfRule type="beginsWith" dxfId="2218" priority="395" stopIfTrue="1" operator="beginsWith" text="Functioning At Risk">
      <formula>LEFT(E86,LEN("Functioning At Risk"))="Functioning At Risk"</formula>
    </cfRule>
    <cfRule type="beginsWith" dxfId="2217" priority="396" stopIfTrue="1" operator="beginsWith" text="Not Functioning">
      <formula>LEFT(E86,LEN("Not Functioning"))="Not Functioning"</formula>
    </cfRule>
    <cfRule type="containsText" dxfId="2216" priority="397" operator="containsText" text="Functioning">
      <formula>NOT(ISERROR(SEARCH("Functioning",E86)))</formula>
    </cfRule>
  </conditionalFormatting>
  <conditionalFormatting sqref="E77">
    <cfRule type="expression" dxfId="2215" priority="394">
      <formula>B1048468="Level 5 - Biology"</formula>
    </cfRule>
  </conditionalFormatting>
  <conditionalFormatting sqref="E119">
    <cfRule type="beginsWith" dxfId="2214" priority="391" stopIfTrue="1" operator="beginsWith" text="Functioning At Risk">
      <formula>LEFT(E119,LEN("Functioning At Risk"))="Functioning At Risk"</formula>
    </cfRule>
    <cfRule type="beginsWith" dxfId="2213" priority="392" stopIfTrue="1" operator="beginsWith" text="Not Functioning">
      <formula>LEFT(E119,LEN("Not Functioning"))="Not Functioning"</formula>
    </cfRule>
    <cfRule type="containsText" dxfId="2212" priority="393" operator="containsText" text="Functioning">
      <formula>NOT(ISERROR(SEARCH("Functioning",E119)))</formula>
    </cfRule>
  </conditionalFormatting>
  <conditionalFormatting sqref="E112">
    <cfRule type="expression" dxfId="2211" priority="389">
      <formula>B10="Level 4 - Physicochemical"</formula>
    </cfRule>
    <cfRule type="expression" dxfId="2210" priority="390">
      <formula>B10="Level 5 - Biology"</formula>
    </cfRule>
  </conditionalFormatting>
  <conditionalFormatting sqref="E74:E77 E46:E47 E65:E69 E51:E53">
    <cfRule type="beginsWith" dxfId="2209" priority="383" stopIfTrue="1" operator="beginsWith" text="Functioning At Risk">
      <formula>LEFT(E46,LEN("Functioning At Risk"))="Functioning At Risk"</formula>
    </cfRule>
    <cfRule type="beginsWith" dxfId="2208" priority="384" stopIfTrue="1" operator="beginsWith" text="Not Functioning">
      <formula>LEFT(E46,LEN("Not Functioning"))="Not Functioning"</formula>
    </cfRule>
    <cfRule type="containsText" dxfId="2207" priority="385" operator="containsText" text="Functioning">
      <formula>NOT(ISERROR(SEARCH("Functioning",E46)))</formula>
    </cfRule>
  </conditionalFormatting>
  <conditionalFormatting sqref="E72">
    <cfRule type="expression" dxfId="2206" priority="380">
      <formula>B1048467="Level 4 - Physicochemical"</formula>
    </cfRule>
    <cfRule type="expression" dxfId="2205" priority="382">
      <formula>B1048467="Level 5 - Biology"</formula>
    </cfRule>
  </conditionalFormatting>
  <conditionalFormatting sqref="E73">
    <cfRule type="expression" dxfId="2204" priority="379">
      <formula>B1048467="Level 4 - Physicochemical"</formula>
    </cfRule>
    <cfRule type="expression" dxfId="2203" priority="381">
      <formula>B1048467="Level 5 - Biology"</formula>
    </cfRule>
  </conditionalFormatting>
  <conditionalFormatting sqref="E50">
    <cfRule type="beginsWith" dxfId="2202" priority="376" stopIfTrue="1" operator="beginsWith" text="Functioning At Risk">
      <formula>LEFT(E50,LEN("Functioning At Risk"))="Functioning At Risk"</formula>
    </cfRule>
    <cfRule type="beginsWith" dxfId="2201" priority="377" stopIfTrue="1" operator="beginsWith" text="Not Functioning">
      <formula>LEFT(E50,LEN("Not Functioning"))="Not Functioning"</formula>
    </cfRule>
    <cfRule type="containsText" dxfId="2200" priority="378" operator="containsText" text="Functioning">
      <formula>NOT(ISERROR(SEARCH("Functioning",E50)))</formula>
    </cfRule>
  </conditionalFormatting>
  <conditionalFormatting sqref="E70">
    <cfRule type="expression" dxfId="2199" priority="371">
      <formula>B1048467="Level 5 - Biology"</formula>
    </cfRule>
    <cfRule type="expression" dxfId="2198" priority="372">
      <formula>B1048467="Level 4 - Physicochemical"</formula>
    </cfRule>
    <cfRule type="beginsWith" dxfId="2197" priority="373" stopIfTrue="1" operator="beginsWith" text="Functioning At Risk">
      <formula>LEFT(E70,LEN("Functioning At Risk"))="Functioning At Risk"</formula>
    </cfRule>
    <cfRule type="beginsWith" dxfId="2196" priority="374" stopIfTrue="1" operator="beginsWith" text="Not Functioning">
      <formula>LEFT(E70,LEN("Not Functioning"))="Not Functioning"</formula>
    </cfRule>
    <cfRule type="containsText" dxfId="2195" priority="375" operator="containsText" text="Functioning">
      <formula>NOT(ISERROR(SEARCH("Functioning",E70)))</formula>
    </cfRule>
  </conditionalFormatting>
  <conditionalFormatting sqref="J38">
    <cfRule type="beginsWith" dxfId="2194" priority="368" stopIfTrue="1" operator="beginsWith" text="Functioning At Risk">
      <formula>LEFT(J38,LEN("Functioning At Risk"))="Functioning At Risk"</formula>
    </cfRule>
    <cfRule type="beginsWith" dxfId="2193" priority="369" stopIfTrue="1" operator="beginsWith" text="Not Functioning">
      <formula>LEFT(J38,LEN("Not Functioning"))="Not Functioning"</formula>
    </cfRule>
    <cfRule type="containsText" dxfId="2192" priority="370" operator="containsText" text="Functioning">
      <formula>NOT(ISERROR(SEARCH("Functioning",J38)))</formula>
    </cfRule>
  </conditionalFormatting>
  <conditionalFormatting sqref="F38">
    <cfRule type="beginsWith" dxfId="2191" priority="362" stopIfTrue="1" operator="beginsWith" text="Functioning At Risk">
      <formula>LEFT(F38,LEN("Functioning At Risk"))="Functioning At Risk"</formula>
    </cfRule>
    <cfRule type="beginsWith" dxfId="2190" priority="363" stopIfTrue="1" operator="beginsWith" text="Not Functioning">
      <formula>LEFT(F38,LEN("Not Functioning"))="Not Functioning"</formula>
    </cfRule>
    <cfRule type="containsText" dxfId="2189" priority="364" operator="containsText" text="Functioning">
      <formula>NOT(ISERROR(SEARCH("Functioning",F38)))</formula>
    </cfRule>
  </conditionalFormatting>
  <conditionalFormatting sqref="H38:I38">
    <cfRule type="cellIs" dxfId="2188" priority="365" operator="between">
      <formula>0</formula>
      <formula>0.299999</formula>
    </cfRule>
    <cfRule type="cellIs" dxfId="2187" priority="366" operator="between">
      <formula>0.6999999</formula>
      <formula>0.3</formula>
    </cfRule>
    <cfRule type="cellIs" dxfId="2186" priority="367" operator="between">
      <formula>0.7</formula>
      <formula>1</formula>
    </cfRule>
  </conditionalFormatting>
  <conditionalFormatting sqref="D4">
    <cfRule type="beginsWith" dxfId="2185" priority="356" stopIfTrue="1" operator="beginsWith" text="Functioning At Risk">
      <formula>LEFT(D4,LEN("Functioning At Risk"))="Functioning At Risk"</formula>
    </cfRule>
    <cfRule type="beginsWith" dxfId="2184" priority="357" stopIfTrue="1" operator="beginsWith" text="Not Functioning">
      <formula>LEFT(D4,LEN("Not Functioning"))="Not Functioning"</formula>
    </cfRule>
    <cfRule type="containsText" dxfId="2183" priority="358" operator="containsText" text="Functioning">
      <formula>NOT(ISERROR(SEARCH("Functioning",D4)))</formula>
    </cfRule>
  </conditionalFormatting>
  <conditionalFormatting sqref="C58:D61">
    <cfRule type="beginsWith" dxfId="2182" priority="359" stopIfTrue="1" operator="beginsWith" text="Functioning At Risk">
      <formula>LEFT(C58,LEN("Functioning At Risk"))="Functioning At Risk"</formula>
    </cfRule>
    <cfRule type="beginsWith" dxfId="2181" priority="360" stopIfTrue="1" operator="beginsWith" text="Not Functioning">
      <formula>LEFT(C58,LEN("Not Functioning"))="Not Functioning"</formula>
    </cfRule>
    <cfRule type="containsText" dxfId="2180" priority="361" operator="containsText" text="Functioning">
      <formula>NOT(ISERROR(SEARCH("Functioning",C58)))</formula>
    </cfRule>
  </conditionalFormatting>
  <conditionalFormatting sqref="A70">
    <cfRule type="beginsWith" dxfId="2179" priority="344" stopIfTrue="1" operator="beginsWith" text="Functioning At Risk">
      <formula>LEFT(A70,LEN("Functioning At Risk"))="Functioning At Risk"</formula>
    </cfRule>
    <cfRule type="beginsWith" dxfId="2178" priority="345" stopIfTrue="1" operator="beginsWith" text="Not Functioning">
      <formula>LEFT(A70,LEN("Not Functioning"))="Not Functioning"</formula>
    </cfRule>
    <cfRule type="containsText" dxfId="2177" priority="346" operator="containsText" text="Functioning">
      <formula>NOT(ISERROR(SEARCH("Functioning",A70)))</formula>
    </cfRule>
  </conditionalFormatting>
  <conditionalFormatting sqref="H70">
    <cfRule type="beginsWith" dxfId="2176" priority="341" stopIfTrue="1" operator="beginsWith" text="Functioning At Risk">
      <formula>LEFT(H70,LEN("Functioning At Risk"))="Functioning At Risk"</formula>
    </cfRule>
    <cfRule type="beginsWith" dxfId="2175" priority="342" stopIfTrue="1" operator="beginsWith" text="Not Functioning">
      <formula>LEFT(H70,LEN("Not Functioning"))="Not Functioning"</formula>
    </cfRule>
    <cfRule type="containsText" dxfId="2174" priority="343" operator="containsText" text="Functioning">
      <formula>NOT(ISERROR(SEARCH("Functioning",H70)))</formula>
    </cfRule>
  </conditionalFormatting>
  <conditionalFormatting sqref="E71">
    <cfRule type="expression" dxfId="2173" priority="491">
      <formula>B1048468="Level 4 - Physicochemical"</formula>
    </cfRule>
    <cfRule type="expression" dxfId="2172" priority="492">
      <formula>B1048468="Level 5 - Biology"</formula>
    </cfRule>
  </conditionalFormatting>
  <conditionalFormatting sqref="C67">
    <cfRule type="beginsWith" dxfId="2171" priority="353" stopIfTrue="1" operator="beginsWith" text="Functioning At Risk">
      <formula>LEFT(C67,LEN("Functioning At Risk"))="Functioning At Risk"</formula>
    </cfRule>
    <cfRule type="beginsWith" dxfId="2170" priority="354" stopIfTrue="1" operator="beginsWith" text="Not Functioning">
      <formula>LEFT(C67,LEN("Not Functioning"))="Not Functioning"</formula>
    </cfRule>
    <cfRule type="containsText" dxfId="2169" priority="355" operator="containsText" text="Functioning">
      <formula>NOT(ISERROR(SEARCH("Functioning",C67)))</formula>
    </cfRule>
  </conditionalFormatting>
  <conditionalFormatting sqref="H110 H88:H89">
    <cfRule type="beginsWith" dxfId="2168" priority="350" stopIfTrue="1" operator="beginsWith" text="Functioning At Risk">
      <formula>LEFT(H88,LEN("Functioning At Risk"))="Functioning At Risk"</formula>
    </cfRule>
    <cfRule type="beginsWith" dxfId="2167" priority="351" stopIfTrue="1" operator="beginsWith" text="Not Functioning">
      <formula>LEFT(H88,LEN("Not Functioning"))="Not Functioning"</formula>
    </cfRule>
    <cfRule type="containsText" dxfId="2166" priority="352" operator="containsText" text="Functioning">
      <formula>NOT(ISERROR(SEARCH("Functioning",H88)))</formula>
    </cfRule>
  </conditionalFormatting>
  <conditionalFormatting sqref="J84:J85">
    <cfRule type="beginsWith" dxfId="2165" priority="347" stopIfTrue="1" operator="beginsWith" text="Functioning At Risk">
      <formula>LEFT(J84,LEN("Functioning At Risk"))="Functioning At Risk"</formula>
    </cfRule>
    <cfRule type="beginsWith" dxfId="2164" priority="348" stopIfTrue="1" operator="beginsWith" text="Not Functioning">
      <formula>LEFT(J84,LEN("Not Functioning"))="Not Functioning"</formula>
    </cfRule>
    <cfRule type="containsText" dxfId="2163" priority="349" operator="containsText" text="Functioning">
      <formula>NOT(ISERROR(SEARCH("Functioning",J84)))</formula>
    </cfRule>
  </conditionalFormatting>
  <conditionalFormatting sqref="E74:E76">
    <cfRule type="expression" dxfId="2162" priority="493">
      <formula>B1048467="Level 5 - Biology"</formula>
    </cfRule>
  </conditionalFormatting>
  <conditionalFormatting sqref="I70">
    <cfRule type="beginsWith" dxfId="2161" priority="338" stopIfTrue="1" operator="beginsWith" text="Functioning At Risk">
      <formula>LEFT(I70,LEN("Functioning At Risk"))="Functioning At Risk"</formula>
    </cfRule>
    <cfRule type="beginsWith" dxfId="2160" priority="339" stopIfTrue="1" operator="beginsWith" text="Not Functioning">
      <formula>LEFT(I70,LEN("Not Functioning"))="Not Functioning"</formula>
    </cfRule>
    <cfRule type="containsText" dxfId="2159" priority="340" operator="containsText" text="Functioning">
      <formula>NOT(ISERROR(SEARCH("Functioning",I70)))</formula>
    </cfRule>
  </conditionalFormatting>
  <conditionalFormatting sqref="D78">
    <cfRule type="beginsWith" dxfId="2158" priority="334" stopIfTrue="1" operator="beginsWith" text="Functioning At Risk">
      <formula>LEFT(D78,LEN("Functioning At Risk"))="Functioning At Risk"</formula>
    </cfRule>
    <cfRule type="beginsWith" dxfId="2157" priority="335" stopIfTrue="1" operator="beginsWith" text="Not Functioning">
      <formula>LEFT(D78,LEN("Not Functioning"))="Not Functioning"</formula>
    </cfRule>
    <cfRule type="containsText" dxfId="2156" priority="336" operator="containsText" text="Functioning">
      <formula>NOT(ISERROR(SEARCH("Functioning",D78)))</formula>
    </cfRule>
  </conditionalFormatting>
  <conditionalFormatting sqref="D79">
    <cfRule type="beginsWith" dxfId="2155" priority="331" stopIfTrue="1" operator="beginsWith" text="Functioning At Risk">
      <formula>LEFT(D79,LEN("Functioning At Risk"))="Functioning At Risk"</formula>
    </cfRule>
    <cfRule type="beginsWith" dxfId="2154" priority="332" stopIfTrue="1" operator="beginsWith" text="Not Functioning">
      <formula>LEFT(D79,LEN("Not Functioning"))="Not Functioning"</formula>
    </cfRule>
    <cfRule type="containsText" dxfId="2153" priority="333" operator="containsText" text="Functioning">
      <formula>NOT(ISERROR(SEARCH("Functioning",D79)))</formula>
    </cfRule>
  </conditionalFormatting>
  <conditionalFormatting sqref="B78">
    <cfRule type="beginsWith" dxfId="2152" priority="328" stopIfTrue="1" operator="beginsWith" text="Functioning At Risk">
      <formula>LEFT(B78,LEN("Functioning At Risk"))="Functioning At Risk"</formula>
    </cfRule>
    <cfRule type="beginsWith" dxfId="2151" priority="329" stopIfTrue="1" operator="beginsWith" text="Not Functioning">
      <formula>LEFT(B78,LEN("Not Functioning"))="Not Functioning"</formula>
    </cfRule>
    <cfRule type="containsText" dxfId="2150" priority="330" operator="containsText" text="Functioning">
      <formula>NOT(ISERROR(SEARCH("Functioning",B78)))</formula>
    </cfRule>
  </conditionalFormatting>
  <conditionalFormatting sqref="E78">
    <cfRule type="beginsWith" dxfId="2149" priority="325" stopIfTrue="1" operator="beginsWith" text="Functioning At Risk">
      <formula>LEFT(E78,LEN("Functioning At Risk"))="Functioning At Risk"</formula>
    </cfRule>
    <cfRule type="beginsWith" dxfId="2148" priority="326" stopIfTrue="1" operator="beginsWith" text="Not Functioning">
      <formula>LEFT(E78,LEN("Not Functioning"))="Not Functioning"</formula>
    </cfRule>
    <cfRule type="containsText" dxfId="2147" priority="327" operator="containsText" text="Functioning">
      <formula>NOT(ISERROR(SEARCH("Functioning",E78)))</formula>
    </cfRule>
  </conditionalFormatting>
  <conditionalFormatting sqref="E79">
    <cfRule type="beginsWith" dxfId="2146" priority="322" stopIfTrue="1" operator="beginsWith" text="Functioning At Risk">
      <formula>LEFT(E79,LEN("Functioning At Risk"))="Functioning At Risk"</formula>
    </cfRule>
    <cfRule type="beginsWith" dxfId="2145" priority="323" stopIfTrue="1" operator="beginsWith" text="Not Functioning">
      <formula>LEFT(E79,LEN("Not Functioning"))="Not Functioning"</formula>
    </cfRule>
    <cfRule type="containsText" dxfId="2144" priority="324" operator="containsText" text="Functioning">
      <formula>NOT(ISERROR(SEARCH("Functioning",E79)))</formula>
    </cfRule>
  </conditionalFormatting>
  <conditionalFormatting sqref="E79">
    <cfRule type="expression" dxfId="2143" priority="321">
      <formula>B1048461="Level 5 - Biology"</formula>
    </cfRule>
  </conditionalFormatting>
  <conditionalFormatting sqref="E78">
    <cfRule type="expression" dxfId="2142" priority="337">
      <formula>B1048463="Level 5 - Biology"</formula>
    </cfRule>
  </conditionalFormatting>
  <conditionalFormatting sqref="B110">
    <cfRule type="beginsWith" dxfId="2141" priority="318" stopIfTrue="1" operator="beginsWith" text="Functioning At Risk">
      <formula>LEFT(B110,LEN("Functioning At Risk"))="Functioning At Risk"</formula>
    </cfRule>
    <cfRule type="beginsWith" dxfId="2140" priority="319" stopIfTrue="1" operator="beginsWith" text="Not Functioning">
      <formula>LEFT(B110,LEN("Not Functioning"))="Not Functioning"</formula>
    </cfRule>
    <cfRule type="containsText" dxfId="2139" priority="320" operator="containsText" text="Functioning">
      <formula>NOT(ISERROR(SEARCH("Functioning",B110)))</formula>
    </cfRule>
  </conditionalFormatting>
  <conditionalFormatting sqref="A35">
    <cfRule type="beginsWith" dxfId="2138" priority="312" stopIfTrue="1" operator="beginsWith" text="Functioning At Risk">
      <formula>LEFT(A35,LEN("Functioning At Risk"))="Functioning At Risk"</formula>
    </cfRule>
    <cfRule type="beginsWith" dxfId="2137" priority="313" stopIfTrue="1" operator="beginsWith" text="Not Functioning">
      <formula>LEFT(A35,LEN("Not Functioning"))="Not Functioning"</formula>
    </cfRule>
    <cfRule type="containsText" dxfId="2136" priority="314" operator="containsText" text="Functioning">
      <formula>NOT(ISERROR(SEARCH("Functioning",A35)))</formula>
    </cfRule>
  </conditionalFormatting>
  <conditionalFormatting sqref="C68">
    <cfRule type="beginsWith" dxfId="2135" priority="309" stopIfTrue="1" operator="beginsWith" text="Functioning At Risk">
      <formula>LEFT(C68,LEN("Functioning At Risk"))="Functioning At Risk"</formula>
    </cfRule>
    <cfRule type="beginsWith" dxfId="2134" priority="310" stopIfTrue="1" operator="beginsWith" text="Not Functioning">
      <formula>LEFT(C68,LEN("Not Functioning"))="Not Functioning"</formula>
    </cfRule>
    <cfRule type="containsText" dxfId="2133" priority="311" operator="containsText" text="Functioning">
      <formula>NOT(ISERROR(SEARCH("Functioning",C68)))</formula>
    </cfRule>
  </conditionalFormatting>
  <conditionalFormatting sqref="C79">
    <cfRule type="beginsWith" dxfId="2132" priority="282" stopIfTrue="1" operator="beginsWith" text="Functioning At Risk">
      <formula>LEFT(C79,LEN("Functioning At Risk"))="Functioning At Risk"</formula>
    </cfRule>
    <cfRule type="beginsWith" dxfId="2131" priority="283" stopIfTrue="1" operator="beginsWith" text="Not Functioning">
      <formula>LEFT(C79,LEN("Not Functioning"))="Not Functioning"</formula>
    </cfRule>
    <cfRule type="containsText" dxfId="2130" priority="284" operator="containsText" text="Functioning">
      <formula>NOT(ISERROR(SEARCH("Functioning",C79)))</formula>
    </cfRule>
  </conditionalFormatting>
  <conditionalFormatting sqref="C78">
    <cfRule type="beginsWith" dxfId="2129" priority="306" stopIfTrue="1" operator="beginsWith" text="Functioning At Risk">
      <formula>LEFT(C78,LEN("Functioning At Risk"))="Functioning At Risk"</formula>
    </cfRule>
    <cfRule type="beginsWith" dxfId="2128" priority="307" stopIfTrue="1" operator="beginsWith" text="Not Functioning">
      <formula>LEFT(C78,LEN("Not Functioning"))="Not Functioning"</formula>
    </cfRule>
    <cfRule type="containsText" dxfId="2127" priority="308" operator="containsText" text="Functioning">
      <formula>NOT(ISERROR(SEARCH("Functioning",C78)))</formula>
    </cfRule>
  </conditionalFormatting>
  <conditionalFormatting sqref="B54">
    <cfRule type="beginsWith" dxfId="2126" priority="303" stopIfTrue="1" operator="beginsWith" text="Functioning At Risk">
      <formula>LEFT(B54,LEN("Functioning At Risk"))="Functioning At Risk"</formula>
    </cfRule>
    <cfRule type="beginsWith" dxfId="2125" priority="304" stopIfTrue="1" operator="beginsWith" text="Not Functioning">
      <formula>LEFT(B54,LEN("Not Functioning"))="Not Functioning"</formula>
    </cfRule>
    <cfRule type="containsText" dxfId="2124" priority="305" operator="containsText" text="Functioning">
      <formula>NOT(ISERROR(SEARCH("Functioning",B54)))</formula>
    </cfRule>
  </conditionalFormatting>
  <conditionalFormatting sqref="E105:E106 E108:E109">
    <cfRule type="beginsWith" dxfId="2123" priority="294" stopIfTrue="1" operator="beginsWith" text="Functioning At Risk">
      <formula>LEFT(E105,LEN("Functioning At Risk"))="Functioning At Risk"</formula>
    </cfRule>
    <cfRule type="beginsWith" dxfId="2122" priority="295" stopIfTrue="1" operator="beginsWith" text="Not Functioning">
      <formula>LEFT(E105,LEN("Not Functioning"))="Not Functioning"</formula>
    </cfRule>
    <cfRule type="containsText" dxfId="2121" priority="296" operator="containsText" text="Functioning">
      <formula>NOT(ISERROR(SEARCH("Functioning",E105)))</formula>
    </cfRule>
  </conditionalFormatting>
  <conditionalFormatting sqref="B109">
    <cfRule type="beginsWith" dxfId="2120" priority="291" stopIfTrue="1" operator="beginsWith" text="Functioning At Risk">
      <formula>LEFT(B109,LEN("Functioning At Risk"))="Functioning At Risk"</formula>
    </cfRule>
    <cfRule type="beginsWith" dxfId="2119" priority="292" stopIfTrue="1" operator="beginsWith" text="Not Functioning">
      <formula>LEFT(B109,LEN("Not Functioning"))="Not Functioning"</formula>
    </cfRule>
    <cfRule type="containsText" dxfId="2118" priority="293" operator="containsText" text="Functioning">
      <formula>NOT(ISERROR(SEARCH("Functioning",B109)))</formula>
    </cfRule>
  </conditionalFormatting>
  <conditionalFormatting sqref="B88 D88:D89">
    <cfRule type="beginsWith" dxfId="2117" priority="288" stopIfTrue="1" operator="beginsWith" text="Functioning At Risk">
      <formula>LEFT(B88,LEN("Functioning At Risk"))="Functioning At Risk"</formula>
    </cfRule>
    <cfRule type="beginsWith" dxfId="2116" priority="289" stopIfTrue="1" operator="beginsWith" text="Not Functioning">
      <formula>LEFT(B88,LEN("Not Functioning"))="Not Functioning"</formula>
    </cfRule>
    <cfRule type="containsText" dxfId="2115" priority="290" operator="containsText" text="Functioning">
      <formula>NOT(ISERROR(SEARCH("Functioning",B88)))</formula>
    </cfRule>
  </conditionalFormatting>
  <conditionalFormatting sqref="E117">
    <cfRule type="expression" dxfId="2114" priority="280">
      <formula>B1048509="Level 5 - Biology"</formula>
    </cfRule>
  </conditionalFormatting>
  <conditionalFormatting sqref="E114:E117">
    <cfRule type="beginsWith" dxfId="2113" priority="277" stopIfTrue="1" operator="beginsWith" text="Functioning At Risk">
      <formula>LEFT(E114,LEN("Functioning At Risk"))="Functioning At Risk"</formula>
    </cfRule>
    <cfRule type="beginsWith" dxfId="2112" priority="278" stopIfTrue="1" operator="beginsWith" text="Not Functioning">
      <formula>LEFT(E114,LEN("Not Functioning"))="Not Functioning"</formula>
    </cfRule>
    <cfRule type="containsText" dxfId="2111" priority="279" operator="containsText" text="Functioning">
      <formula>NOT(ISERROR(SEARCH("Functioning",E114)))</formula>
    </cfRule>
  </conditionalFormatting>
  <conditionalFormatting sqref="E114:E116">
    <cfRule type="expression" dxfId="2110" priority="281">
      <formula>B1048508="Level 5 - Biology"</formula>
    </cfRule>
  </conditionalFormatting>
  <conditionalFormatting sqref="C76">
    <cfRule type="beginsWith" dxfId="2109" priority="274" stopIfTrue="1" operator="beginsWith" text="Functioning At Risk">
      <formula>LEFT(C76,LEN("Functioning At Risk"))="Functioning At Risk"</formula>
    </cfRule>
    <cfRule type="beginsWith" dxfId="2108" priority="275" stopIfTrue="1" operator="beginsWith" text="Not Functioning">
      <formula>LEFT(C76,LEN("Not Functioning"))="Not Functioning"</formula>
    </cfRule>
    <cfRule type="containsText" dxfId="2107" priority="276" operator="containsText" text="Functioning">
      <formula>NOT(ISERROR(SEARCH("Functioning",C76)))</formula>
    </cfRule>
  </conditionalFormatting>
  <conditionalFormatting sqref="B114:B116">
    <cfRule type="beginsWith" dxfId="2106" priority="271" stopIfTrue="1" operator="beginsWith" text="Functioning At Risk">
      <formula>LEFT(B114,LEN("Functioning At Risk"))="Functioning At Risk"</formula>
    </cfRule>
    <cfRule type="beginsWith" dxfId="2105" priority="272" stopIfTrue="1" operator="beginsWith" text="Not Functioning">
      <formula>LEFT(B114,LEN("Not Functioning"))="Not Functioning"</formula>
    </cfRule>
    <cfRule type="containsText" dxfId="2104" priority="273" operator="containsText" text="Functioning">
      <formula>NOT(ISERROR(SEARCH("Functioning",B114)))</formula>
    </cfRule>
  </conditionalFormatting>
  <conditionalFormatting sqref="B74:B76">
    <cfRule type="beginsWith" dxfId="2103" priority="268" stopIfTrue="1" operator="beginsWith" text="Functioning At Risk">
      <formula>LEFT(B74,LEN("Functioning At Risk"))="Functioning At Risk"</formula>
    </cfRule>
    <cfRule type="beginsWith" dxfId="2102" priority="269" stopIfTrue="1" operator="beginsWith" text="Not Functioning">
      <formula>LEFT(B74,LEN("Not Functioning"))="Not Functioning"</formula>
    </cfRule>
    <cfRule type="containsText" dxfId="2101" priority="270" operator="containsText" text="Functioning">
      <formula>NOT(ISERROR(SEARCH("Functioning",B74)))</formula>
    </cfRule>
  </conditionalFormatting>
  <conditionalFormatting sqref="E110:E111">
    <cfRule type="expression" dxfId="2100" priority="494">
      <formula>B10="Level 4 - Physicochemical"</formula>
    </cfRule>
    <cfRule type="expression" dxfId="2099" priority="495">
      <formula>B10="Level 5 - Biology"</formula>
    </cfRule>
  </conditionalFormatting>
  <conditionalFormatting sqref="E113">
    <cfRule type="expression" dxfId="2098" priority="496">
      <formula>B10="Level 4 - Physicochemical"</formula>
    </cfRule>
    <cfRule type="expression" dxfId="2097" priority="497">
      <formula>B10="Level 5 - Biology"</formula>
    </cfRule>
  </conditionalFormatting>
  <conditionalFormatting sqref="E119">
    <cfRule type="expression" dxfId="2096" priority="498">
      <formula>B10="Level 5 - Biology"</formula>
    </cfRule>
  </conditionalFormatting>
  <conditionalFormatting sqref="E118">
    <cfRule type="expression" dxfId="2095" priority="499">
      <formula>B12="Level 5 - Biology"</formula>
    </cfRule>
  </conditionalFormatting>
  <conditionalFormatting sqref="C62:C63">
    <cfRule type="beginsWith" dxfId="2094" priority="265" stopIfTrue="1" operator="beginsWith" text="Functioning At Risk">
      <formula>LEFT(C62,LEN("Functioning At Risk"))="Functioning At Risk"</formula>
    </cfRule>
    <cfRule type="beginsWith" dxfId="2093" priority="266" stopIfTrue="1" operator="beginsWith" text="Not Functioning">
      <formula>LEFT(C62,LEN("Not Functioning"))="Not Functioning"</formula>
    </cfRule>
    <cfRule type="containsText" dxfId="2092" priority="267" operator="containsText" text="Functioning">
      <formula>NOT(ISERROR(SEARCH("Functioning",C62)))</formula>
    </cfRule>
  </conditionalFormatting>
  <conditionalFormatting sqref="D102 D94:D96">
    <cfRule type="beginsWith" dxfId="2091" priority="244" stopIfTrue="1" operator="beginsWith" text="Functioning At Risk">
      <formula>LEFT(D94,LEN("Functioning At Risk"))="Functioning At Risk"</formula>
    </cfRule>
    <cfRule type="beginsWith" dxfId="2090" priority="245" stopIfTrue="1" operator="beginsWith" text="Not Functioning">
      <formula>LEFT(D94,LEN("Not Functioning"))="Not Functioning"</formula>
    </cfRule>
    <cfRule type="containsText" dxfId="2089" priority="246" operator="containsText" text="Functioning">
      <formula>NOT(ISERROR(SEARCH("Functioning",D94)))</formula>
    </cfRule>
  </conditionalFormatting>
  <conditionalFormatting sqref="D97">
    <cfRule type="beginsWith" dxfId="2088" priority="241" stopIfTrue="1" operator="beginsWith" text="Functioning At Risk">
      <formula>LEFT(D97,LEN("Functioning At Risk"))="Functioning At Risk"</formula>
    </cfRule>
    <cfRule type="beginsWith" dxfId="2087" priority="242" stopIfTrue="1" operator="beginsWith" text="Not Functioning">
      <formula>LEFT(D97,LEN("Not Functioning"))="Not Functioning"</formula>
    </cfRule>
    <cfRule type="containsText" dxfId="2086" priority="243" operator="containsText" text="Functioning">
      <formula>NOT(ISERROR(SEARCH("Functioning",D97)))</formula>
    </cfRule>
  </conditionalFormatting>
  <conditionalFormatting sqref="D103">
    <cfRule type="beginsWith" dxfId="2085" priority="238" stopIfTrue="1" operator="beginsWith" text="Functioning At Risk">
      <formula>LEFT(D103,LEN("Functioning At Risk"))="Functioning At Risk"</formula>
    </cfRule>
    <cfRule type="beginsWith" dxfId="2084" priority="239" stopIfTrue="1" operator="beginsWith" text="Not Functioning">
      <formula>LEFT(D103,LEN("Not Functioning"))="Not Functioning"</formula>
    </cfRule>
    <cfRule type="containsText" dxfId="2083" priority="240" operator="containsText" text="Functioning">
      <formula>NOT(ISERROR(SEARCH("Functioning",D103)))</formula>
    </cfRule>
  </conditionalFormatting>
  <conditionalFormatting sqref="D98:D101">
    <cfRule type="beginsWith" dxfId="2082" priority="235" stopIfTrue="1" operator="beginsWith" text="Functioning At Risk">
      <formula>LEFT(D98,LEN("Functioning At Risk"))="Functioning At Risk"</formula>
    </cfRule>
    <cfRule type="beginsWith" dxfId="2081" priority="236" stopIfTrue="1" operator="beginsWith" text="Not Functioning">
      <formula>LEFT(D98,LEN("Not Functioning"))="Not Functioning"</formula>
    </cfRule>
    <cfRule type="containsText" dxfId="2080" priority="237" operator="containsText" text="Functioning">
      <formula>NOT(ISERROR(SEARCH("Functioning",D98)))</formula>
    </cfRule>
  </conditionalFormatting>
  <conditionalFormatting sqref="C108">
    <cfRule type="beginsWith" dxfId="2079" priority="208" stopIfTrue="1" operator="beginsWith" text="Functioning At Risk">
      <formula>LEFT(C108,LEN("Functioning At Risk"))="Functioning At Risk"</formula>
    </cfRule>
    <cfRule type="beginsWith" dxfId="2078" priority="209" stopIfTrue="1" operator="beginsWith" text="Not Functioning">
      <formula>LEFT(C108,LEN("Not Functioning"))="Not Functioning"</formula>
    </cfRule>
    <cfRule type="containsText" dxfId="2077" priority="210" operator="containsText" text="Functioning">
      <formula>NOT(ISERROR(SEARCH("Functioning",C108)))</formula>
    </cfRule>
  </conditionalFormatting>
  <conditionalFormatting sqref="E107">
    <cfRule type="beginsWith" dxfId="2076" priority="226" stopIfTrue="1" operator="beginsWith" text="Functioning At Risk">
      <formula>LEFT(E107,LEN("Functioning At Risk"))="Functioning At Risk"</formula>
    </cfRule>
    <cfRule type="beginsWith" dxfId="2075" priority="227" stopIfTrue="1" operator="beginsWith" text="Not Functioning">
      <formula>LEFT(E107,LEN("Not Functioning"))="Not Functioning"</formula>
    </cfRule>
    <cfRule type="containsText" dxfId="2074" priority="228" operator="containsText" text="Functioning">
      <formula>NOT(ISERROR(SEARCH("Functioning",E107)))</formula>
    </cfRule>
  </conditionalFormatting>
  <conditionalFormatting sqref="C94:C96 C111:C112 C105:C106 C117 C109 C86:C89 C114:C115">
    <cfRule type="beginsWith" dxfId="2073" priority="223" stopIfTrue="1" operator="beginsWith" text="Functioning At Risk">
      <formula>LEFT(C86,LEN("Functioning At Risk"))="Functioning At Risk"</formula>
    </cfRule>
    <cfRule type="beginsWith" dxfId="2072" priority="224" stopIfTrue="1" operator="beginsWith" text="Not Functioning">
      <formula>LEFT(C86,LEN("Not Functioning"))="Not Functioning"</formula>
    </cfRule>
    <cfRule type="containsText" dxfId="2071" priority="225" operator="containsText" text="Functioning">
      <formula>NOT(ISERROR(SEARCH("Functioning",C86)))</formula>
    </cfRule>
  </conditionalFormatting>
  <conditionalFormatting sqref="C97">
    <cfRule type="beginsWith" dxfId="2070" priority="220" stopIfTrue="1" operator="beginsWith" text="Functioning At Risk">
      <formula>LEFT(C97,LEN("Functioning At Risk"))="Functioning At Risk"</formula>
    </cfRule>
    <cfRule type="beginsWith" dxfId="2069" priority="221" stopIfTrue="1" operator="beginsWith" text="Not Functioning">
      <formula>LEFT(C97,LEN("Not Functioning"))="Not Functioning"</formula>
    </cfRule>
    <cfRule type="containsText" dxfId="2068" priority="222" operator="containsText" text="Functioning">
      <formula>NOT(ISERROR(SEARCH("Functioning",C97)))</formula>
    </cfRule>
  </conditionalFormatting>
  <conditionalFormatting sqref="C104">
    <cfRule type="beginsWith" dxfId="2067" priority="217" stopIfTrue="1" operator="beginsWith" text="Functioning At Risk">
      <formula>LEFT(C104,LEN("Functioning At Risk"))="Functioning At Risk"</formula>
    </cfRule>
    <cfRule type="beginsWith" dxfId="2066" priority="218" stopIfTrue="1" operator="beginsWith" text="Not Functioning">
      <formula>LEFT(C104,LEN("Not Functioning"))="Not Functioning"</formula>
    </cfRule>
    <cfRule type="containsText" dxfId="2065" priority="219" operator="containsText" text="Functioning">
      <formula>NOT(ISERROR(SEARCH("Functioning",C104)))</formula>
    </cfRule>
  </conditionalFormatting>
  <conditionalFormatting sqref="C98:C101">
    <cfRule type="beginsWith" dxfId="2064" priority="214" stopIfTrue="1" operator="beginsWith" text="Functioning At Risk">
      <formula>LEFT(C98,LEN("Functioning At Risk"))="Functioning At Risk"</formula>
    </cfRule>
    <cfRule type="beginsWith" dxfId="2063" priority="215" stopIfTrue="1" operator="beginsWith" text="Not Functioning">
      <formula>LEFT(C98,LEN("Not Functioning"))="Not Functioning"</formula>
    </cfRule>
    <cfRule type="containsText" dxfId="2062" priority="216" operator="containsText" text="Functioning">
      <formula>NOT(ISERROR(SEARCH("Functioning",C98)))</formula>
    </cfRule>
  </conditionalFormatting>
  <conditionalFormatting sqref="C107">
    <cfRule type="beginsWith" dxfId="2061" priority="211" stopIfTrue="1" operator="beginsWith" text="Functioning At Risk">
      <formula>LEFT(C107,LEN("Functioning At Risk"))="Functioning At Risk"</formula>
    </cfRule>
    <cfRule type="beginsWith" dxfId="2060" priority="212" stopIfTrue="1" operator="beginsWith" text="Not Functioning">
      <formula>LEFT(C107,LEN("Not Functioning"))="Not Functioning"</formula>
    </cfRule>
    <cfRule type="containsText" dxfId="2059" priority="213" operator="containsText" text="Functioning">
      <formula>NOT(ISERROR(SEARCH("Functioning",C107)))</formula>
    </cfRule>
  </conditionalFormatting>
  <conditionalFormatting sqref="C119">
    <cfRule type="beginsWith" dxfId="2058" priority="202" stopIfTrue="1" operator="beginsWith" text="Functioning At Risk">
      <formula>LEFT(C119,LEN("Functioning At Risk"))="Functioning At Risk"</formula>
    </cfRule>
    <cfRule type="beginsWith" dxfId="2057" priority="203" stopIfTrue="1" operator="beginsWith" text="Not Functioning">
      <formula>LEFT(C119,LEN("Not Functioning"))="Not Functioning"</formula>
    </cfRule>
    <cfRule type="containsText" dxfId="2056" priority="204" operator="containsText" text="Functioning">
      <formula>NOT(ISERROR(SEARCH("Functioning",C119)))</formula>
    </cfRule>
  </conditionalFormatting>
  <conditionalFormatting sqref="C118">
    <cfRule type="beginsWith" dxfId="2055" priority="205" stopIfTrue="1" operator="beginsWith" text="Functioning At Risk">
      <formula>LEFT(C118,LEN("Functioning At Risk"))="Functioning At Risk"</formula>
    </cfRule>
    <cfRule type="beginsWith" dxfId="2054" priority="206" stopIfTrue="1" operator="beginsWith" text="Not Functioning">
      <formula>LEFT(C118,LEN("Not Functioning"))="Not Functioning"</formula>
    </cfRule>
    <cfRule type="containsText" dxfId="2053" priority="207" operator="containsText" text="Functioning">
      <formula>NOT(ISERROR(SEARCH("Functioning",C118)))</formula>
    </cfRule>
  </conditionalFormatting>
  <conditionalFormatting sqref="C116">
    <cfRule type="beginsWith" dxfId="2052" priority="199" stopIfTrue="1" operator="beginsWith" text="Functioning At Risk">
      <formula>LEFT(C116,LEN("Functioning At Risk"))="Functioning At Risk"</formula>
    </cfRule>
    <cfRule type="beginsWith" dxfId="2051" priority="200" stopIfTrue="1" operator="beginsWith" text="Not Functioning">
      <formula>LEFT(C116,LEN("Not Functioning"))="Not Functioning"</formula>
    </cfRule>
    <cfRule type="containsText" dxfId="2050" priority="201" operator="containsText" text="Functioning">
      <formula>NOT(ISERROR(SEARCH("Functioning",C116)))</formula>
    </cfRule>
  </conditionalFormatting>
  <conditionalFormatting sqref="C102:C103">
    <cfRule type="beginsWith" dxfId="2049" priority="196" stopIfTrue="1" operator="beginsWith" text="Functioning At Risk">
      <formula>LEFT(C102,LEN("Functioning At Risk"))="Functioning At Risk"</formula>
    </cfRule>
    <cfRule type="beginsWith" dxfId="2048" priority="197" stopIfTrue="1" operator="beginsWith" text="Not Functioning">
      <formula>LEFT(C102,LEN("Not Functioning"))="Not Functioning"</formula>
    </cfRule>
    <cfRule type="containsText" dxfId="2047" priority="198" operator="containsText" text="Functioning">
      <formula>NOT(ISERROR(SEARCH("Functioning",C102)))</formula>
    </cfRule>
  </conditionalFormatting>
  <conditionalFormatting sqref="D5:D9">
    <cfRule type="beginsWith" dxfId="2046" priority="169" stopIfTrue="1" operator="beginsWith" text="Functioning At Risk">
      <formula>LEFT(D5,LEN("Functioning At Risk"))="Functioning At Risk"</formula>
    </cfRule>
    <cfRule type="beginsWith" dxfId="2045" priority="170" stopIfTrue="1" operator="beginsWith" text="Not Functioning">
      <formula>LEFT(D5,LEN("Not Functioning"))="Not Functioning"</formula>
    </cfRule>
    <cfRule type="containsText" dxfId="2044" priority="171" operator="containsText" text="Functioning">
      <formula>NOT(ISERROR(SEARCH("Functioning",D5)))</formula>
    </cfRule>
  </conditionalFormatting>
  <conditionalFormatting sqref="C28:D28 H29:K31 H35:K40 C32:D40 E46:E47 E64:E79 E86:E87 E104:E119">
    <cfRule type="expression" dxfId="2043" priority="168">
      <formula>$B$18="Ephemeral"</formula>
    </cfRule>
  </conditionalFormatting>
  <conditionalFormatting sqref="E46:E47 E50 E64:E79 E86:E87 E104:E119">
    <cfRule type="expression" dxfId="2042" priority="167" stopIfTrue="1">
      <formula>ISBLANK($B$18)</formula>
    </cfRule>
  </conditionalFormatting>
  <conditionalFormatting sqref="E48:E49">
    <cfRule type="beginsWith" dxfId="2041" priority="160" stopIfTrue="1" operator="beginsWith" text="Functioning At Risk">
      <formula>LEFT(E48,LEN("Functioning At Risk"))="Functioning At Risk"</formula>
    </cfRule>
    <cfRule type="beginsWith" dxfId="2040" priority="161" stopIfTrue="1" operator="beginsWith" text="Not Functioning">
      <formula>LEFT(E48,LEN("Not Functioning"))="Not Functioning"</formula>
    </cfRule>
    <cfRule type="containsText" dxfId="2039" priority="162" operator="containsText" text="Functioning">
      <formula>NOT(ISERROR(SEARCH("Functioning",E48)))</formula>
    </cfRule>
  </conditionalFormatting>
  <conditionalFormatting sqref="A18">
    <cfRule type="beginsWith" dxfId="2038" priority="142" stopIfTrue="1" operator="beginsWith" text="Functioning At Risk">
      <formula>LEFT(A18,LEN("Functioning At Risk"))="Functioning At Risk"</formula>
    </cfRule>
    <cfRule type="beginsWith" dxfId="2037" priority="143" stopIfTrue="1" operator="beginsWith" text="Not Functioning">
      <formula>LEFT(A18,LEN("Not Functioning"))="Not Functioning"</formula>
    </cfRule>
    <cfRule type="containsText" dxfId="2036" priority="144" operator="containsText" text="Functioning">
      <formula>NOT(ISERROR(SEARCH("Functioning",A18)))</formula>
    </cfRule>
  </conditionalFormatting>
  <conditionalFormatting sqref="C90:D92">
    <cfRule type="beginsWith" dxfId="2035" priority="139" stopIfTrue="1" operator="beginsWith" text="Functioning At Risk">
      <formula>LEFT(C90,LEN("Functioning At Risk"))="Functioning At Risk"</formula>
    </cfRule>
    <cfRule type="beginsWith" dxfId="2034" priority="140" stopIfTrue="1" operator="beginsWith" text="Not Functioning">
      <formula>LEFT(C90,LEN("Not Functioning"))="Not Functioning"</formula>
    </cfRule>
    <cfRule type="containsText" dxfId="2033" priority="141" operator="containsText" text="Functioning">
      <formula>NOT(ISERROR(SEARCH("Functioning",C90)))</formula>
    </cfRule>
  </conditionalFormatting>
  <conditionalFormatting sqref="B90">
    <cfRule type="beginsWith" dxfId="2032" priority="136" stopIfTrue="1" operator="beginsWith" text="Functioning At Risk">
      <formula>LEFT(B90,LEN("Functioning At Risk"))="Functioning At Risk"</formula>
    </cfRule>
    <cfRule type="beginsWith" dxfId="2031" priority="137" stopIfTrue="1" operator="beginsWith" text="Not Functioning">
      <formula>LEFT(B90,LEN("Not Functioning"))="Not Functioning"</formula>
    </cfRule>
    <cfRule type="containsText" dxfId="2030" priority="138" operator="containsText" text="Functioning">
      <formula>NOT(ISERROR(SEARCH("Functioning",B90)))</formula>
    </cfRule>
  </conditionalFormatting>
  <conditionalFormatting sqref="E91">
    <cfRule type="beginsWith" dxfId="2029" priority="133" stopIfTrue="1" operator="beginsWith" text="Functioning At Risk">
      <formula>LEFT(E91,LEN("Functioning At Risk"))="Functioning At Risk"</formula>
    </cfRule>
    <cfRule type="beginsWith" dxfId="2028" priority="134" stopIfTrue="1" operator="beginsWith" text="Not Functioning">
      <formula>LEFT(E91,LEN("Not Functioning"))="Not Functioning"</formula>
    </cfRule>
    <cfRule type="containsText" dxfId="2027" priority="135" operator="containsText" text="Functioning">
      <formula>NOT(ISERROR(SEARCH("Functioning",E91)))</formula>
    </cfRule>
  </conditionalFormatting>
  <conditionalFormatting sqref="E90">
    <cfRule type="beginsWith" dxfId="2026" priority="130" stopIfTrue="1" operator="beginsWith" text="Functioning At Risk">
      <formula>LEFT(E90,LEN("Functioning At Risk"))="Functioning At Risk"</formula>
    </cfRule>
    <cfRule type="beginsWith" dxfId="2025" priority="131" stopIfTrue="1" operator="beginsWith" text="Not Functioning">
      <formula>LEFT(E90,LEN("Not Functioning"))="Not Functioning"</formula>
    </cfRule>
    <cfRule type="containsText" dxfId="2024" priority="132" operator="containsText" text="Functioning">
      <formula>NOT(ISERROR(SEARCH("Functioning",E90)))</formula>
    </cfRule>
  </conditionalFormatting>
  <conditionalFormatting sqref="E90">
    <cfRule type="expression" dxfId="2023" priority="129" stopIfTrue="1">
      <formula>ISBLANK($B$18)</formula>
    </cfRule>
  </conditionalFormatting>
  <conditionalFormatting sqref="E92:E93">
    <cfRule type="beginsWith" dxfId="2022" priority="126" stopIfTrue="1" operator="beginsWith" text="Functioning At Risk">
      <formula>LEFT(E92,LEN("Functioning At Risk"))="Functioning At Risk"</formula>
    </cfRule>
    <cfRule type="beginsWith" dxfId="2021" priority="127" stopIfTrue="1" operator="beginsWith" text="Not Functioning">
      <formula>LEFT(E92,LEN("Not Functioning"))="Not Functioning"</formula>
    </cfRule>
    <cfRule type="containsText" dxfId="2020" priority="128" operator="containsText" text="Functioning">
      <formula>NOT(ISERROR(SEARCH("Functioning",E92)))</formula>
    </cfRule>
  </conditionalFormatting>
  <conditionalFormatting sqref="H11">
    <cfRule type="beginsWith" dxfId="2019" priority="123" stopIfTrue="1" operator="beginsWith" text="Functioning At Risk">
      <formula>LEFT(H11,LEN("Functioning At Risk"))="Functioning At Risk"</formula>
    </cfRule>
    <cfRule type="beginsWith" dxfId="2018" priority="124" stopIfTrue="1" operator="beginsWith" text="Not Functioning">
      <formula>LEFT(H11,LEN("Not Functioning"))="Not Functioning"</formula>
    </cfRule>
    <cfRule type="containsText" dxfId="2017" priority="125" operator="containsText" text="Functioning">
      <formula>NOT(ISERROR(SEARCH("Functioning",H11)))</formula>
    </cfRule>
  </conditionalFormatting>
  <conditionalFormatting sqref="D18:D19 D15">
    <cfRule type="beginsWith" dxfId="2016" priority="120" stopIfTrue="1" operator="beginsWith" text="Functioning At Risk">
      <formula>LEFT(D15,LEN("Functioning At Risk"))="Functioning At Risk"</formula>
    </cfRule>
    <cfRule type="beginsWith" dxfId="2015" priority="121" stopIfTrue="1" operator="beginsWith" text="Not Functioning">
      <formula>LEFT(D15,LEN("Not Functioning"))="Not Functioning"</formula>
    </cfRule>
    <cfRule type="containsText" dxfId="2014" priority="122" operator="containsText" text="Functioning">
      <formula>NOT(ISERROR(SEARCH("Functioning",D15)))</formula>
    </cfRule>
  </conditionalFormatting>
  <conditionalFormatting sqref="D16">
    <cfRule type="beginsWith" dxfId="2013" priority="117" stopIfTrue="1" operator="beginsWith" text="Functioning At Risk">
      <formula>LEFT(D16,LEN("Functioning At Risk"))="Functioning At Risk"</formula>
    </cfRule>
    <cfRule type="beginsWith" dxfId="2012" priority="118" stopIfTrue="1" operator="beginsWith" text="Not Functioning">
      <formula>LEFT(D16,LEN("Not Functioning"))="Not Functioning"</formula>
    </cfRule>
    <cfRule type="containsText" dxfId="2011" priority="119" operator="containsText" text="Functioning">
      <formula>NOT(ISERROR(SEARCH("Functioning",D16)))</formula>
    </cfRule>
  </conditionalFormatting>
  <conditionalFormatting sqref="D20">
    <cfRule type="beginsWith" dxfId="2010" priority="114" stopIfTrue="1" operator="beginsWith" text="Functioning At Risk">
      <formula>LEFT(D20,LEN("Functioning At Risk"))="Functioning At Risk"</formula>
    </cfRule>
    <cfRule type="beginsWith" dxfId="2009" priority="115" stopIfTrue="1" operator="beginsWith" text="Not Functioning">
      <formula>LEFT(D20,LEN("Not Functioning"))="Not Functioning"</formula>
    </cfRule>
    <cfRule type="containsText" dxfId="2008" priority="116" operator="containsText" text="Functioning">
      <formula>NOT(ISERROR(SEARCH("Functioning",D20)))</formula>
    </cfRule>
  </conditionalFormatting>
  <conditionalFormatting sqref="E94:E96">
    <cfRule type="beginsWith" dxfId="2007" priority="111" stopIfTrue="1" operator="beginsWith" text="Functioning At Risk">
      <formula>LEFT(E94,LEN("Functioning At Risk"))="Functioning At Risk"</formula>
    </cfRule>
    <cfRule type="beginsWith" dxfId="2006" priority="112" stopIfTrue="1" operator="beginsWith" text="Not Functioning">
      <formula>LEFT(E94,LEN("Not Functioning"))="Not Functioning"</formula>
    </cfRule>
    <cfRule type="containsText" dxfId="2005" priority="113" operator="containsText" text="Functioning">
      <formula>NOT(ISERROR(SEARCH("Functioning",E94)))</formula>
    </cfRule>
  </conditionalFormatting>
  <conditionalFormatting sqref="E98:E101">
    <cfRule type="beginsWith" dxfId="2004" priority="108" stopIfTrue="1" operator="beginsWith" text="Functioning At Risk">
      <formula>LEFT(E98,LEN("Functioning At Risk"))="Functioning At Risk"</formula>
    </cfRule>
    <cfRule type="beginsWith" dxfId="2003" priority="109" stopIfTrue="1" operator="beginsWith" text="Not Functioning">
      <formula>LEFT(E98,LEN("Not Functioning"))="Not Functioning"</formula>
    </cfRule>
    <cfRule type="containsText" dxfId="2002" priority="110" operator="containsText" text="Functioning">
      <formula>NOT(ISERROR(SEARCH("Functioning",E98)))</formula>
    </cfRule>
  </conditionalFormatting>
  <conditionalFormatting sqref="E102">
    <cfRule type="beginsWith" dxfId="2001" priority="105" stopIfTrue="1" operator="beginsWith" text="Functioning At Risk">
      <formula>LEFT(E102,LEN("Functioning At Risk"))="Functioning At Risk"</formula>
    </cfRule>
    <cfRule type="beginsWith" dxfId="2000" priority="106" stopIfTrue="1" operator="beginsWith" text="Not Functioning">
      <formula>LEFT(E102,LEN("Not Functioning"))="Not Functioning"</formula>
    </cfRule>
    <cfRule type="containsText" dxfId="1999" priority="107" operator="containsText" text="Functioning">
      <formula>NOT(ISERROR(SEARCH("Functioning",E102)))</formula>
    </cfRule>
  </conditionalFormatting>
  <conditionalFormatting sqref="E103">
    <cfRule type="beginsWith" dxfId="1998" priority="102" stopIfTrue="1" operator="beginsWith" text="Functioning At Risk">
      <formula>LEFT(E103,LEN("Functioning At Risk"))="Functioning At Risk"</formula>
    </cfRule>
    <cfRule type="beginsWith" dxfId="1997" priority="103" stopIfTrue="1" operator="beginsWith" text="Not Functioning">
      <formula>LEFT(E103,LEN("Not Functioning"))="Not Functioning"</formula>
    </cfRule>
    <cfRule type="containsText" dxfId="1996" priority="104" operator="containsText" text="Functioning">
      <formula>NOT(ISERROR(SEARCH("Functioning",E103)))</formula>
    </cfRule>
  </conditionalFormatting>
  <conditionalFormatting sqref="E54:E56">
    <cfRule type="beginsWith" dxfId="1995" priority="99" stopIfTrue="1" operator="beginsWith" text="Functioning At Risk">
      <formula>LEFT(E54,LEN("Functioning At Risk"))="Functioning At Risk"</formula>
    </cfRule>
    <cfRule type="beginsWith" dxfId="1994" priority="100" stopIfTrue="1" operator="beginsWith" text="Not Functioning">
      <formula>LEFT(E54,LEN("Not Functioning"))="Not Functioning"</formula>
    </cfRule>
    <cfRule type="containsText" dxfId="1993" priority="101" operator="containsText" text="Functioning">
      <formula>NOT(ISERROR(SEARCH("Functioning",E54)))</formula>
    </cfRule>
  </conditionalFormatting>
  <conditionalFormatting sqref="E58:E59">
    <cfRule type="beginsWith" dxfId="1992" priority="96" stopIfTrue="1" operator="beginsWith" text="Functioning At Risk">
      <formula>LEFT(E58,LEN("Functioning At Risk"))="Functioning At Risk"</formula>
    </cfRule>
    <cfRule type="beginsWith" dxfId="1991" priority="97" stopIfTrue="1" operator="beginsWith" text="Not Functioning">
      <formula>LEFT(E58,LEN("Not Functioning"))="Not Functioning"</formula>
    </cfRule>
    <cfRule type="containsText" dxfId="1990" priority="98" operator="containsText" text="Functioning">
      <formula>NOT(ISERROR(SEARCH("Functioning",E58)))</formula>
    </cfRule>
  </conditionalFormatting>
  <conditionalFormatting sqref="E88:E89">
    <cfRule type="beginsWith" dxfId="1989" priority="82" stopIfTrue="1" operator="beginsWith" text="Functioning At Risk">
      <formula>LEFT(E88,LEN("Functioning At Risk"))="Functioning At Risk"</formula>
    </cfRule>
    <cfRule type="beginsWith" dxfId="1988" priority="83" stopIfTrue="1" operator="beginsWith" text="Not Functioning">
      <formula>LEFT(E88,LEN("Not Functioning"))="Not Functioning"</formula>
    </cfRule>
    <cfRule type="containsText" dxfId="1987" priority="84" operator="containsText" text="Functioning">
      <formula>NOT(ISERROR(SEARCH("Functioning",E88)))</formula>
    </cfRule>
  </conditionalFormatting>
  <conditionalFormatting sqref="A6:A9">
    <cfRule type="beginsWith" dxfId="1986" priority="76" stopIfTrue="1" operator="beginsWith" text="Functioning At Risk">
      <formula>LEFT(A6,LEN("Functioning At Risk"))="Functioning At Risk"</formula>
    </cfRule>
    <cfRule type="beginsWith" dxfId="1985" priority="77" stopIfTrue="1" operator="beginsWith" text="Not Functioning">
      <formula>LEFT(A6,LEN("Not Functioning"))="Not Functioning"</formula>
    </cfRule>
    <cfRule type="containsText" dxfId="1984" priority="78" operator="containsText" text="Functioning">
      <formula>NOT(ISERROR(SEARCH("Functioning",A6)))</formula>
    </cfRule>
  </conditionalFormatting>
  <conditionalFormatting sqref="E60:E61">
    <cfRule type="beginsWith" dxfId="1983" priority="73" stopIfTrue="1" operator="beginsWith" text="Functioning At Risk">
      <formula>LEFT(E60,LEN("Functioning At Risk"))="Functioning At Risk"</formula>
    </cfRule>
    <cfRule type="beginsWith" dxfId="1982" priority="74" stopIfTrue="1" operator="beginsWith" text="Not Functioning">
      <formula>LEFT(E60,LEN("Not Functioning"))="Not Functioning"</formula>
    </cfRule>
    <cfRule type="containsText" dxfId="1981" priority="75" operator="containsText" text="Functioning">
      <formula>NOT(ISERROR(SEARCH("Functioning",E60)))</formula>
    </cfRule>
  </conditionalFormatting>
  <conditionalFormatting sqref="E62">
    <cfRule type="beginsWith" dxfId="1980" priority="70" stopIfTrue="1" operator="beginsWith" text="Functioning At Risk">
      <formula>LEFT(E62,LEN("Functioning At Risk"))="Functioning At Risk"</formula>
    </cfRule>
    <cfRule type="beginsWith" dxfId="1979" priority="71" stopIfTrue="1" operator="beginsWith" text="Not Functioning">
      <formula>LEFT(E62,LEN("Not Functioning"))="Not Functioning"</formula>
    </cfRule>
    <cfRule type="containsText" dxfId="1978" priority="72" operator="containsText" text="Functioning">
      <formula>NOT(ISERROR(SEARCH("Functioning",E62)))</formula>
    </cfRule>
  </conditionalFormatting>
  <conditionalFormatting sqref="E63">
    <cfRule type="beginsWith" dxfId="1977" priority="67" stopIfTrue="1" operator="beginsWith" text="Functioning At Risk">
      <formula>LEFT(E63,LEN("Functioning At Risk"))="Functioning At Risk"</formula>
    </cfRule>
    <cfRule type="beginsWith" dxfId="1976" priority="68" stopIfTrue="1" operator="beginsWith" text="Not Functioning">
      <formula>LEFT(E63,LEN("Not Functioning"))="Not Functioning"</formula>
    </cfRule>
    <cfRule type="containsText" dxfId="1975" priority="69" operator="containsText" text="Functioning">
      <formula>NOT(ISERROR(SEARCH("Functioning",E63)))</formula>
    </cfRule>
  </conditionalFormatting>
  <conditionalFormatting sqref="F69 F46:F47 F54:F57">
    <cfRule type="beginsWith" dxfId="1974" priority="52" stopIfTrue="1" operator="beginsWith" text="Functioning At Risk">
      <formula>LEFT(F46,LEN("Functioning At Risk"))="Functioning At Risk"</formula>
    </cfRule>
    <cfRule type="beginsWith" dxfId="1973" priority="53" stopIfTrue="1" operator="beginsWith" text="Not Functioning">
      <formula>LEFT(F46,LEN("Not Functioning"))="Not Functioning"</formula>
    </cfRule>
    <cfRule type="containsText" dxfId="1972" priority="54" operator="containsText" text="Functioning">
      <formula>NOT(ISERROR(SEARCH("Functioning",F46)))</formula>
    </cfRule>
  </conditionalFormatting>
  <conditionalFormatting sqref="F58:F59">
    <cfRule type="beginsWith" dxfId="1971" priority="49" stopIfTrue="1" operator="beginsWith" text="Functioning At Risk">
      <formula>LEFT(F58,LEN("Functioning At Risk"))="Functioning At Risk"</formula>
    </cfRule>
    <cfRule type="beginsWith" dxfId="1970" priority="50" stopIfTrue="1" operator="beginsWith" text="Not Functioning">
      <formula>LEFT(F58,LEN("Not Functioning"))="Not Functioning"</formula>
    </cfRule>
    <cfRule type="containsText" dxfId="1969" priority="51" operator="containsText" text="Functioning">
      <formula>NOT(ISERROR(SEARCH("Functioning",F58)))</formula>
    </cfRule>
  </conditionalFormatting>
  <conditionalFormatting sqref="F78:F79">
    <cfRule type="beginsWith" dxfId="1968" priority="46" stopIfTrue="1" operator="beginsWith" text="Functioning At Risk">
      <formula>LEFT(F78,LEN("Functioning At Risk"))="Functioning At Risk"</formula>
    </cfRule>
    <cfRule type="beginsWith" dxfId="1967" priority="47" stopIfTrue="1" operator="beginsWith" text="Not Functioning">
      <formula>LEFT(F78,LEN("Not Functioning"))="Not Functioning"</formula>
    </cfRule>
    <cfRule type="containsText" dxfId="1966" priority="48" operator="containsText" text="Functioning">
      <formula>NOT(ISERROR(SEARCH("Functioning",F78)))</formula>
    </cfRule>
  </conditionalFormatting>
  <conditionalFormatting sqref="F74:F77">
    <cfRule type="beginsWith" dxfId="1965" priority="43" stopIfTrue="1" operator="beginsWith" text="Functioning At Risk">
      <formula>LEFT(F74,LEN("Functioning At Risk"))="Functioning At Risk"</formula>
    </cfRule>
    <cfRule type="beginsWith" dxfId="1964" priority="44" stopIfTrue="1" operator="beginsWith" text="Not Functioning">
      <formula>LEFT(F74,LEN("Not Functioning"))="Not Functioning"</formula>
    </cfRule>
    <cfRule type="containsText" dxfId="1963" priority="45" operator="containsText" text="Functioning">
      <formula>NOT(ISERROR(SEARCH("Functioning",F74)))</formula>
    </cfRule>
  </conditionalFormatting>
  <conditionalFormatting sqref="F62">
    <cfRule type="beginsWith" dxfId="1962" priority="40" stopIfTrue="1" operator="beginsWith" text="Functioning At Risk">
      <formula>LEFT(F62,LEN("Functioning At Risk"))="Functioning At Risk"</formula>
    </cfRule>
    <cfRule type="beginsWith" dxfId="1961" priority="41" stopIfTrue="1" operator="beginsWith" text="Not Functioning">
      <formula>LEFT(F62,LEN("Not Functioning"))="Not Functioning"</formula>
    </cfRule>
    <cfRule type="containsText" dxfId="1960" priority="42" operator="containsText" text="Functioning">
      <formula>NOT(ISERROR(SEARCH("Functioning",F62)))</formula>
    </cfRule>
  </conditionalFormatting>
  <conditionalFormatting sqref="F48:F49">
    <cfRule type="beginsWith" dxfId="1959" priority="37" stopIfTrue="1" operator="beginsWith" text="Functioning At Risk">
      <formula>LEFT(F48,LEN("Functioning At Risk"))="Functioning At Risk"</formula>
    </cfRule>
    <cfRule type="beginsWith" dxfId="1958" priority="38" stopIfTrue="1" operator="beginsWith" text="Not Functioning">
      <formula>LEFT(F48,LEN("Not Functioning"))="Not Functioning"</formula>
    </cfRule>
    <cfRule type="containsText" dxfId="1957" priority="39" operator="containsText" text="Functioning">
      <formula>NOT(ISERROR(SEARCH("Functioning",F48)))</formula>
    </cfRule>
  </conditionalFormatting>
  <conditionalFormatting sqref="F51">
    <cfRule type="beginsWith" dxfId="1956" priority="34" stopIfTrue="1" operator="beginsWith" text="Functioning At Risk">
      <formula>LEFT(F51,LEN("Functioning At Risk"))="Functioning At Risk"</formula>
    </cfRule>
    <cfRule type="beginsWith" dxfId="1955" priority="35" stopIfTrue="1" operator="beginsWith" text="Not Functioning">
      <formula>LEFT(F51,LEN("Not Functioning"))="Not Functioning"</formula>
    </cfRule>
    <cfRule type="containsText" dxfId="1954" priority="36" operator="containsText" text="Functioning">
      <formula>NOT(ISERROR(SEARCH("Functioning",F51)))</formula>
    </cfRule>
  </conditionalFormatting>
  <conditionalFormatting sqref="F66">
    <cfRule type="beginsWith" dxfId="1953" priority="31" stopIfTrue="1" operator="beginsWith" text="Functioning At Risk">
      <formula>LEFT(F66,LEN("Functioning At Risk"))="Functioning At Risk"</formula>
    </cfRule>
    <cfRule type="beginsWith" dxfId="1952" priority="32" stopIfTrue="1" operator="beginsWith" text="Not Functioning">
      <formula>LEFT(F66,LEN("Not Functioning"))="Not Functioning"</formula>
    </cfRule>
    <cfRule type="containsText" dxfId="1951" priority="33" operator="containsText" text="Functioning">
      <formula>NOT(ISERROR(SEARCH("Functioning",F66)))</formula>
    </cfRule>
  </conditionalFormatting>
  <conditionalFormatting sqref="F63">
    <cfRule type="beginsWith" dxfId="1950" priority="28" stopIfTrue="1" operator="beginsWith" text="Functioning At Risk">
      <formula>LEFT(F63,LEN("Functioning At Risk"))="Functioning At Risk"</formula>
    </cfRule>
    <cfRule type="beginsWith" dxfId="1949" priority="29" stopIfTrue="1" operator="beginsWith" text="Not Functioning">
      <formula>LEFT(F63,LEN("Not Functioning"))="Not Functioning"</formula>
    </cfRule>
    <cfRule type="containsText" dxfId="1948" priority="30" operator="containsText" text="Functioning">
      <formula>NOT(ISERROR(SEARCH("Functioning",F63)))</formula>
    </cfRule>
  </conditionalFormatting>
  <conditionalFormatting sqref="F109 F86:F87 F94:F97">
    <cfRule type="beginsWith" dxfId="1947" priority="25" stopIfTrue="1" operator="beginsWith" text="Functioning At Risk">
      <formula>LEFT(F86,LEN("Functioning At Risk"))="Functioning At Risk"</formula>
    </cfRule>
    <cfRule type="beginsWith" dxfId="1946" priority="26" stopIfTrue="1" operator="beginsWith" text="Not Functioning">
      <formula>LEFT(F86,LEN("Not Functioning"))="Not Functioning"</formula>
    </cfRule>
    <cfRule type="containsText" dxfId="1945" priority="27" operator="containsText" text="Functioning">
      <formula>NOT(ISERROR(SEARCH("Functioning",F86)))</formula>
    </cfRule>
  </conditionalFormatting>
  <conditionalFormatting sqref="F98:F99">
    <cfRule type="beginsWith" dxfId="1944" priority="22" stopIfTrue="1" operator="beginsWith" text="Functioning At Risk">
      <formula>LEFT(F98,LEN("Functioning At Risk"))="Functioning At Risk"</formula>
    </cfRule>
    <cfRule type="beginsWith" dxfId="1943" priority="23" stopIfTrue="1" operator="beginsWith" text="Not Functioning">
      <formula>LEFT(F98,LEN("Not Functioning"))="Not Functioning"</formula>
    </cfRule>
    <cfRule type="containsText" dxfId="1942" priority="24" operator="containsText" text="Functioning">
      <formula>NOT(ISERROR(SEARCH("Functioning",F98)))</formula>
    </cfRule>
  </conditionalFormatting>
  <conditionalFormatting sqref="F118:F119">
    <cfRule type="beginsWith" dxfId="1941" priority="19" stopIfTrue="1" operator="beginsWith" text="Functioning At Risk">
      <formula>LEFT(F118,LEN("Functioning At Risk"))="Functioning At Risk"</formula>
    </cfRule>
    <cfRule type="beginsWith" dxfId="1940" priority="20" stopIfTrue="1" operator="beginsWith" text="Not Functioning">
      <formula>LEFT(F118,LEN("Not Functioning"))="Not Functioning"</formula>
    </cfRule>
    <cfRule type="containsText" dxfId="1939" priority="21" operator="containsText" text="Functioning">
      <formula>NOT(ISERROR(SEARCH("Functioning",F118)))</formula>
    </cfRule>
  </conditionalFormatting>
  <conditionalFormatting sqref="F114:F117">
    <cfRule type="beginsWith" dxfId="1938" priority="16" stopIfTrue="1" operator="beginsWith" text="Functioning At Risk">
      <formula>LEFT(F114,LEN("Functioning At Risk"))="Functioning At Risk"</formula>
    </cfRule>
    <cfRule type="beginsWith" dxfId="1937" priority="17" stopIfTrue="1" operator="beginsWith" text="Not Functioning">
      <formula>LEFT(F114,LEN("Not Functioning"))="Not Functioning"</formula>
    </cfRule>
    <cfRule type="containsText" dxfId="1936" priority="18" operator="containsText" text="Functioning">
      <formula>NOT(ISERROR(SEARCH("Functioning",F114)))</formula>
    </cfRule>
  </conditionalFormatting>
  <conditionalFormatting sqref="F102">
    <cfRule type="beginsWith" dxfId="1935" priority="13" stopIfTrue="1" operator="beginsWith" text="Functioning At Risk">
      <formula>LEFT(F102,LEN("Functioning At Risk"))="Functioning At Risk"</formula>
    </cfRule>
    <cfRule type="beginsWith" dxfId="1934" priority="14" stopIfTrue="1" operator="beginsWith" text="Not Functioning">
      <formula>LEFT(F102,LEN("Not Functioning"))="Not Functioning"</formula>
    </cfRule>
    <cfRule type="containsText" dxfId="1933" priority="15" operator="containsText" text="Functioning">
      <formula>NOT(ISERROR(SEARCH("Functioning",F102)))</formula>
    </cfRule>
  </conditionalFormatting>
  <conditionalFormatting sqref="F88:F89">
    <cfRule type="beginsWith" dxfId="1932" priority="10" stopIfTrue="1" operator="beginsWith" text="Functioning At Risk">
      <formula>LEFT(F88,LEN("Functioning At Risk"))="Functioning At Risk"</formula>
    </cfRule>
    <cfRule type="beginsWith" dxfId="1931" priority="11" stopIfTrue="1" operator="beginsWith" text="Not Functioning">
      <formula>LEFT(F88,LEN("Not Functioning"))="Not Functioning"</formula>
    </cfRule>
    <cfRule type="containsText" dxfId="1930" priority="12" operator="containsText" text="Functioning">
      <formula>NOT(ISERROR(SEARCH("Functioning",F88)))</formula>
    </cfRule>
  </conditionalFormatting>
  <conditionalFormatting sqref="F91">
    <cfRule type="beginsWith" dxfId="1929" priority="7" stopIfTrue="1" operator="beginsWith" text="Functioning At Risk">
      <formula>LEFT(F91,LEN("Functioning At Risk"))="Functioning At Risk"</formula>
    </cfRule>
    <cfRule type="beginsWith" dxfId="1928" priority="8" stopIfTrue="1" operator="beginsWith" text="Not Functioning">
      <formula>LEFT(F91,LEN("Not Functioning"))="Not Functioning"</formula>
    </cfRule>
    <cfRule type="containsText" dxfId="1927" priority="9" operator="containsText" text="Functioning">
      <formula>NOT(ISERROR(SEARCH("Functioning",F91)))</formula>
    </cfRule>
  </conditionalFormatting>
  <conditionalFormatting sqref="F106">
    <cfRule type="beginsWith" dxfId="1926" priority="4" stopIfTrue="1" operator="beginsWith" text="Functioning At Risk">
      <formula>LEFT(F106,LEN("Functioning At Risk"))="Functioning At Risk"</formula>
    </cfRule>
    <cfRule type="beginsWith" dxfId="1925" priority="5" stopIfTrue="1" operator="beginsWith" text="Not Functioning">
      <formula>LEFT(F106,LEN("Not Functioning"))="Not Functioning"</formula>
    </cfRule>
    <cfRule type="containsText" dxfId="1924" priority="6" operator="containsText" text="Functioning">
      <formula>NOT(ISERROR(SEARCH("Functioning",F106)))</formula>
    </cfRule>
  </conditionalFormatting>
  <conditionalFormatting sqref="F103">
    <cfRule type="beginsWith" dxfId="1923" priority="1" stopIfTrue="1" operator="beginsWith" text="Functioning At Risk">
      <formula>LEFT(F103,LEN("Functioning At Risk"))="Functioning At Risk"</formula>
    </cfRule>
    <cfRule type="beginsWith" dxfId="1922" priority="2" stopIfTrue="1" operator="beginsWith" text="Not Functioning">
      <formula>LEFT(F103,LEN("Not Functioning"))="Not Functioning"</formula>
    </cfRule>
    <cfRule type="containsText" dxfId="1921" priority="3" operator="containsText" text="Functioning">
      <formula>NOT(ISERROR(SEARCH("Functioning",F103)))</formula>
    </cfRule>
  </conditionalFormatting>
  <dataValidations count="14">
    <dataValidation type="decimal" allowBlank="1" showErrorMessage="1" prompt="The user should input a value for either basal area or density, not both. " sqref="E98:E101 E58:E61">
      <formula1>0</formula1>
      <formula2>5280</formula2>
    </dataValidation>
    <dataValidation allowBlank="1" showErrorMessage="1" prompt="The user should input a value for either basal area or density, not both. " sqref="E102:E103 E62:E63"/>
    <dataValidation allowBlank="1" showInputMessage="1" showErrorMessage="1" prompt="The user should not input values for all 4 measurement methods. If the user is not using TMI, then the remaining 3 measurement methods should be used together." sqref="E74:E77 E114:E117"/>
    <dataValidation allowBlank="1" showErrorMessage="1" prompt="The user can only input a value for either leaf litter processing rate or shredders for organic matter, not both. " sqref="E111"/>
    <dataValidation type="decimal" allowBlank="1" showInputMessage="1" showErrorMessage="1" sqref="E94:E97 E54:E57">
      <formula1>0</formula1>
      <formula2>5280</formula2>
    </dataValidation>
    <dataValidation allowBlank="1" showInputMessage="1" showErrorMessage="1" prompt="The user should input a value for either BEHI/NBS or Erosion Rate, not both. " sqref="E50 E90"/>
    <dataValidation allowBlank="1" showErrorMessage="1" prompt="Select catchment conditon level from the completed catchment assessment form. " sqref="E44:E45 E84:E85"/>
    <dataValidation type="list" allowBlank="1" showErrorMessage="1" sqref="B12">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91 E51">
      <formula1>BEHI.NBS</formula1>
    </dataValidation>
    <dataValidation type="list" allowBlank="1" showErrorMessage="1" sqref="B14">
      <formula1>BedMaterial</formula1>
    </dataValidation>
    <dataValidation allowBlank="1" showErrorMessage="1" sqref="B13 E104 E64 E53 E93 E71"/>
    <dataValidation type="list" allowBlank="1" showErrorMessage="1" sqref="B10:B11">
      <formula1>StreamType</formula1>
    </dataValidation>
    <dataValidation allowBlank="1" showInputMessage="1" showErrorMessage="1" prompt="This measurement method should be used in combination with either Erosion Rate or Dominant BEHI/NBS." sqref="E52 E92"/>
    <dataValidation allowBlank="1" showInputMessage="1" showErrorMessage="1" prompt="The user should only input a value for either LWDI or # Pieces, not both. " sqref="E48:E49 E88:E89"/>
  </dataValidations>
  <pageMargins left="0.25" right="0.25" top="0.75" bottom="0.75" header="0.3" footer="0.3"/>
  <pageSetup paperSize="3" fitToWidth="0" fitToHeight="0" orientation="landscape" r:id="rId1"/>
  <headerFooter>
    <oddHeader>&amp;C&amp;"-,Bold"TN SQT v1.0
Quantification Tool Spreadsheet Reach 5</oddHeader>
  </headerFooter>
  <rowBreaks count="2" manualBreakCount="2">
    <brk id="40" max="16383" man="1"/>
    <brk id="80" max="16383" man="1"/>
  </rowBreaks>
  <legacyDrawing r:id="rId2"/>
  <extLst>
    <ext xmlns:x14="http://schemas.microsoft.com/office/spreadsheetml/2009/9/main" uri="{78C0D931-6437-407d-A8EE-F0AAD7539E65}">
      <x14:conditionalFormattings>
        <x14:conditionalFormatting xmlns:xm="http://schemas.microsoft.com/office/excel/2006/main">
          <x14:cfRule type="beginsWith" priority="145" stopIfTrue="1" operator="beginsWith" text="Functioning At Risk" id="{E5C47D62-754E-4CBE-9637-E8BFECC4E540}">
            <xm:f>LEFT('Quantification Tool R3'!A43,LEN("Functioning At Risk"))="Functioning At Risk"</xm:f>
            <x14:dxf>
              <fill>
                <patternFill>
                  <bgColor rgb="FFFFFF00"/>
                </patternFill>
              </fill>
            </x14:dxf>
          </x14:cfRule>
          <x14:cfRule type="beginsWith" priority="146" stopIfTrue="1" operator="beginsWith" text="Not Functioning" id="{10C2A326-EE89-40E3-BD24-5368DD15A2BB}">
            <xm:f>LEFT('Quantification Tool R3'!A43,LEN("Not Functioning"))="Not Functioning"</xm:f>
            <x14:dxf>
              <font>
                <strike val="0"/>
                <color auto="1"/>
              </font>
              <fill>
                <patternFill patternType="solid">
                  <bgColor rgb="FFFF0000"/>
                </patternFill>
              </fill>
            </x14:dxf>
          </x14:cfRule>
          <x14:cfRule type="containsText" priority="147" operator="containsText" text="Functioning" id="{DC799656-8BFF-4DBB-8AAD-CDB6DA8D0D41}">
            <xm:f>NOT(ISERROR(SEARCH("Functioning",'Quantification Tool R3'!A43)))</xm:f>
            <x14:dxf>
              <fill>
                <patternFill>
                  <bgColor rgb="FF00B050"/>
                </patternFill>
              </fill>
            </x14:dxf>
          </x14:cfRule>
          <xm:sqref>A41 C41:K41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'Pull Down Notes'!$B$100:$B$103</xm:f>
          </x14:formula1>
          <xm:sqref>B21</xm:sqref>
        </x14:dataValidation>
        <x14:dataValidation type="list" allowBlank="1" showInputMessage="1" showErrorMessage="1">
          <x14:formula1>
            <xm:f>'Pull Down Notes'!$B$96:$B$98</xm:f>
          </x14:formula1>
          <xm:sqref>B20</xm:sqref>
        </x14:dataValidation>
        <x14:dataValidation type="list" allowBlank="1" showInputMessage="1" showErrorMessage="1">
          <x14:formula1>
            <xm:f>'Pull Down Notes'!$B$93:$B$94</xm:f>
          </x14:formula1>
          <xm:sqref>B19</xm:sqref>
        </x14:dataValidation>
        <x14:dataValidation type="list" allowBlank="1" showErrorMessage="1">
          <x14:formula1>
            <xm:f>'Pull Down Notes'!$B$107:$B$108</xm:f>
          </x14:formula1>
          <xm:sqref>B18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3"/>
  <sheetViews>
    <sheetView topLeftCell="A376" zoomScale="70" zoomScaleNormal="70" zoomScalePageLayoutView="70" workbookViewId="0">
      <selection activeCell="E418" sqref="E418:E421"/>
    </sheetView>
  </sheetViews>
  <sheetFormatPr defaultColWidth="8.88671875" defaultRowHeight="14.4" x14ac:dyDescent="0.3"/>
  <cols>
    <col min="1" max="1" width="35.88671875" style="14" bestFit="1" customWidth="1"/>
    <col min="2" max="2" width="35.6640625" style="14" bestFit="1" customWidth="1"/>
    <col min="3" max="4" width="24" style="14" customWidth="1"/>
    <col min="5" max="6" width="12.88671875" style="14" customWidth="1"/>
    <col min="7" max="7" width="10.5546875" style="14" customWidth="1"/>
    <col min="8" max="8" width="10.6640625" style="14" customWidth="1"/>
    <col min="9" max="9" width="12.5546875" style="316" customWidth="1"/>
    <col min="10" max="10" width="10.5546875" style="14" customWidth="1"/>
    <col min="11" max="11" width="12.5546875" style="316" customWidth="1"/>
    <col min="12" max="12" width="18.5546875" style="14" customWidth="1"/>
    <col min="13" max="13" width="13.6640625" style="14" customWidth="1"/>
    <col min="14" max="16384" width="8.88671875" style="14"/>
  </cols>
  <sheetData>
    <row r="1" spans="1:15" ht="21" x14ac:dyDescent="0.4">
      <c r="A1" s="544" t="s">
        <v>131</v>
      </c>
      <c r="B1" s="545"/>
      <c r="C1" s="545"/>
      <c r="D1" s="545"/>
      <c r="E1" s="545"/>
      <c r="F1" s="546"/>
      <c r="G1" s="544" t="s">
        <v>18</v>
      </c>
      <c r="H1" s="545"/>
      <c r="I1" s="545"/>
      <c r="J1" s="545"/>
      <c r="K1" s="546"/>
      <c r="L1" s="21"/>
    </row>
    <row r="2" spans="1:15" ht="15.6" x14ac:dyDescent="0.3">
      <c r="A2" s="158" t="s">
        <v>1</v>
      </c>
      <c r="B2" s="158" t="s">
        <v>2</v>
      </c>
      <c r="C2" s="542" t="s">
        <v>3</v>
      </c>
      <c r="D2" s="644"/>
      <c r="E2" s="158" t="s">
        <v>15</v>
      </c>
      <c r="F2" s="158" t="s">
        <v>16</v>
      </c>
      <c r="G2" s="158" t="s">
        <v>19</v>
      </c>
      <c r="H2" s="158" t="s">
        <v>20</v>
      </c>
      <c r="I2" s="314" t="s">
        <v>20</v>
      </c>
      <c r="J2" s="158" t="s">
        <v>21</v>
      </c>
      <c r="K2" s="315" t="s">
        <v>21</v>
      </c>
      <c r="L2" s="21"/>
    </row>
    <row r="3" spans="1:15" ht="15.6" x14ac:dyDescent="0.3">
      <c r="A3" s="540" t="s">
        <v>60</v>
      </c>
      <c r="B3" s="299" t="s">
        <v>86</v>
      </c>
      <c r="C3" s="52" t="s">
        <v>388</v>
      </c>
      <c r="D3" s="52"/>
      <c r="E3" s="162"/>
      <c r="F3" s="338" t="str">
        <f>IF(E3="","",IF(E3&lt;=0,0,IF(E3&gt;=0.95,1,ROUND('Reference Standards'!C$14*E3+'Reference Standards'!C$15,2))))</f>
        <v/>
      </c>
      <c r="G3" s="83" t="str">
        <f>IFERROR(AVERAGE(F3),"")</f>
        <v/>
      </c>
      <c r="H3" s="522" t="str">
        <f>IFERROR(ROUND(AVERAGE(G3:G4),2),"")</f>
        <v/>
      </c>
      <c r="I3" s="519" t="str">
        <f>IF(H3="","",IF(H3&gt;0.69,"Functioning",IF(H3&gt;0.29,"Functioning At Risk",IF(H3&gt;-1,"Not Functioning"))))</f>
        <v/>
      </c>
      <c r="J3" s="559" t="str">
        <f>IF(AND(H3="",H5="",H7="",H29="",H33=""),"",ROUND((IF(H3="",0,H3)*0.2)+(IF(H5="",0,H5)*0.2)+(IF(H7="",0,H7)*0.2)+(IF(H29="",0,H29)*0.2)+(IF(H33="",0,H33)*0.2),2))</f>
        <v/>
      </c>
      <c r="K3" s="555" t="str">
        <f>IF(J3="","",IF(J3&lt;0.3, "Not Functioning",IF(OR(H3&lt;0.7,H5&lt;0.7,H7&lt;0.7,H29&lt;0.7,H33&lt;0.7),"Functioning At Risk",IF(J3&lt;0.7,"Functioning At Risk","Functioning"))))</f>
        <v/>
      </c>
      <c r="L3" s="21"/>
      <c r="N3" s="19"/>
    </row>
    <row r="4" spans="1:15" ht="15.6" x14ac:dyDescent="0.3">
      <c r="A4" s="541"/>
      <c r="B4" s="371" t="s">
        <v>128</v>
      </c>
      <c r="C4" s="373" t="s">
        <v>161</v>
      </c>
      <c r="D4" s="374"/>
      <c r="E4" s="43"/>
      <c r="F4" s="372" t="str">
        <f>IF(E4="","",IF(E4&gt;=1,1,IF(E4&lt;=0,0,ROUND(E4,2))))</f>
        <v/>
      </c>
      <c r="G4" s="367" t="str">
        <f>IFERROR(AVERAGE(F4:F4),"")</f>
        <v/>
      </c>
      <c r="H4" s="523"/>
      <c r="I4" s="519"/>
      <c r="J4" s="559"/>
      <c r="K4" s="555"/>
      <c r="L4" s="21"/>
      <c r="N4" s="19"/>
    </row>
    <row r="5" spans="1:15" ht="15.6" x14ac:dyDescent="0.3">
      <c r="A5" s="524" t="s">
        <v>6</v>
      </c>
      <c r="B5" s="572" t="s">
        <v>7</v>
      </c>
      <c r="C5" s="54" t="s">
        <v>8</v>
      </c>
      <c r="D5" s="54"/>
      <c r="E5" s="162"/>
      <c r="F5" s="339" t="str">
        <f>IF(E5="","",ROUND(IF(E5&gt;1.6,0,IF(E5&lt;=1,1,E5^2*'Reference Standards'!K$14+E5*'Reference Standards'!K$15+'Reference Standards'!K$16)),2))</f>
        <v/>
      </c>
      <c r="G5" s="579" t="str">
        <f>IFERROR(AVERAGE(F5:F6),"")</f>
        <v/>
      </c>
      <c r="H5" s="579" t="str">
        <f>IFERROR(ROUND(AVERAGE(G5),2),"")</f>
        <v/>
      </c>
      <c r="I5" s="569" t="str">
        <f>IF(H5="","",IF(H5&gt;0.69,"Functioning",IF(H5&gt;0.29,"Functioning At Risk",IF(H5&gt;-1,"Not Functioning"))))</f>
        <v/>
      </c>
      <c r="J5" s="559"/>
      <c r="K5" s="555"/>
      <c r="L5" s="21"/>
      <c r="N5" s="19"/>
      <c r="O5" s="19"/>
    </row>
    <row r="6" spans="1:15" ht="15.6" x14ac:dyDescent="0.3">
      <c r="A6" s="525"/>
      <c r="B6" s="572"/>
      <c r="C6" s="54" t="s">
        <v>9</v>
      </c>
      <c r="D6" s="54"/>
      <c r="E6" s="163"/>
      <c r="F6" s="339" t="str">
        <f>IF(E6="","",(IF(OR('Quantification Tool R5'!B$11="A",'Quantification Tool R5'!B$11="B",'Quantification Tool R5'!$B$11="Bc"),IF(E6&lt;1.2,0,IF(E6&gt;=2.2,1,ROUND(IF(E6&lt;1.4,E6*'Reference Standards'!$K$84+'Reference Standards'!$K$85,E6*'Reference Standards'!$L$84+'Reference Standards'!$L$85),2))),IF(OR('Quantification Tool R5'!B$11="C",'Quantification Tool R5'!B$11="E"),IF(E6&lt;2,0,IF(E6&gt;=5,1,ROUND(IF(E6&lt;2.4,E6*'Reference Standards'!$L$49+'Reference Standards'!$L$50,E6*'Reference Standards'!$K$49+'Reference Standards'!$K$50),2)))))))</f>
        <v/>
      </c>
      <c r="G6" s="581"/>
      <c r="H6" s="580"/>
      <c r="I6" s="570"/>
      <c r="J6" s="559"/>
      <c r="K6" s="555"/>
      <c r="L6" s="21"/>
      <c r="N6" s="19"/>
      <c r="O6" s="19"/>
    </row>
    <row r="7" spans="1:15" ht="15.6" x14ac:dyDescent="0.3">
      <c r="A7" s="526" t="s">
        <v>26</v>
      </c>
      <c r="B7" s="557" t="s">
        <v>27</v>
      </c>
      <c r="C7" s="60" t="s">
        <v>333</v>
      </c>
      <c r="D7" s="244"/>
      <c r="E7" s="61"/>
      <c r="F7" s="340" t="str">
        <f>IF(E7="","",IF(OR(LEFT('Quantification Tool R5'!$B$12,2)="65",LEFT('Quantification Tool R5'!$B$12,2)="66",LEFT('Quantification Tool R5'!$B$12,2)="71"),IF(E7&gt;=850,1,IF(E7&lt;250,ROUND('Reference Standards'!$S$17*(E7)+'Reference Standards'!$S$18,2),ROUND('Reference Standards'!$T$17*E7+'Reference Standards'!$T$18,2))),  IF(E7&gt;=345,1,IF(E7&lt;=180,ROUND('Reference Standards'!$U$17*(E7)+'Reference Standards'!$U$18,2),ROUND('Reference Standards'!$V$17*E7+'Reference Standards'!$V$18,2))))    )</f>
        <v/>
      </c>
      <c r="G7" s="528" t="str">
        <f>IFERROR(AVERAGE(F7:F8),"")</f>
        <v/>
      </c>
      <c r="H7" s="566" t="str">
        <f>IFERROR(ROUND(AVERAGE(G7:G28),2),"")</f>
        <v/>
      </c>
      <c r="I7" s="555" t="str">
        <f>IF(H7="","",IF(H7&gt;0.69,"Functioning",IF(H7&gt;0.29,"Functioning At Risk",IF(H7&gt;-1,"Not Functioning"))))</f>
        <v/>
      </c>
      <c r="J7" s="559"/>
      <c r="K7" s="555"/>
      <c r="L7" s="21"/>
      <c r="N7" s="19"/>
      <c r="O7" s="19"/>
    </row>
    <row r="8" spans="1:15" ht="15.6" x14ac:dyDescent="0.3">
      <c r="A8" s="520"/>
      <c r="B8" s="558"/>
      <c r="C8" s="63" t="s">
        <v>323</v>
      </c>
      <c r="D8" s="245"/>
      <c r="E8" s="53"/>
      <c r="F8" s="341" t="str">
        <f>IF(E8="","",IF(OR(LEFT('Quantification Tool R5'!$B$12,2)="65",LEFT('Quantification Tool R5'!$B$12,2)="66",LEFT('Quantification Tool R5'!$B$12,2)="71"),IF(E8&gt;=30,1,IF(E8&lt;13,ROUND('Reference Standards'!$S$53*(E8)+'Reference Standards'!$S$54,2),ROUND('Reference Standards'!$T$53*E8+'Reference Standards'!$T$54,2))),  IF(E8&gt;=16,1,IF(E8&lt;=9,ROUND('Reference Standards'!$U$53*(E8)+'Reference Standards'!$U$54,2),ROUND('Reference Standards'!$V$53*E8+'Reference Standards'!$V$54,2))))    )</f>
        <v/>
      </c>
      <c r="G8" s="530"/>
      <c r="H8" s="566"/>
      <c r="I8" s="555"/>
      <c r="J8" s="559"/>
      <c r="K8" s="555"/>
      <c r="L8" s="21"/>
      <c r="N8" s="19"/>
      <c r="O8" s="19"/>
    </row>
    <row r="9" spans="1:15" ht="15.6" x14ac:dyDescent="0.3">
      <c r="A9" s="520"/>
      <c r="B9" s="520" t="s">
        <v>395</v>
      </c>
      <c r="C9" s="58" t="s">
        <v>80</v>
      </c>
      <c r="D9" s="58"/>
      <c r="E9" s="165"/>
      <c r="F9" s="340" t="str">
        <f>IF(E9="","",ROUND(IF(E9&gt;0.7,0,IF(E9&lt;=0.1,1,E9^3*'Reference Standards'!S$87+E9^2*'Reference Standards'!S$88+E9*'Reference Standards'!S$89+'Reference Standards'!S$90)),2))</f>
        <v/>
      </c>
      <c r="G9" s="552" t="str">
        <f>IFERROR(ROUND(AVERAGE(F9:F12),2),"")</f>
        <v/>
      </c>
      <c r="H9" s="567"/>
      <c r="I9" s="555"/>
      <c r="J9" s="559"/>
      <c r="K9" s="555"/>
      <c r="L9" s="21"/>
      <c r="N9" s="19"/>
      <c r="O9" s="19"/>
    </row>
    <row r="10" spans="1:15" ht="15.6" x14ac:dyDescent="0.3">
      <c r="A10" s="520"/>
      <c r="B10" s="520"/>
      <c r="C10" s="58" t="s">
        <v>49</v>
      </c>
      <c r="D10" s="58"/>
      <c r="E10" s="165"/>
      <c r="F10" s="84" t="str">
        <f>IF(E10="","",IF(OR(E10="Ex/Ex",E10="Ex/VH"),0, IF(OR(E10="Ex/H",E10="VH/Ex",E10="VH/VH", E10="H/Ex",E10="H/VH",E10="M/Ex"),0.1,IF(OR(E10="Ex/M",E10="VH/H",E10="H/H", E10="M/VH"),0.2, IF(OR(E10="Ex/L",E10="VH/M",E10="H/M", E10="M/H",E10="L/Ex"),0.3, IF(OR(E10="Ex/VL",E10="VH/L",E10="H/L"),0.4, IF(OR(E10="VH/VL",E10="H/VL",E10="M/M", E10="L/VH"),0.5, IF(OR(E10="M/L",E10="L/H"),0.6, IF(OR(E10="M/VL",E10="L/M"),0.7, IF(OR(E10="L/L",E10="L/VL"),1))))))))))</f>
        <v/>
      </c>
      <c r="G10" s="553"/>
      <c r="H10" s="567"/>
      <c r="I10" s="555"/>
      <c r="J10" s="559"/>
      <c r="K10" s="555"/>
      <c r="L10" s="21"/>
      <c r="N10" s="19"/>
      <c r="O10" s="19"/>
    </row>
    <row r="11" spans="1:15" ht="15.6" x14ac:dyDescent="0.3">
      <c r="A11" s="520"/>
      <c r="B11" s="520"/>
      <c r="C11" s="58" t="s">
        <v>87</v>
      </c>
      <c r="D11" s="58"/>
      <c r="E11" s="165"/>
      <c r="F11" s="84" t="str">
        <f>IF(E11="","",ROUND(IF(E11&gt;40,0,IF(E11&lt;5,1,E11^3*'Reference Standards'!S$122+E11^2*'Reference Standards'!S$123+E11*'Reference Standards'!S$124+'Reference Standards'!S$125)),2))</f>
        <v/>
      </c>
      <c r="G11" s="553"/>
      <c r="H11" s="567"/>
      <c r="I11" s="555"/>
      <c r="J11" s="559"/>
      <c r="K11" s="555"/>
      <c r="L11" s="21"/>
      <c r="N11" s="19"/>
      <c r="O11" s="19"/>
    </row>
    <row r="12" spans="1:15" ht="15.6" x14ac:dyDescent="0.3">
      <c r="A12" s="520"/>
      <c r="B12" s="521"/>
      <c r="C12" s="59" t="s">
        <v>394</v>
      </c>
      <c r="D12" s="59"/>
      <c r="E12" s="167"/>
      <c r="F12" s="341" t="str">
        <f>IF(E12="","",ROUND(IF(E12&gt;=30,0,IF(E12&lt;=0,1,E12*'Reference Standards'!S$156+'Reference Standards'!S$157)),2))</f>
        <v/>
      </c>
      <c r="G12" s="554"/>
      <c r="H12" s="567"/>
      <c r="I12" s="555"/>
      <c r="J12" s="559"/>
      <c r="K12" s="555"/>
      <c r="L12" s="21"/>
      <c r="N12" s="19"/>
      <c r="O12" s="19"/>
    </row>
    <row r="13" spans="1:15" ht="15.6" x14ac:dyDescent="0.3">
      <c r="A13" s="520"/>
      <c r="B13" s="520" t="s">
        <v>50</v>
      </c>
      <c r="C13" s="60" t="s">
        <v>377</v>
      </c>
      <c r="D13" s="64"/>
      <c r="E13" s="136"/>
      <c r="F13" s="294" t="str">
        <f>IF(E13="","",ROUND(IF(E13&gt;9.2,1,E13*'Reference Standards'!$S$189+'Reference Standards'!$S$190),2))</f>
        <v/>
      </c>
      <c r="G13" s="552" t="str">
        <f>IFERROR(ROUND(AVERAGE(F13:F22),2),"")</f>
        <v/>
      </c>
      <c r="H13" s="567"/>
      <c r="I13" s="555"/>
      <c r="J13" s="559"/>
      <c r="K13" s="555"/>
      <c r="L13" s="21"/>
      <c r="N13" s="19"/>
      <c r="O13" s="19"/>
    </row>
    <row r="14" spans="1:15" ht="15.6" x14ac:dyDescent="0.3">
      <c r="A14" s="520"/>
      <c r="B14" s="520"/>
      <c r="C14" s="62" t="s">
        <v>378</v>
      </c>
      <c r="D14" s="58"/>
      <c r="E14" s="162"/>
      <c r="F14" s="294" t="str">
        <f>IF(E14="","",ROUND(IF(E14&gt;9.2,1,E14*'Reference Standards'!$S$189+'Reference Standards'!$S$190),2))</f>
        <v/>
      </c>
      <c r="G14" s="553"/>
      <c r="H14" s="567"/>
      <c r="I14" s="555"/>
      <c r="J14" s="559"/>
      <c r="K14" s="555"/>
      <c r="L14" s="21"/>
      <c r="N14" s="19"/>
      <c r="O14" s="19"/>
    </row>
    <row r="15" spans="1:15" ht="15.6" x14ac:dyDescent="0.3">
      <c r="A15" s="520"/>
      <c r="B15" s="520"/>
      <c r="C15" s="62" t="s">
        <v>379</v>
      </c>
      <c r="D15" s="58"/>
      <c r="E15" s="162"/>
      <c r="F15" s="294" t="str">
        <f>IF(E15="","",ROUND( IF(E15&gt;=200,1,IF(E15&lt;50, E15^2*'Reference Standards'!S$224+E15*'Reference Standards'!S$225+'Reference Standards'!S$226, E15*'Reference Standards'!T$224+'Reference Standards'!T$225)),2))</f>
        <v/>
      </c>
      <c r="G15" s="553"/>
      <c r="H15" s="567"/>
      <c r="I15" s="555"/>
      <c r="J15" s="559"/>
      <c r="K15" s="555"/>
      <c r="L15" s="21"/>
      <c r="N15" s="19"/>
      <c r="O15" s="19"/>
    </row>
    <row r="16" spans="1:15" ht="15.6" x14ac:dyDescent="0.3">
      <c r="A16" s="520"/>
      <c r="B16" s="520"/>
      <c r="C16" s="62" t="s">
        <v>380</v>
      </c>
      <c r="D16" s="58"/>
      <c r="E16" s="162"/>
      <c r="F16" s="294" t="str">
        <f>IF(E16="","",ROUND( IF(E16&gt;=200,1,IF(E16&lt;50, E16^2*'Reference Standards'!S$224+E16*'Reference Standards'!S$225+'Reference Standards'!S$226, E16*'Reference Standards'!T$224+'Reference Standards'!T$225)),2))</f>
        <v/>
      </c>
      <c r="G16" s="553"/>
      <c r="H16" s="567"/>
      <c r="I16" s="555"/>
      <c r="J16" s="559"/>
      <c r="K16" s="555"/>
      <c r="L16" s="21"/>
      <c r="N16" s="19"/>
      <c r="O16" s="19"/>
    </row>
    <row r="17" spans="1:15" ht="15.6" x14ac:dyDescent="0.3">
      <c r="A17" s="520"/>
      <c r="B17" s="520"/>
      <c r="C17" s="58" t="s">
        <v>381</v>
      </c>
      <c r="D17" s="58"/>
      <c r="E17" s="162"/>
      <c r="F17" s="294" t="str">
        <f>IF(E17="","",ROUND(IF(AND(E17&gt;=135,E17&lt;=262),1,IF(  E17&gt;=366,0.5, IF(E17&lt;135,E17*'Reference Standards'!S$259+'Reference Standards'!S$260, E17*'Reference Standards'!T$259+'Reference Standards'!T$260))),2))</f>
        <v/>
      </c>
      <c r="G17" s="553"/>
      <c r="H17" s="567"/>
      <c r="I17" s="555"/>
      <c r="J17" s="559"/>
      <c r="K17" s="555"/>
      <c r="L17" s="21"/>
      <c r="N17" s="19"/>
      <c r="O17" s="19"/>
    </row>
    <row r="18" spans="1:15" ht="15.6" x14ac:dyDescent="0.3">
      <c r="A18" s="520"/>
      <c r="B18" s="520"/>
      <c r="C18" s="58" t="s">
        <v>382</v>
      </c>
      <c r="D18" s="58"/>
      <c r="E18" s="162"/>
      <c r="F18" s="294" t="str">
        <f>IF(E18="","",ROUND(IF(AND(E18&gt;=135,E18&lt;=262),1,IF(  E18&gt;=366,0.5, IF(E18&lt;135,E18*'Reference Standards'!S$259+'Reference Standards'!S$260, E18*'Reference Standards'!T$259+'Reference Standards'!T$260))),2))</f>
        <v/>
      </c>
      <c r="G18" s="553"/>
      <c r="H18" s="567"/>
      <c r="I18" s="555"/>
      <c r="J18" s="559"/>
      <c r="K18" s="555"/>
      <c r="L18" s="21"/>
      <c r="N18" s="19"/>
      <c r="O18" s="19"/>
    </row>
    <row r="19" spans="1:15" ht="15.6" x14ac:dyDescent="0.3">
      <c r="A19" s="520"/>
      <c r="B19" s="520"/>
      <c r="C19" s="58" t="s">
        <v>383</v>
      </c>
      <c r="D19" s="58"/>
      <c r="E19" s="162"/>
      <c r="F19" s="84" t="str">
        <f>IF(E19="","",ROUND(IF(E19&gt;=75,1,IF(E19&lt;=0,0,E19*'Reference Standards'!S$330)),2))</f>
        <v/>
      </c>
      <c r="G19" s="553"/>
      <c r="H19" s="567"/>
      <c r="I19" s="555"/>
      <c r="J19" s="559"/>
      <c r="K19" s="555"/>
      <c r="L19" s="21"/>
      <c r="N19" s="19"/>
      <c r="O19" s="19"/>
    </row>
    <row r="20" spans="1:15" ht="15.6" x14ac:dyDescent="0.3">
      <c r="A20" s="520"/>
      <c r="B20" s="520"/>
      <c r="C20" s="58" t="s">
        <v>384</v>
      </c>
      <c r="D20" s="58"/>
      <c r="E20" s="162"/>
      <c r="F20" s="84" t="str">
        <f>IF(E20="","",ROUND(IF(E20&gt;=75,1,IF(E20&lt;=0,0,E20*'Reference Standards'!S$330)),2))</f>
        <v/>
      </c>
      <c r="G20" s="553"/>
      <c r="H20" s="567"/>
      <c r="I20" s="555"/>
      <c r="J20" s="559"/>
      <c r="K20" s="555"/>
      <c r="L20" s="21"/>
      <c r="N20" s="19"/>
      <c r="O20" s="19"/>
    </row>
    <row r="21" spans="1:15" ht="15.6" x14ac:dyDescent="0.3">
      <c r="A21" s="520"/>
      <c r="B21" s="520"/>
      <c r="C21" s="58" t="s">
        <v>385</v>
      </c>
      <c r="D21" s="58"/>
      <c r="E21" s="162"/>
      <c r="F21" s="294" t="str">
        <f>IF(E21="","",ROUND(IF(AND(E21&gt;=36.3,E21&lt;=68),1,IF(E21&gt;100,0,IF(E21&lt;36.3,(('Reference Standards'!S$297*(E21^2))+('Reference Standards'!S$298*E21)+'Reference Standards'!S$299),IF(E21&gt;68,(('Reference Standards'!T$297*(E21^2))+('Reference Standards'!T$298*E21)+'Reference Standards'!T$299))))),2))</f>
        <v/>
      </c>
      <c r="G21" s="553"/>
      <c r="H21" s="567"/>
      <c r="I21" s="555"/>
      <c r="J21" s="559"/>
      <c r="K21" s="555"/>
      <c r="L21" s="21"/>
      <c r="N21" s="19"/>
      <c r="O21" s="19"/>
    </row>
    <row r="22" spans="1:15" ht="15.6" x14ac:dyDescent="0.3">
      <c r="A22" s="520"/>
      <c r="B22" s="521"/>
      <c r="C22" s="58" t="s">
        <v>386</v>
      </c>
      <c r="D22" s="65"/>
      <c r="E22" s="162"/>
      <c r="F22" s="294" t="str">
        <f>IF(E22="","",ROUND(IF(AND(E22&gt;=36.3,E22&lt;=68),1,IF(E22&gt;100,0,IF(E22&lt;36.3,(('Reference Standards'!S$297*(E22^2))+('Reference Standards'!S$298*E22)+'Reference Standards'!S$299),IF(E22&gt;68,(('Reference Standards'!T$297*(E22^2))+('Reference Standards'!T$298*E22)+'Reference Standards'!T$299))))),2))</f>
        <v/>
      </c>
      <c r="G22" s="554"/>
      <c r="H22" s="567"/>
      <c r="I22" s="555"/>
      <c r="J22" s="559"/>
      <c r="K22" s="555"/>
      <c r="L22" s="21"/>
      <c r="N22" s="19"/>
      <c r="O22" s="19"/>
    </row>
    <row r="23" spans="1:15" ht="15.6" x14ac:dyDescent="0.3">
      <c r="A23" s="520"/>
      <c r="B23" s="56" t="s">
        <v>108</v>
      </c>
      <c r="C23" s="72" t="s">
        <v>130</v>
      </c>
      <c r="D23" s="58"/>
      <c r="E23" s="43"/>
      <c r="F23" s="82" t="str">
        <f>IF(E23="","",IF(OR('Quantification Tool R5'!B$14="Gravel",'Quantification Tool R5'!B$14="Cobble"),IF(E23&gt;0.1,1,IF(E23&lt;=0.01,0,ROUND(E23*'Reference Standards'!$S$362+'Reference Standards'!$S$363,2)))))</f>
        <v/>
      </c>
      <c r="G23" s="82" t="str">
        <f>IFERROR(AVERAGE(F23),"")</f>
        <v/>
      </c>
      <c r="H23" s="567"/>
      <c r="I23" s="555"/>
      <c r="J23" s="559"/>
      <c r="K23" s="555"/>
      <c r="L23" s="21"/>
      <c r="N23" s="19"/>
      <c r="O23" s="19"/>
    </row>
    <row r="24" spans="1:15" ht="15.6" x14ac:dyDescent="0.3">
      <c r="A24" s="520"/>
      <c r="B24" s="526" t="s">
        <v>51</v>
      </c>
      <c r="C24" s="64" t="s">
        <v>52</v>
      </c>
      <c r="D24" s="64"/>
      <c r="E24" s="166"/>
      <c r="F24" s="337" t="str">
        <f>IF(E24="","", IF(ISNUMBER('Quantification Tool R5'!$B$17), IF('Quantification Tool R5'!$B$17&lt;=2,   IF(AND(E24&gt;=3,E24&lt;=5),1, IF(OR(E24&lt;=1,E24&gt;=7), 0, ROUND( IF(E24&lt;3, E24*'Reference Standards'!S$398+'Reference Standards'!S$399,E24*'Reference Standards'!T$398+'Reference Standards'!T$399),2) ) ),   IF(E24&lt;=2.5,1, IF(E24&gt;=5.8,0, ROUND(E24*'Reference Standards'!S$430+'Reference Standards'!S$431,2))))   ))</f>
        <v/>
      </c>
      <c r="G24" s="528" t="str">
        <f>IFERROR(AVERAGE(F24:F27),"")</f>
        <v/>
      </c>
      <c r="H24" s="567"/>
      <c r="I24" s="555"/>
      <c r="J24" s="559"/>
      <c r="K24" s="555"/>
      <c r="L24" s="21"/>
      <c r="N24" s="19"/>
      <c r="O24" s="19"/>
    </row>
    <row r="25" spans="1:15" ht="15.6" x14ac:dyDescent="0.3">
      <c r="A25" s="520"/>
      <c r="B25" s="520"/>
      <c r="C25" s="58" t="s">
        <v>53</v>
      </c>
      <c r="D25" s="58"/>
      <c r="E25" s="165"/>
      <c r="F25" s="84" t="str">
        <f>IF(E25="","", IF( E25&gt;=2.4,1, IF(E25&lt;=1,0,  ROUND(IF(E25&lt;2.4, E25*'Reference Standards'!$S$464+'Reference Standards'!$S$465 ),2))))</f>
        <v/>
      </c>
      <c r="G25" s="529"/>
      <c r="H25" s="567"/>
      <c r="I25" s="555"/>
      <c r="J25" s="559"/>
      <c r="K25" s="555"/>
      <c r="L25" s="21"/>
      <c r="N25" s="19"/>
      <c r="O25" s="19"/>
    </row>
    <row r="26" spans="1:15" ht="15.6" x14ac:dyDescent="0.3">
      <c r="A26" s="520"/>
      <c r="B26" s="520"/>
      <c r="C26" s="58" t="s">
        <v>334</v>
      </c>
      <c r="D26" s="58"/>
      <c r="E26" s="165"/>
      <c r="F26" s="390" t="str">
        <f>IF(E26="","", IF(LEFT('Quantification Tool R5'!$B$12,2)="67",  IF( AND(E26&gt;=45,E26&lt;=65),1, IF(OR(E26&lt;=20,E26&gt;=90),0, ROUND(  IF(E26&lt;45, E26*'Reference Standards'!$S$498+'Reference Standards'!$S$499,E26*'Reference Standards'!$T$498+'Reference Standards'!$T$499),2))), IF(OR(  LEFT('Quantification Tool R5'!$B$12,2)="68", LEFT('Quantification Tool R5'!$B$12,2)="69",LEFT('Quantification Tool R5'!$B$12,2)="71"),  IF( AND(E26&gt;=30,E26&lt;=50),1, IF(OR(E26&lt;=10,E26&gt;=70),0, ROUND(  IF(E26&lt;30, E26*'Reference Standards'!$S$533+'Reference Standards'!$S$534,E26*'Reference Standards'!$T$533+'Reference Standards'!$T$534),2))), IF(LEFT('Quantification Tool R5'!$B$12,2)="66",  IF( AND(E26&gt;=20,E26&lt;=45),1, IF(OR(E26&lt;=0,E26&gt;=90),0, ROUND(  IF(E26&lt;20, E26*'Reference Standards'!$S$567+'Reference Standards'!$S$568,E26*'Reference Standards'!$T$567+'Reference Standards'!$T$568),2))), IF(OR(  LEFT('Quantification Tool R5'!$B$12,2)="65", LEFT('Quantification Tool R5'!$B$12,2)="74", LEFT('Quantification Tool R5'!$B$12,2)="73"),  IF( AND(E26&gt;=20,E26&lt;=30),1, IF(OR(E26&lt;=0,E26&gt;=50),0, ROUND(  IF(E26&lt;20, E26*'Reference Standards'!$S$601+'Reference Standards'!$S$602,E26*'Reference Standards'!$T$601+'Reference Standards'!$T$602),2))))))))</f>
        <v/>
      </c>
      <c r="G26" s="529"/>
      <c r="H26" s="567"/>
      <c r="I26" s="555"/>
      <c r="J26" s="559"/>
      <c r="K26" s="555"/>
      <c r="L26" s="21"/>
      <c r="N26" s="19"/>
      <c r="O26" s="19"/>
    </row>
    <row r="27" spans="1:15" ht="15.6" x14ac:dyDescent="0.3">
      <c r="A27" s="520"/>
      <c r="B27" s="521"/>
      <c r="C27" s="62" t="s">
        <v>210</v>
      </c>
      <c r="D27" s="58"/>
      <c r="E27" s="167"/>
      <c r="F27" s="391" t="str">
        <f>IF(E27="","",IF(E27&gt;=1.6,0,IF(E27&lt;=1,1,ROUND('Reference Standards'!$S$633*E27^3+'Reference Standards'!$S$634*E27^2+'Reference Standards'!$S$635*E27+'Reference Standards'!$S$636,2))))</f>
        <v/>
      </c>
      <c r="G27" s="530"/>
      <c r="H27" s="567"/>
      <c r="I27" s="555"/>
      <c r="J27" s="559"/>
      <c r="K27" s="555"/>
      <c r="L27" s="21"/>
      <c r="N27" s="19"/>
      <c r="O27" s="19"/>
    </row>
    <row r="28" spans="1:15" ht="15.6" x14ac:dyDescent="0.3">
      <c r="A28" s="521"/>
      <c r="B28" s="296" t="s">
        <v>55</v>
      </c>
      <c r="C28" s="242" t="s">
        <v>54</v>
      </c>
      <c r="D28" s="243"/>
      <c r="E28" s="163"/>
      <c r="F28" s="342" t="str">
        <f>IF(E28="","",IF(AND('Quantification Tool R5'!B$11="E",'Quantification Tool R5'!$B$14="Sand",'Quantification Tool R5'!$B$21="Unconfined Alluvial"),ROUND(IF(OR(E28&gt;1.8,E28&lt;1.3),0,IF(E28&lt;=1.6,1,E28*'Reference Standards'!S$667+'Reference Standards'!S$668)),2),    IF('Quantification Tool R5'!$B$21="Unconfined Alluvial",ROUND(IF(OR(E28&lt;1.2, E28&gt;1.5),0,IF(E28&lt;=1.4,1,E28*'Reference Standards'!$S$700+'Reference Standards'!$S$701)),2), IF('Quantification Tool R5'!$B$21="Confined Alluvial",ROUND(IF(E28&lt;1.15,0,IF(E28&lt;=1.4,E28*'Reference Standards'!$S$729+'Reference Standards'!$S$730,1)),2),  IF('Quantification Tool R5'!$B$21="Colluvial",ROUND(IF(E28&gt;1.3,0,IF(E28&gt;1.2,E28*'Reference Standards'!$S$760+'Reference Standards'!$S$761,1)),2) )))))</f>
        <v/>
      </c>
      <c r="G28" s="84" t="str">
        <f>IFERROR(AVERAGE(F28),"")</f>
        <v/>
      </c>
      <c r="H28" s="567"/>
      <c r="I28" s="555"/>
      <c r="J28" s="559"/>
      <c r="K28" s="555"/>
      <c r="L28" s="21"/>
      <c r="N28" s="19"/>
      <c r="O28" s="19"/>
    </row>
    <row r="29" spans="1:15" ht="15.6" x14ac:dyDescent="0.3">
      <c r="A29" s="537" t="s">
        <v>58</v>
      </c>
      <c r="B29" s="67" t="s">
        <v>88</v>
      </c>
      <c r="C29" s="70" t="s">
        <v>338</v>
      </c>
      <c r="D29" s="70"/>
      <c r="E29" s="43"/>
      <c r="F29" s="343" t="str">
        <f>IF(E29="","",ROUND(IF(E29&gt;=942,0,IF(E29&lt;=487,E29*'Reference Standards'!AB$15+'Reference Standards'!AB$16,E29*'Reference Standards'!$AC$15+'Reference Standards'!$AC$16)),2))</f>
        <v/>
      </c>
      <c r="G29" s="85" t="str">
        <f>IFERROR(AVERAGE(F29),"")</f>
        <v/>
      </c>
      <c r="H29" s="547" t="str">
        <f>IFERROR(ROUND(AVERAGE(G29:G32),2),"")</f>
        <v/>
      </c>
      <c r="I29" s="534" t="str">
        <f>IF(H29="","",IF(H29&gt;0.69,"Functioning",IF(H29&gt;0.29,"Functioning At Risk",IF(H29&gt;-1,"Not Functioning"))))</f>
        <v/>
      </c>
      <c r="J29" s="559"/>
      <c r="K29" s="555"/>
      <c r="L29" s="21"/>
      <c r="O29" s="19"/>
    </row>
    <row r="30" spans="1:15" ht="15.6" x14ac:dyDescent="0.3">
      <c r="A30" s="538"/>
      <c r="B30" s="297" t="s">
        <v>362</v>
      </c>
      <c r="C30" s="66" t="s">
        <v>354</v>
      </c>
      <c r="D30" s="66"/>
      <c r="E30" s="163"/>
      <c r="F30" s="344" t="str">
        <f>IF(E30="","",IF(OR('Quantification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June")),IF(E30&gt;93,0,IF(E30&lt;13,1,ROUND('Reference Standards'!$AB$53*E30^2+'Reference Standards'!$AB$54*E30+'Reference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R5'!$B$12="73b"),IF(E30&gt;94,0,IF(E30&lt;17,1,ROUND('Reference Standards'!$AC$53*E30^2+'Reference Standards'!$AC$54*E30+'Reference Standards'!$AC$55,2))),    IF(OR(AND(OR('Quantification Tool R5'!$B$12="68b",'Quantification Tool R5'!$B$12="71i"),'Quantification Tool R5'!$B$13&gt;2), 'Quantification Tool R5'!$B$12="71e"),IF(E30&gt;91,0,IF(E30&lt;24,1,ROUND('Reference Standards'!$AD$53*E30^2+'Reference Standards'!$AD$54*E30+'Reference Standards'!$AD$55,2))),  IF(OR(AND(OR('Quantification Tool R5'!$B$12="71f",'Quantification Tool R5'!$B$12="71g",'Quantification Tool R5'!$B$12="71h",'Quantification Tool R5'!$B$12="71i"),'Quantification Tool R5'!$B$13&lt;=2), AND('Quantification Tool R5'!$B$12="74a",'Quantification Tool R5'!$B$13&gt;2)),IF(E30&gt;95,0,IF(E30&lt;=36,1,ROUND('Reference Standards'!$AE$53*E30^2+'Reference Standards'!$AE$54*E30+'Reference Standards'!$AE$55,2))))))))</f>
        <v/>
      </c>
      <c r="G30" s="236" t="str">
        <f>IFERROR(AVERAGE(F30:F30),"")</f>
        <v/>
      </c>
      <c r="H30" s="548"/>
      <c r="I30" s="535"/>
      <c r="J30" s="559"/>
      <c r="K30" s="555"/>
      <c r="L30" s="21"/>
      <c r="O30" s="19"/>
    </row>
    <row r="31" spans="1:15" ht="15.6" x14ac:dyDescent="0.3">
      <c r="A31" s="538"/>
      <c r="B31" s="67" t="s">
        <v>81</v>
      </c>
      <c r="C31" s="68" t="s">
        <v>281</v>
      </c>
      <c r="D31" s="68"/>
      <c r="E31" s="162"/>
      <c r="F31" s="344" t="str">
        <f>IF(E31="","",IF(ISNUMBER('Quantification Tool R5'!$B$13),IF(OR('Quantification Tool R5'!$B$12="66e",'Quantification Tool R5'!$B$12="66f",'Quantification Tool R5'!$B$12="66g"),ROUND(IF(E31&gt;=0.61,0,IF(E31&lt;=0.01,1,IF(E31&lt;=0.06,E31*'Reference Standards'!$AD$197+'Reference Standards'!$AD$198,E31^2*'Reference Standards'!$AB$196+E31*'Reference Standards'!$AB$197+'Reference Standards'!$AB$198))),2),IF('Quantification Tool R5'!$B$12="68b",ROUND(IF(E31&gt;=1.1,0,IF(E31&lt;=0.17,1,IF(E31&lt;=0.22,E31*'Reference Standards'!$AE$197+'Reference Standards'!$AE$198,E31^2*'Reference Standards'!$AC$196+E31*'Reference Standards'!$AC$197+'Reference Standards'!$AC$198))),2),IF('Quantification Tool R5'!$B$13&lt;=2.5,IF('Quantification Tool R5'!$B$12="69de",ROUND(IF(E31&gt;=0.22,0,IF(E31&lt;=0.01,1,E31^2*'Reference Standards'!$AB$90+E31*'Reference Standards'!$AB$91+'Reference Standards'!$AB$92)),2),IF('Quantification Tool R5'!$B$12="68c",ROUND(IF(E31&gt;=0.87,0,IF(E31&lt;=0.01,1,E31^2*'Reference Standards'!$AC$90+E31*'Reference Standards'!$AC$91+'Reference Standards'!$AC$92)),2),IF('Quantification Tool R5'!$B$12="68a",ROUND(IF(E31&gt;=0.81,0,IF(E31&lt;=0.01,1,E31^2*'Reference Standards'!$AD$90+E31*'Reference Standards'!$AD$91+'Reference Standards'!$AD$92)),2),IF('Quantification Tool R5'!$B$12="65abei",ROUND(IF(E31&gt;=0.67,0,IF(E31&lt;=0.01,1,IF(E31&lt;=0.18,E31*'Reference Standards'!$AG$91+'Reference Standards'!$AG$92,E31*'Reference Standards'!$AE$91+'Reference Standards'!$AE$92))),2),IF('Quantification Tool R5'!$B$12="65j",ROUND(IF(E31&gt;=0.32,0,IF(E31&lt;=0.01,1,IF(E31&lt;=0.25,E31*'Reference Standards'!$AH$91+'Reference Standards'!$AH$92,E31*'Reference Standards'!$AF$91+'Reference Standards'!$AF$92))),2),IF('Quantification Tool R5'!$B$12="71f",ROUND(IF(E31&gt;=3,0,IF(E31&lt;=0,1,IF(E31&lt;=0.01,0.7,E31^2*'Reference Standards'!$AB$126+E31*'Reference Standards'!$AB$127+'Reference Standards'!$AB$128))),2),IF('Quantification Tool R5'!$B$12="74a",ROUND(IF(E31&gt;=0.14,0,IF(E31&lt;=0.01,1,IF(E31&lt;=0.02,0.7,E31^2*'Reference Standards'!$AC$126+E31*'Reference Standards'!$AC$127+'Reference Standards'!$AC$128))),2),IF(OR('Quantification Tool R5'!$B$12="67fhi",'Quantification Tool R5'!$B$12="67g"),ROUND(IF(E31&gt;=1.9,0,IF(E31&lt;=0.01,1,IF(E31&lt;=0.05,E31*'Reference Standards'!$AF$127+'Reference Standards'!$AF$128,E31^2*'Reference Standards'!$AD$126+E31*'Reference Standards'!$AD$127+'Reference Standards'!$AD$128))),2),IF('Quantification Tool R5'!$B$12="73a",ROUND(IF(E31&gt;=1.44,0,IF(E31&lt;=0.01,1,IF(E31&lt;=0.12,E31*'Reference Standards'!$AG$127+'Reference Standards'!$AG$128,E31^2*'Reference Standards'!$AE$126+E31*'Reference Standards'!$AE$127+'Reference Standards'!$AE$128))),2),IF('Quantification Tool R5'!$B$12="66d",ROUND(IF(E31&gt;=0.46,0,IF(E31&lt;=0.02,1,IF(E31&lt;=0.08,E31*'Reference Standards'!$AF$163+'Reference Standards'!$AF$164,E31^2*'Reference Standards'!$AB$162+E31*'Reference Standards'!$AB$163+'Reference Standards'!$AB$164))),2),IF(OR('Quantification Tool R5'!$B$12="71g",'Quantification Tool R5'!$B$12="71h",'Quantification Tool R5'!$B$12="71i"),ROUND(IF(E31&gt;=3,0,IF(E31&lt;=0.06,1,IF(E31&lt;=0.24,E31*'Reference Standards'!$AG$163+'Reference Standards'!$AG$164,E31^2*'Reference Standards'!$AC$162+E31*'Reference Standards'!$AC$163+'Reference Standards'!$AC$164))),2),IF('Quantification Tool R5'!$B$12="74b",ROUND(IF(E31&gt;=1.3,0,IF(E31&lt;=0.29,1,IF(E31&lt;=0.48,E31*'Reference Standards'!$AH$163+'Reference Standards'!$AH$164,E31^2*'Reference Standards'!$AD$162+E31*'Reference Standards'!$AD$163+'Reference Standards'!$AD$164))),2),IF('Quantification Tool R5'!$B$12="71e",ROUND(IF(E31&gt;=4.3,0,IF(E31&lt;=0.53,1,IF(E31&lt;=0.67,E31*'Reference Standards'!$AI$163+'Reference Standards'!$AI$164,E31^2*'Reference Standards'!$AE$162+E31*'Reference Standards'!$AE$163+'Reference Standards'!$AE$164))),2)))))))))))))),IF('Quantification Tool R5'!$B$13&gt;2.5,IF('Quantification Tool R5'!$B$12="73a",ROUND(IF(E31&gt;=0.55,0,IF(E31&lt;=0,1,E31^2*'Reference Standards'!$AB$232+E31*'Reference Standards'!$AB$233+'Reference Standards'!$AB$234)),2),IF('Quantification Tool R5'!$B$12="68a",ROUND(IF(E31&gt;=0.54,0,IF(E31&lt;=0,1,IF(E31&lt;=0.01,0.85,E31^2*'Reference Standards'!$AC$232+E31*'Reference Standards'!$AC$233+'Reference Standards'!$AC$234))),2),IF('Quantification Tool R5'!$B$12="74a",ROUND(IF(E31&gt;=0.47,0,IF(E31&lt;=0.01,1,IF(E31&lt;=0.02,0.7,E31^2*'Reference Standards'!$AD$232+E31*'Reference Standards'!$AD$233+'Reference Standards'!$AD$234))),2),IF('Quantification Tool R5'!$B$12="69de",ROUND(IF(E31&gt;=0.26,0,IF(E31&lt;=0.01,1,IF(E31&lt;=0.02,0.85,E31^2*'Reference Standards'!$AE$232+E31*'Reference Standards'!$AE$233+'Reference Standards'!$AE$234))),2),IF('Quantification Tool R5'!$B$12="71f",ROUND(IF(E31&gt;=0.87,0,IF(E31&lt;=0.01,1,IF(E31&lt;=0.04,E31*'Reference Standards'!$AF$269+'Reference Standards'!$AF$270,E31^2*'Reference Standards'!$AB$268+E31*'Reference Standards'!$AB$269+'Reference Standards'!$AB$270))),2),IF('Quantification Tool R5'!$B$12="65abei",ROUND(IF(E31&gt;=0.82,0,IF(E31&lt;=0.01,1,IF(E31&lt;=0.06,E31*'Reference Standards'!$AG$269+'Reference Standards'!$AG$270,E31^2*'Reference Standards'!$AC$268+E31*'Reference Standards'!$AC$269+'Reference Standards'!$AC$270))),2),IF('Quantification Tool R5'!$B$12="65j",ROUND(IF(E31&gt;=0.33,0,IF(E31&lt;=0.03,1,IF(E31&lt;=0.09,E31*'Reference Standards'!$AH$269+'Reference Standards'!$AH$270,E31^2*'Reference Standards'!$AD$268+E31*'Reference Standards'!$AD$269+'Reference Standards'!$AD$270))),2),IF('Quantification Tool R5'!$B$12="68c",ROUND(IF(E31&gt;=0.7,0,IF(E31&lt;=0.07,1,IF(E31&lt;=0.12,E31*'Reference Standards'!$AI$269+'Reference Standards'!$AI$270,E31^2*'Reference Standards'!$AE$268+E31*'Reference Standards'!$AE$269+'Reference Standards'!$AE$270))),2),IF(OR('Quantification Tool R5'!$B$12="67fhi",'Quantification Tool R5'!$B$12="67g"),ROUND(IF(E31&gt;=1.8,0,IF(E31&lt;=0.08,1,IF(E31&lt;=0.2,E31*'Reference Standards'!$AF$306+'Reference Standards'!$AF$307,E31^2*'Reference Standards'!$AB$305+E31*'Reference Standards'!$AB$306+'Reference Standards'!$AB$307))),2),IF('Quantification Tool R5'!$B$12="74b",ROUND(IF(E31&gt;=0.96,0,IF(E31&lt;=0.12,1,IF(E31&lt;=0.16,E31*'Reference Standards'!$AG$306+'Reference Standards'!$AG$307,E31^2*'Reference Standards'!$AC$305+E31*'Reference Standards'!$AC$306+'Reference Standards'!$AC$307))),2),IF('Quantification Tool R5'!$B$12="66d",ROUND(IF(E31&gt;=0.75,0,IF(E31&lt;=0.13,1,IF(E31&lt;=0.2,E31*'Reference Standards'!$AH$306+'Reference Standards'!$AH$307,E31^2*'Reference Standards'!$AD$305+E31*'Reference Standards'!$AD$306+'Reference Standards'!$AD$307))),2),IF(OR('Quantification Tool R5'!$B$12="71g",'Quantification Tool R5'!$B$12="71h",'Quantification Tool R5'!$B$12="71i"),ROUND(IF(E31&gt;=1.68,0,IF(E31&lt;=0.08,1,IF(E31&lt;=0.23,E31*'Reference Standards'!$AI$306+'Reference Standards'!$AI$307,E31^2*'Reference Standards'!$AE$305+E31*'Reference Standards'!$AE$306+'Reference Standards'!$AE$307))),2),IF('Quantification Tool R5'!$B$12="71e",ROUND(IF(E31&gt;=5.3,0,IF(E31&lt;=0.94,1,IF(E31&lt;=1.4,E31*'Reference Standards'!$AF$310+'Reference Standards'!$AF$311,E31^2*'Reference Standards'!$AB$309+E31*'Reference Standards'!$AB$310+'Reference Standards'!$AB$311))),2))))))))))))))))))))</f>
        <v/>
      </c>
      <c r="G31" s="86" t="str">
        <f>IFERROR(AVERAGE(F31),"")</f>
        <v/>
      </c>
      <c r="H31" s="548"/>
      <c r="I31" s="535"/>
      <c r="J31" s="559"/>
      <c r="K31" s="555"/>
      <c r="L31" s="21"/>
      <c r="O31" s="19"/>
    </row>
    <row r="32" spans="1:15" ht="15.6" x14ac:dyDescent="0.3">
      <c r="A32" s="539"/>
      <c r="B32" s="298" t="s">
        <v>82</v>
      </c>
      <c r="C32" s="66" t="s">
        <v>280</v>
      </c>
      <c r="D32" s="66"/>
      <c r="E32" s="136"/>
      <c r="F32" s="343" t="str">
        <f>IF(E32="","", IF(ISNUMBER('Quantification Tool R5'!$B$13),IF('Quantification Tool R5'!$B$13&gt;2.5,IF(OR('Quantification Tool R5'!$B$12="71h",'Quantification Tool R5'!$B$12="71i",'Quantification Tool R5'!$B$12="73a",'Quantification Tool R5'!$B$12="74a"),IF(E32&lt;=0.01,1,IF(OR('Quantification Tool R5'!$B$12="71h",'Quantification Tool R5'!$B$12="71i"),IF(E32&gt;0.37,0,ROUND(IF(E32&gt;0.03,'Reference Standards'!$AB$425*E32^2+'Reference Standards'!$AB$426*E32+'Reference Standards'!$AB$427,'Reference Standards'!$AF$426*E32+'Reference Standards'!$AF$427),2)),  IF('Quantification Tool R5'!$B$12="73a",IF(E32&gt;0.405,0,ROUND(IF(E32&gt;0.046,'Reference Standards'!$AC$425*E32^2+'Reference Standards'!$AC$426*E32+'Reference Standards'!$AC$427,'Reference Standards'!$AG$426*E32+'Reference Standards'!$AG$427),2)),IF('Quantification Tool R5'!$B$12="74a",IF(E32&gt;0.3,0,ROUND(IF(E32&gt;0.052,'Reference Standards'!$AD$425*E32^2+'Reference Standards'!$AD$426*E32+'Reference Standards'!$AD$427,'Reference Standards'!$AH$426*E32+'Reference Standards'!$AH$427),2)))))),   IF(E32&lt;=0.002,1,IF(OR('Quantification Tool R5'!$B$12="66d",'Quantification Tool R5'!$B$12="66e",'Quantification Tool R5'!$B$12="66g"),IF(E32&gt;0.053,0,ROUND(E32^2*'Reference Standards'!$AB$347+E32*'Reference Standards'!$AB$348+'Reference Standards'!$AB$349,2)), IF('Quantification Tool R5'!$B$12="68b",IF(E32&gt;0.05,0,ROUND(E32^2*'Reference Standards'!$AC$347+E32*'Reference Standards'!$AC$348+'Reference Standards'!$AC$349,2)),  IF(OR('Quantification Tool R5'!$B$12="68a",'Quantification Tool R5'!$B$12="68c"),IF(E32&gt;0.07,0,ROUND(E32^2*'Reference Standards'!$AD$347+E32*'Reference Standards'!$AD$348+'Reference Standards'!$AD$349,2)), IF(OR('Quantification Tool R5'!$B$12="71f",'Quantification Tool R5'!$B$12="71g"),IF(E32&gt;0.13,0,ROUND(IF(E32&gt;0.042,E32*'Reference Standards'!$AE$348+'Reference Standards'!$AE$349,E32*'Reference Standards'!$AF$348+'Reference Standards'!$AF$349),2)), IF('Quantification Tool R5'!$B$12="67fhi",IF(E32&gt;0.16,0,ROUND(E32^2*'Reference Standards'!$AG$347+E32*'Reference Standards'!$AG$348+'Reference Standards'!$AG$349,2)),  IF('Quantification Tool R5'!$B$12="65j",IF(E32&gt;0.035,0,ROUND(IF(E32&lt;=0.003,0.7,E32^2*'Reference Standards'!$AB$387+E32*'Reference Standards'!$AB$388+'Reference Standards'!$AB$389),2)),IF('Quantification Tool R5'!$B$12="69de",IF(E32&gt;0.037,0,ROUND(IF(E32&lt;=0.003,0.7,E32^2*'Reference Standards'!$AC$387+E32*'Reference Standards'!$AC$388+'Reference Standards'!$AC$389),2)),IF('Quantification Tool R5'!$B$12="71e",IF(E32&gt;0.23,0,ROUND(IF(E32&lt;=0.003,0.7,E32^2*'Reference Standards'!$AD$387+E32*'Reference Standards'!$AD$388+'Reference Standards'!$AD$389),2)),IF('Quantification Tool R5'!$B$12="66f",IF(E32&gt;0.06,0,ROUND(IF(E32&lt;=0.003,0.85,IF(E32&lt;=0.004,0.7,E32^2*'Reference Standards'!$AE$387+E32*'Reference Standards'!$AE$388+'Reference Standards'!$AE$389)),2)),IF('Quantification Tool R5'!$B$12="67g",IF(E32&gt;0.11,0,ROUND(IF(E32&lt;=0.01,E32*'Reference Standards'!$AH$388+'Reference Standards'!$AH$389, E32^2*'Reference Standards'!$AF$387+E32*'Reference Standards'!$AF$388+'Reference Standards'!$AF$389),2)),IF('Quantification Tool R5'!$B$12="74b",IF(E32&gt;0.49,0,ROUND(IF(E32&lt;=0.01,E32*'Reference Standards'!$AH$388+'Reference Standards'!$AH$389, E32^2*'Reference Standards'!$AG$387+E32*'Reference Standards'!$AG$388+'Reference Standards'!$AG$389),2)),IF('Quantification Tool R5'!$B$12="65abei",IF(E32&gt;0.199,0,ROUND(IF(E32&lt;=0.01,E32*'Reference Standards'!$AI$426+'Reference Standards'!$AI$427, E32^2*'Reference Standards'!$AE$425+E32*'Reference Standards'!$AE$426+'Reference Standards'!$AE$427),2))    )))))))))))))),      IF('Quantification Tool R5'!$B$13&lt;=2.5, IF(OR('Quantification Tool R5'!$B$12="66d",'Quantification Tool R5'!$B$12="66e",'Quantification Tool R5'!$B$12="66g"),IF(E32&gt;0.05,0,ROUND(IF(E32&lt;=0.002,1,IF(E32&lt;=0.005,E32*'Reference Standards'!$AF$464+'Reference Standards'!$AF$465, E32^2*'Reference Standards'!$AB$463+E32*'Reference Standards'!$AB$464+'Reference Standards'!$AB$465)),2)), IF('Quantification Tool R5'!$B$12="67fhi",IF(E32&gt;0.1,0,ROUND(IF(E32&lt;=0.002,1,IF(E32&lt;=0.006,E32*'Reference Standards'!$AG$464+'Reference Standards'!$AG$465, E32^2*'Reference Standards'!$AC$463+E32*'Reference Standards'!$AC$464+'Reference Standards'!$AC$465)),2)), IF('Quantification Tool R5'!$B$12="65abei",IF(E32&gt;0.13,0,ROUND(IF(E32&lt;=0.003,1,IF(E32&lt;=0.008,E32*'Reference Standards'!$AH$464+'Reference Standards'!$AH$465, E32^2*'Reference Standards'!$AD$463+E32*'Reference Standards'!$AD$464+'Reference Standards'!$AD$465)),2)), IF('Quantification Tool R5'!$B$12="68b",IF(E32&gt;0.043,0,ROUND(IF(E32&lt;=0.004,1, IF(E32&lt;=0.005,0.7, E32^2*'Reference Standards'!$AE$463+E32*'Reference Standards'!$AE$464+'Reference Standards'!$AE$465)),2)), IF('Quantification Tool R5'!$B$12="69de",IF(E32&gt;=0.034,0,ROUND(IF(E32&lt;=0.003,1, IF(E32&lt;=0.006,E32*'Reference Standards'!$AG$500+'Reference Standards'!$AG$501, E32*'Reference Standards'!$AB$500+'Reference Standards'!$AB$501)),2)), IF(OR('Quantification Tool R5'!$B$12="68a",'Quantification Tool R5'!$B$12="68c"),IF(E32&gt;0.202,0,ROUND(IF(E32&lt;=0.003,1, IF(E32&lt;=0.006,E32*'Reference Standards'!$AG$500+'Reference Standards'!$AG$501, IF(E32&gt;=0.04,E32*'Reference Standards'!$AC$500+'Reference Standards'!$AC$501,E32*'Reference Standards'!$AE$500+'Reference Standards'!$AE$501))),2)), IF(OR('Quantification Tool R5'!$B$12="71f",'Quantification Tool R5'!$B$12="71g"),IF(E32&gt;0.631,0,ROUND(IF(E32&lt;=0.003,1, IF(E32&lt;=0.006,E32*'Reference Standards'!$AG$500+'Reference Standards'!$AG$501, IF(E32&gt;=0.17,E32*'Reference Standards'!$AD$500+'Reference Standards'!$AD$501,E32*'Reference Standards'!$AF$500+'Reference Standards'!$AF$501))),2)),   IF('Quantification Tool R5'!$B$12="71e",IF(E32&gt;1.23,0,ROUND(IF(E32&lt;=0.004,1,IF(E32&lt;=0.006,E32*'Reference Standards'!$AF$538+'Reference Standards'!$AF$539, E32^2*'Reference Standards'!$AB$537+E32*'Reference Standards'!$AB$538+'Reference Standards'!$AB$539)),2)), IF('Quantification Tool R5'!$B$12="67g",IF(E32&gt;0.11,0,ROUND(IF(E32&lt;=0.006,1,IF(E32&lt;=0.011,E32*'Reference Standards'!$AG$538+'Reference Standards'!$AG$539, E32^2*'Reference Standards'!$AC$537+E32*'Reference Standards'!$AC$538+'Reference Standards'!$AC$539)),2)), IF('Quantification Tool R5'!$B$12="65j",IF(E32&gt;0.046,0,ROUND(IF(E32&lt;=0.007,1,IF(E32&lt;=0.012,E32*'Reference Standards'!$AH$538+'Reference Standards'!$AH$539, E32^2*'Reference Standards'!$AD$537+E32*'Reference Standards'!$AD$538+'Reference Standards'!$AD$539)),2)), IF('Quantification Tool R5'!$B$12="66f",IF(E32&gt;0.081,0,ROUND(IF(E32&lt;=0.008,1,IF(E32&lt;=0.011,E32*'Reference Standards'!$AI$538+'Reference Standards'!$AI$539, E32^2*'Reference Standards'!$AE$537+E32*'Reference Standards'!$AE$538+'Reference Standards'!$AE$539)),2)), IF(OR('Quantification Tool R5'!$B$12="71h",'Quantification Tool R5'!$B$12="71i"),IF(E32&gt;0.37,0,ROUND(IF(E32&lt;=0.013,1,IF(E32&lt;=0.032,E32*'Reference Standards'!$AH$576+'Reference Standards'!$AH$577, IF(E32&lt;=0.3,E32*'Reference Standards'!$AF$576+'Reference Standards'!$AF$577,E32*'Reference Standards'!$AB$576+'Reference Standards'!$AB$577))),2)), IF('Quantification Tool R5'!$B$12="73a",IF(E32&gt;0.448,0,ROUND(IF(E32&lt;=0.071,1,IF(E32&lt;=0.086,E32*'Reference Standards'!$AJ$576+'Reference Standards'!$AJ$577, IF(E32&lt;=0.165,E32*'Reference Standards'!$AG$576+'Reference Standards'!$AG$577,E32*'Reference Standards'!$AE$576+'Reference Standards'!$AE$577))),2)),  IF('Quantification Tool R5'!$B$12="74b",IF(E32&gt;0.43,0,ROUND(IF(E32&lt;=0.018,1,IF(E32&lt;=0.019,0.85, IF(E32&lt;=0.02,0.7, E32^2*'Reference Standards'!$AC$575+E32*'Reference Standards'!$AC$576+'Reference Standards'!$AC$577))),2)), IF('Quantification Tool R5'!$B$12="74a",IF(E32&gt;0.217,0,ROUND(IF(E32&lt;=0.02,1,IF(E32&lt;=0.033,E32*'Reference Standards'!$AI$576+'Reference Standards'!$AI$577, E32^2*'Reference Standards'!$AD$575+E32*'Reference Standards'!$AD$576+'Reference Standards'!$AD$577)),2))     )))))))))))))))))))</f>
        <v/>
      </c>
      <c r="G32" s="87" t="str">
        <f>IFERROR(AVERAGE(F32),"")</f>
        <v/>
      </c>
      <c r="H32" s="549"/>
      <c r="I32" s="536"/>
      <c r="J32" s="559"/>
      <c r="K32" s="555"/>
      <c r="L32" s="21"/>
      <c r="O32" s="19"/>
    </row>
    <row r="33" spans="1:15" ht="15.6" x14ac:dyDescent="0.3">
      <c r="A33" s="550" t="s">
        <v>59</v>
      </c>
      <c r="B33" s="560" t="s">
        <v>340</v>
      </c>
      <c r="C33" s="125" t="s">
        <v>331</v>
      </c>
      <c r="D33" s="126"/>
      <c r="E33" s="166"/>
      <c r="F33" s="345" t="str">
        <f>IF(E33="","",IF(OR('Quantification Tool R5'!B$12="73a",'Quantification Tool R5'!B$12="73b"),IF(E33&lt;1,0,IF(E33&gt;=30,1,ROUND(IF(E33&lt;22,'Reference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531" t="str">
        <f>IFERROR(AVERAGE(F33:F36),"")</f>
        <v/>
      </c>
      <c r="H33" s="568" t="str">
        <f>IFERROR(ROUND(AVERAGE(G33:G38),2),"")</f>
        <v/>
      </c>
      <c r="I33" s="519" t="str">
        <f>IF(H33="","",IF(H33&gt;0.69,"Functioning",IF(H33&gt;0.29,"Functioning At Risk",IF(H33&gt;-1,"Not Functioning"))))</f>
        <v/>
      </c>
      <c r="J33" s="559"/>
      <c r="K33" s="555"/>
      <c r="L33" s="21"/>
      <c r="O33" s="19"/>
    </row>
    <row r="34" spans="1:15" ht="15.6" x14ac:dyDescent="0.3">
      <c r="A34" s="556"/>
      <c r="B34" s="561"/>
      <c r="C34" s="174" t="s">
        <v>335</v>
      </c>
      <c r="D34" s="175"/>
      <c r="E34" s="165"/>
      <c r="F34" s="346" t="str">
        <f>IF(E34="","",IF(AND('Quantification Tool R5'!$B$12="74b",'Quantification Tool R5'!$B$13&lt;=2),IF(E34&lt;0,0,IF(E34&gt;15.6,0.69,ROUND('Reference Standards'!$AL$54*E34^2+'Reference Standards'!$AL$55*E34+'Reference Standards'!$AL$56,2))),IF(AND('Quantification Tool R5'!$B$12="65abei",'Quantification Tool R5'!$B$13&lt;=2),IF(E34&lt;0,0,IF(E34&gt;=20,0.69,ROUND('Reference Standards'!$AM$54*E34^2+'Reference Standards'!$AM$55*E34+'Reference Standards'!$AM$56,2))),IF(OR(AND('Quantification Tool R5'!$B$12="74a",'Quantification Tool R5'!$B$13&gt;2,'Quantification Tool R5'!$B$19="January - June"),AND('Quantification Tool R5'!$B$12="71i",'Quantification Tool R5'!$B$13&gt;2,'Quantification Tool R5'!$B$20="SQBANK")),IF(E34&lt;0,0,IF(E34&gt;24.7,0.69,ROUND('Reference Standards'!$AN$54*E34^2+'Reference Standards'!$AN$55*E34+'Reference Standards'!$AN$56,2))),IF(OR('Quantification Tool R5'!$B$12="74b",'Quantification Tool R5'!$B$12="65abei"),IF(E34&lt;0,0,IF(E34&gt;32.7,0.69,ROUND('Reference Standards'!$AO$54*E34^2+'Reference Standards'!$AO$55*E34+'Reference Standards'!$AO$56,2))),IF(AND('Quantification Tool R5'!$B$12="68b",'Quantification Tool R5'!$B$13&gt;2),IF(E34&lt;0,0,IF(E34&gt;41.2,0.69,ROUND('Reference Standards'!$AP$54*E34^2+'Reference Standards'!$AP$55*E34+'Reference Standards'!$AP$56,2))),IF(OR(AND('Quantification Tool R5'!$B$12="71i",'Quantification Tool R5'!$B$13&lt;=2),AND(OR('Quantification Tool R5'!$B$12="68c",'Quantification Tool R5'!$B$12="68d"),'Quantification Tool R5'!$B$19="January - June")),IF(E34&lt;0,0,IF(E34&gt;49.2,0.69,ROUND('Reference Standards'!$AL$94*E34^2+'Reference Standards'!$AL$95*E34+'Reference Standards'!$AL$96,2))),IF(OR(AND('Quantification Tool R5'!$B$12="68a",'Quantification Tool R5'!$B$19="January - June"),AND(OR('Quantification Tool R5'!$B$12="68c",'Quantification Tool R5'!$B$12="68d"),'Quantification Tool R5'!$B$19="July - December")),IF(E34&lt;0,0,IF(E34&gt;53.4,0.69,ROUND('Reference Standards'!$AM$94*E34^2+'Reference Standards'!$AM$95*E34+'Reference Standards'!$AM$96,2))),IF(OR(AND('Quantification Tool R5'!$B$12="71i",'Quantification Tool R5'!$B$13&gt;2,'Quantification Tool R5'!$B$20="SQKICK"),AND(OR('Quantification Tool R5'!$B$12="67fhi",'Quantification Tool R5'!$B$12="67g"),'Quantification Tool R5'!$B$13&lt;=2),'Quantification Tool R5'!$B$12="65j"),IF(E34&lt;0,0,IF(E34&gt;57.8,0.69,ROUND('Reference Standards'!$AN$94*E34^2+'Reference Standards'!$AN$95*E34+'Reference Standards'!$AN$96,2))),IF(OR(AND('Quantification Tool R5'!$B$12="74a",'Quantification Tool R5'!$B$13&gt;2,'Quantification Tool R5'!$B$19="July - December"),AND(OR('Quantification Tool R5'!$B$12="67fhi",'Quantification Tool R5'!$B$12="67g"),'Quantification Tool R5'!$B$13&gt;2),'Quantification Tool R5'!$B$12="69de"),IF(E34&lt;0,0,IF(E34&gt;62.5,0.69,ROUND('Reference Standards'!$AO$94*E34^2+'Reference Standards'!$AO$95*E34+'Reference Standards'!$AO$96,2))),  IF(OR('Quantification Tool R5'!$B$12="66d",'Quantification Tool R5'!$B$12="66e",'Quantification Tool R5'!$B$12="66ik",'Quantification Tool R5'!$B$12="71e",'Quantification Tool R5'!$B$12="71f",'Quantification Tool R5'!$B$12="71g",'Quantification Tool R5'!$B$12="71h"),IF(E34&lt;0,0,IF(E34&gt;66.5,0.69,ROUND('Reference Standards'!$AP$94*E34^2+'Reference Standards'!$AP$95*E34+'Reference Standards'!$AP$96,2))),IF(OR('Quantification Tool R5'!$B$12="66f",'Quantification Tool R5'!$B$12="66g",'Quantification Tool R5'!$B$12="66j",AND('Quantification Tool R5'!$B$12="68a",'Quantification Tool R5'!$B$19="July - December")), IF(E34&lt;0,0,IF(E34&gt;69,0.69,ROUND('Reference Standards'!$AQ$94*E34^2+'Reference Standards'!$AQ$95*E34+'Reference Standards'!$AQ$96,2))))   )))))))))))</f>
        <v/>
      </c>
      <c r="G34" s="531"/>
      <c r="H34" s="568"/>
      <c r="I34" s="519"/>
      <c r="J34" s="559"/>
      <c r="K34" s="555"/>
      <c r="L34" s="21"/>
      <c r="O34" s="19"/>
    </row>
    <row r="35" spans="1:15" ht="15.6" x14ac:dyDescent="0.3">
      <c r="A35" s="556"/>
      <c r="B35" s="561"/>
      <c r="C35" s="174" t="s">
        <v>339</v>
      </c>
      <c r="D35" s="175"/>
      <c r="E35" s="165"/>
      <c r="F35" s="346" t="str">
        <f>IF(E35="","",IF(AND('Quantification Tool R5'!$B$12="74b",'Quantification Tool R5'!$B$13&lt;=2),IF(E35&lt;0,0,IF(E35&gt;8.1,0.69,ROUND('Reference Standards'!$AL$131*E35^2+'Reference Standards'!$AL$132*E35+'Reference Standards'!$AL$133,2))),IF(OR('Quantification Tool R5'!$B$12="73a",'Quantification Tool R5'!$B$12="73b"),IF(E35&lt;0,0,IF(E35&gt;=28,0.69,ROUND('Reference Standards'!$AM$131*E35^2+'Reference Standards'!$AM$132*E35+'Reference Standards'!$AM$133,2))),IF(AND('Quantification Tool R5'!$B$12="74a",'Quantification Tool R5'!$B$13&gt;2,'Quantification Tool R5'!$B$19="January - June"),IF(E35&lt;0,0,IF(E35&gt;=32.5,0.69,ROUND('Reference Standards'!$AN$131*E35^2+'Reference Standards'!$AN$132*E35+'Reference Standards'!$AN$133,2))),IF(AND('Quantification Tool R5'!$B$12="71i",'Quantification Tool R5'!$B$13&gt;2,'Quantification Tool R5'!$B$20="SQBANK"),IF(E35&lt;0,0,IF(E35&gt;=37,0.69,ROUND('Reference Standards'!$AO$131*E35^2+'Reference Standards'!$AO$132*E35+'Reference Standards'!$AO$133,2))),IF(OR(AND(OR('Quantification Tool R5'!$B$12="65abei",'Quantification Tool R5'!$B$12="74b"),'Quantification Tool R5'!$B$13&gt;2),AND('Quantification Tool R5'!$B$12="71i",'Quantification Tool R5'!$B$13&gt;2,'Quantification Tool R5'!$B$20="SQKICK")),IF(E35&lt;0,0,IF(E35&gt;42.6,0.69,ROUND('Reference Standards'!$AP$131*E35^2+'Reference Standards'!$AP$132*E35+'Reference Standards'!$AP$133,2))),     IF(OR(AND('Quantification Tool R5'!$B$12="65abei",'Quantification Tool R5'!$B$13&lt;=2),AND(OR('Quantification Tool R5'!$B$12="68c",'Quantification Tool R5'!$B$12="68d"),'Quantification Tool R5'!$B$19="July - December"),'Quantification Tool R5'!$B$12="71e"),IF(E35&lt;0,0,IF(E35&gt;=48,0.69,ROUND('Reference Standards'!$AL$171*E35^2+'Reference Standards'!$AL$172*E35+'Reference Standards'!$AL$173,2))),IF(OR('Quantification Tool R5'!$B$12="65j",'Quantification Tool R5'!$B$12="67fhi",'Quantification Tool R5'!$B$12="67g",AND('Quantification Tool R5'!$B$12="74a",'Quantification Tool R5'!$B$19="July - December",'Quantification Tool R5'!$B$13&gt;2),AND('Quantification Tool R5'!$B$12="71i",'Quantification Tool R5'!$B$13&lt;=2)),IF(E35&lt;0,0,IF(E35&gt;=53,0.69,ROUND('Reference Standards'!$AM$171*E35^2+'Reference Standards'!$AM$172*E35+'Reference Standards'!$AM$173,2))),IF(OR(AND(OR('Quantification Tool R5'!$B$12="68b",'Quantification Tool R5'!$B$12="71f",'Quantification Tool R5'!$B$12="71g",'Quantification Tool R5'!$B$12="71h"),'Quantification Tool R5'!$B$13&gt;2),'Quantification Tool R5'!$B$12="68a"),IF(E35&lt;0,0,IF(E35&gt;=57,0.69,ROUND('Reference Standards'!$AN$171*E35^2+'Reference Standards'!$AN$172*E35+'Reference Standards'!$AN$173,2))),IF(OR('Quantification Tool R5'!$B$12="66f",'Quantification Tool R5'!$B$12="66g",'Quantification Tool R5'!$B$12="66j",AND(OR('Quantification Tool R5'!$B$12="71f",'Quantification Tool R5'!$B$12="71g",'Quantification Tool R5'!$B$12="71h"),'Quantification Tool R5'!$B$13&lt;=2)),IF(E35&lt;0,0,IF(E35&gt;=60,0.69,ROUND('Reference Standards'!$AO$171*E35^2+'Reference Standards'!$AO$172*E35+'Reference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December")),IF(E35&lt;0,0,IF(E35&gt;=67.5,0.69,ROUND('Reference Standards'!$AP$171*E35^2+'Reference Standards'!$AP$172*E35+'Reference Standards'!$AP$173,2))),IF(AND('Quantification Tool R5'!$B$12="69de",'Quantification Tool R5'!$B$19="January - June"), IF(E35&lt;0,0,IF(E35&gt;=72,0.69,ROUND('Reference Standards'!$AQ$171*E35^2+'Reference Standards'!$AQ$172*E35+'Reference Standards'!$AQ$173,2))))   )))))))))))</f>
        <v/>
      </c>
      <c r="G35" s="531"/>
      <c r="H35" s="568"/>
      <c r="I35" s="519"/>
      <c r="J35" s="559"/>
      <c r="K35" s="555"/>
      <c r="L35" s="21"/>
      <c r="O35" s="19"/>
    </row>
    <row r="36" spans="1:15" ht="15.6" x14ac:dyDescent="0.3">
      <c r="A36" s="556"/>
      <c r="B36" s="562"/>
      <c r="C36" s="127" t="s">
        <v>336</v>
      </c>
      <c r="D36" s="71"/>
      <c r="E36" s="167"/>
      <c r="F36" s="346" t="str">
        <f>IF(E36="","",IF(OR('Quantification Tool R5'!$B$12="67fhi",'Quantification Tool R5'!$B$12="67g",'Quantification Tool R5'!$B$12="71e",'Quantification Tool R5'!$B$12="73a",'Quantification Tool R5'!$B$12="73b",AND(OR('Quantification Tool R5'!$B$12="71f",'Quantification Tool R5'!$B$12="71g",'Quantification Tool R5'!$B$12="71h"),'Quantification Tool R5'!$B$13&gt;2)),IF(E36&gt;100,0,IF(E36&lt;15,0.69,ROUND('Reference Standards'!$AL$208*E36^2+'Reference Standards'!$AL$209*E36+'Reference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),IF(E36&gt;100,0,IF(E36&lt;19,0.69,ROUND('Reference Standards'!$AM$208*E36^2+'Reference Standards'!$AM$209*E36+'Reference Standards'!$AM$210,2))),    IF(OR(AND('Quantification Tool R5'!$B$12="69de",'Quantification Tool R5'!$B$19="January - June"),AND('Quantification Tool R5'!$B$12="71i",'Quantification Tool R5'!$B$13&gt;2,'Quantification Tool R5'!$B$20="SQKICK" )),IF(E36&gt;100,0,IF(E36&lt;22,0.69,ROUND('Reference Standards'!$AN$208*E36^2+'Reference Standards'!$AN$209*E36+'Reference Standards'!$AN$210,2))),    IF(OR('Quantification Tool R5'!$B$12="65j",AND('Quantification Tool R5'!$B$12="68b",'Quantification Tool R5'!$B$13&gt;2)),IF(E36&gt;100,0,IF(E36&lt;24,0.69,ROUND('Reference Standards'!$AO$208*E36^2+'Reference Standards'!$AO$209*E36+'Reference Standards'!$AO$210,2))),    IF(AND(OR('Quantification Tool R5'!$B$12="65abei",'Quantification Tool R5'!$B$12="71f",'Quantification Tool R5'!$B$12="71g",'Quantification Tool R5'!$B$12="71h"),'Quantification Tool R5'!$B$13&lt;=2),IF(E36&gt;95,0,IF(E36&lt;33,0.69,ROUND('Reference Standards'!$AL$246*E36^2+'Reference Standards'!$AL$247*E36+'Reference Standards'!$AL$248,2))),   IF(AND(OR('Quantification Tool R5'!$B$12="65abei",'Quantification Tool R5'!$B$12="74b"),'Quantification Tool R5'!$B$13&gt;2),IF(E36&gt;97,0,IF(E36&lt;36,0.69,ROUND('Reference Standards'!$AM$246*E36^2+'Reference Standards'!$AM$247*E36+'Reference Standards'!$AM$248,2))),  IF(AND('Quantification Tool R5'!$B$12="74a",'Quantification Tool R5'!$B$19="January - June",'Quantification Tool R5'!$B$13&gt;2),IF(E36&gt;93,0,IF(E36&lt;52,0.69,ROUND('Reference Standards'!$AN$246*E36^2+'Reference Standards'!$AN$247*E36+'Reference Standards'!$AN$248,2))),   IF(AND('Quantification Tool R5'!$B$12="74b",'Quantification Tool R5'!$B$13&lt;=2),IF(E36&gt;97,0,IF(E36&lt;62,0.69,ROUND('Reference Standards'!$AO$246*E36^2+'Reference Standards'!$AO$247*E36+'Reference Standards'!$AO$248,2)))  )))))))))</f>
        <v/>
      </c>
      <c r="G36" s="531"/>
      <c r="H36" s="568"/>
      <c r="I36" s="519"/>
      <c r="J36" s="559"/>
      <c r="K36" s="555"/>
      <c r="L36" s="21"/>
      <c r="O36" s="19"/>
    </row>
    <row r="37" spans="1:15" ht="15.6" x14ac:dyDescent="0.3">
      <c r="A37" s="556"/>
      <c r="B37" s="563" t="s">
        <v>74</v>
      </c>
      <c r="C37" s="125" t="s">
        <v>211</v>
      </c>
      <c r="D37" s="126"/>
      <c r="E37" s="166"/>
      <c r="F37" s="345" t="str">
        <f>IF(E37="","",IF(E37=1,0.15,IF(E37=3,0.5,IF(E37=5,0.85,0))))</f>
        <v/>
      </c>
      <c r="G37" s="564" t="str">
        <f>IFERROR(AVERAGE(F37:F38),"")</f>
        <v/>
      </c>
      <c r="H37" s="568"/>
      <c r="I37" s="519"/>
      <c r="J37" s="559"/>
      <c r="K37" s="555"/>
      <c r="L37" s="21"/>
    </row>
    <row r="38" spans="1:15" ht="15.6" x14ac:dyDescent="0.3">
      <c r="A38" s="551"/>
      <c r="B38" s="563"/>
      <c r="C38" s="127" t="s">
        <v>332</v>
      </c>
      <c r="D38" s="71"/>
      <c r="E38" s="167"/>
      <c r="F38" s="347" t="str">
        <f>IF(E38="","",IF(E38=1,0.15,IF(E38=3,0.5,IF(E38=5,0.85,0))))</f>
        <v/>
      </c>
      <c r="G38" s="565"/>
      <c r="H38" s="568"/>
      <c r="I38" s="519"/>
      <c r="J38" s="559"/>
      <c r="K38" s="555"/>
      <c r="L38" s="21"/>
    </row>
    <row r="39" spans="1:15" x14ac:dyDescent="0.3">
      <c r="J39" s="13"/>
      <c r="K39" s="317"/>
      <c r="L39" s="21"/>
    </row>
    <row r="40" spans="1:15" ht="21" x14ac:dyDescent="0.4">
      <c r="A40" s="148" t="s">
        <v>135</v>
      </c>
      <c r="B40" s="246"/>
      <c r="C40" s="249" t="s">
        <v>324</v>
      </c>
      <c r="D40" s="246"/>
      <c r="E40" s="247"/>
      <c r="F40" s="248"/>
      <c r="G40" s="544" t="s">
        <v>18</v>
      </c>
      <c r="H40" s="545"/>
      <c r="I40" s="545"/>
      <c r="J40" s="545"/>
      <c r="K40" s="546"/>
      <c r="L40" s="21"/>
    </row>
    <row r="41" spans="1:15" ht="15.6" x14ac:dyDescent="0.3">
      <c r="A41" s="158" t="s">
        <v>1</v>
      </c>
      <c r="B41" s="158" t="s">
        <v>2</v>
      </c>
      <c r="C41" s="542" t="s">
        <v>3</v>
      </c>
      <c r="D41" s="644"/>
      <c r="E41" s="158" t="s">
        <v>15</v>
      </c>
      <c r="F41" s="158" t="s">
        <v>16</v>
      </c>
      <c r="G41" s="158" t="s">
        <v>19</v>
      </c>
      <c r="H41" s="158" t="s">
        <v>20</v>
      </c>
      <c r="I41" s="314" t="s">
        <v>20</v>
      </c>
      <c r="J41" s="158" t="s">
        <v>21</v>
      </c>
      <c r="K41" s="315" t="s">
        <v>21</v>
      </c>
    </row>
    <row r="42" spans="1:15" ht="15.6" x14ac:dyDescent="0.3">
      <c r="A42" s="540" t="s">
        <v>60</v>
      </c>
      <c r="B42" s="299" t="s">
        <v>86</v>
      </c>
      <c r="C42" s="52" t="s">
        <v>388</v>
      </c>
      <c r="D42" s="52"/>
      <c r="E42" s="162"/>
      <c r="F42" s="338" t="str">
        <f>IF(E42="","",IF(E42&lt;=0,0,IF(E42&gt;=0.95,1,ROUND('Reference Standards'!C$14*E42+'Reference Standards'!C$15,2))))</f>
        <v/>
      </c>
      <c r="G42" s="83" t="str">
        <f>IFERROR(AVERAGE(F42),"")</f>
        <v/>
      </c>
      <c r="H42" s="522" t="str">
        <f>IFERROR(ROUND(AVERAGE(G42:G43),2),"")</f>
        <v/>
      </c>
      <c r="I42" s="519" t="str">
        <f>IF(H42="","",IF(H42&gt;0.69,"Functioning",IF(H42&gt;0.29,"Functioning At Risk",IF(H42&gt;-1,"Not Functioning"))))</f>
        <v/>
      </c>
      <c r="J42" s="559" t="str">
        <f>IF(AND(H42="",H44="",H46="",H68="",H72=""),"",ROUND((IF(H42="",0,H42)*0.2)+(IF(H44="",0,H44)*0.2)+(IF(H46="",0,H46)*0.2)+(IF(H68="",0,H68)*0.2)+(IF(H72="",0,H72)*0.2),2))</f>
        <v/>
      </c>
      <c r="K42" s="555" t="str">
        <f>IF(J42="","",IF(J42&lt;0.3, "Not Functioning",IF(OR(H42&lt;0.7,H44&lt;0.7,H46&lt;0.7,H68&lt;0.7,H72&lt;0.7),"Functioning At Risk",IF(J42&lt;0.7,"Functioning At Risk","Functioning"))))</f>
        <v/>
      </c>
    </row>
    <row r="43" spans="1:15" ht="15.6" x14ac:dyDescent="0.3">
      <c r="A43" s="541"/>
      <c r="B43" s="371" t="s">
        <v>128</v>
      </c>
      <c r="C43" s="373" t="s">
        <v>161</v>
      </c>
      <c r="D43" s="374"/>
      <c r="E43" s="43"/>
      <c r="F43" s="372" t="str">
        <f>IF(E43="","",IF(E43&gt;=1,1,IF(E43&lt;=0,0,ROUND(E43,2))))</f>
        <v/>
      </c>
      <c r="G43" s="367" t="str">
        <f>IFERROR(AVERAGE(F43:F43),"")</f>
        <v/>
      </c>
      <c r="H43" s="523"/>
      <c r="I43" s="519"/>
      <c r="J43" s="559"/>
      <c r="K43" s="555"/>
    </row>
    <row r="44" spans="1:15" ht="15.6" x14ac:dyDescent="0.3">
      <c r="A44" s="524" t="s">
        <v>6</v>
      </c>
      <c r="B44" s="572" t="s">
        <v>7</v>
      </c>
      <c r="C44" s="54" t="s">
        <v>8</v>
      </c>
      <c r="D44" s="54"/>
      <c r="E44" s="162"/>
      <c r="F44" s="339" t="str">
        <f>IF(E44="","",ROUND(IF(E44&gt;1.6,0,IF(E44&lt;=1,1,E44^2*'Reference Standards'!K$14+E44*'Reference Standards'!K$15+'Reference Standards'!K$16)),2))</f>
        <v/>
      </c>
      <c r="G44" s="579" t="str">
        <f>IFERROR(AVERAGE(F44:F45),"")</f>
        <v/>
      </c>
      <c r="H44" s="579" t="str">
        <f>IFERROR(ROUND(AVERAGE(G44),2),"")</f>
        <v/>
      </c>
      <c r="I44" s="569" t="str">
        <f>IF(H44="","",IF(H44&gt;0.69,"Functioning",IF(H44&gt;0.29,"Functioning At Risk",IF(H44&gt;-1,"Not Functioning"))))</f>
        <v/>
      </c>
      <c r="J44" s="559"/>
      <c r="K44" s="555"/>
    </row>
    <row r="45" spans="1:15" ht="15.6" x14ac:dyDescent="0.3">
      <c r="A45" s="525"/>
      <c r="B45" s="572"/>
      <c r="C45" s="54" t="s">
        <v>9</v>
      </c>
      <c r="D45" s="54"/>
      <c r="E45" s="163"/>
      <c r="F45" s="339" t="str">
        <f>IF(E45="","",(IF(OR('Quantification Tool R5'!B$11="A",'Quantification Tool R5'!B$11="B",'Quantification Tool R5'!$B$11="Bc"),IF(E45&lt;1.2,0,IF(E45&gt;=2.2,1,ROUND(IF(E45&lt;1.4,E45*'Reference Standards'!$K$84+'Reference Standards'!$K$85,E45*'Reference Standards'!$L$84+'Reference Standards'!$L$85),2))),IF(OR('Quantification Tool R5'!B$11="C",'Quantification Tool R5'!B$11="E"),IF(E45&lt;2,0,IF(E45&gt;=5,1,ROUND(IF(E45&lt;2.4,E45*'Reference Standards'!$L$49+'Reference Standards'!$L$50,E45*'Reference Standards'!$K$49+'Reference Standards'!$K$50),2)))))))</f>
        <v/>
      </c>
      <c r="G45" s="581"/>
      <c r="H45" s="580"/>
      <c r="I45" s="570"/>
      <c r="J45" s="559"/>
      <c r="K45" s="555"/>
    </row>
    <row r="46" spans="1:15" ht="15.6" x14ac:dyDescent="0.3">
      <c r="A46" s="526" t="s">
        <v>26</v>
      </c>
      <c r="B46" s="557" t="s">
        <v>27</v>
      </c>
      <c r="C46" s="60" t="s">
        <v>333</v>
      </c>
      <c r="D46" s="244"/>
      <c r="E46" s="61"/>
      <c r="F46" s="340" t="str">
        <f>IF(E46="","",IF(OR(LEFT('Quantification Tool R5'!$B$12,2)="65",LEFT('Quantification Tool R5'!$B$12,2)="66",LEFT('Quantification Tool R5'!$B$12,2)="71"),IF(E46&gt;=850,1,IF(E46&lt;250,ROUND('Reference Standards'!$S$17*(E46)+'Reference Standards'!$S$18,2),ROUND('Reference Standards'!$T$17*E46+'Reference Standards'!$T$18,2))),  IF(E46&gt;=345,1,IF(E46&lt;=180,ROUND('Reference Standards'!$U$17*(E46)+'Reference Standards'!$U$18,2),ROUND('Reference Standards'!$V$17*E46+'Reference Standards'!$V$18,2))))    )</f>
        <v/>
      </c>
      <c r="G46" s="528" t="str">
        <f>IFERROR(AVERAGE(F46:F47),"")</f>
        <v/>
      </c>
      <c r="H46" s="566" t="str">
        <f>IFERROR(ROUND(AVERAGE(G46:G67),2),"")</f>
        <v/>
      </c>
      <c r="I46" s="555" t="str">
        <f>IF(H46="","",IF(H46&gt;0.69,"Functioning",IF(H46&gt;0.29,"Functioning At Risk",IF(H46&gt;-1,"Not Functioning"))))</f>
        <v/>
      </c>
      <c r="J46" s="559"/>
      <c r="K46" s="555"/>
    </row>
    <row r="47" spans="1:15" ht="15.6" x14ac:dyDescent="0.3">
      <c r="A47" s="520"/>
      <c r="B47" s="558"/>
      <c r="C47" s="63" t="s">
        <v>323</v>
      </c>
      <c r="D47" s="245"/>
      <c r="E47" s="53"/>
      <c r="F47" s="341" t="str">
        <f>IF(E47="","",IF(OR(LEFT('Quantification Tool R5'!$B$12,2)="65",LEFT('Quantification Tool R5'!$B$12,2)="66",LEFT('Quantification Tool R5'!$B$12,2)="71"),IF(E47&gt;=30,1,IF(E47&lt;13,ROUND('Reference Standards'!$S$53*(E47)+'Reference Standards'!$S$54,2),ROUND('Reference Standards'!$T$53*E47+'Reference Standards'!$T$54,2))),  IF(E47&gt;=16,1,IF(E47&lt;=9,ROUND('Reference Standards'!$U$53*(E47)+'Reference Standards'!$U$54,2),ROUND('Reference Standards'!$V$53*E47+'Reference Standards'!$V$54,2))))    )</f>
        <v/>
      </c>
      <c r="G47" s="530"/>
      <c r="H47" s="566"/>
      <c r="I47" s="555"/>
      <c r="J47" s="559"/>
      <c r="K47" s="555"/>
    </row>
    <row r="48" spans="1:15" ht="15.6" x14ac:dyDescent="0.3">
      <c r="A48" s="520"/>
      <c r="B48" s="520" t="s">
        <v>395</v>
      </c>
      <c r="C48" s="58" t="s">
        <v>80</v>
      </c>
      <c r="D48" s="58"/>
      <c r="E48" s="165"/>
      <c r="F48" s="340" t="str">
        <f>IF(E48="","",ROUND(IF(E48&gt;0.7,0,IF(E48&lt;=0.1,1,E48^3*'Reference Standards'!S$87+E48^2*'Reference Standards'!S$88+E48*'Reference Standards'!S$89+'Reference Standards'!S$90)),2))</f>
        <v/>
      </c>
      <c r="G48" s="552" t="str">
        <f>IFERROR(ROUND(AVERAGE(F48:F51),2),"")</f>
        <v/>
      </c>
      <c r="H48" s="567"/>
      <c r="I48" s="555"/>
      <c r="J48" s="559"/>
      <c r="K48" s="555"/>
    </row>
    <row r="49" spans="1:13" ht="15.6" x14ac:dyDescent="0.3">
      <c r="A49" s="520"/>
      <c r="B49" s="520"/>
      <c r="C49" s="58" t="s">
        <v>49</v>
      </c>
      <c r="D49" s="58"/>
      <c r="E49" s="165"/>
      <c r="F49" s="84" t="str">
        <f>IF(E49="","",IF(OR(E49="Ex/Ex",E49="Ex/VH"),0, IF(OR(E49="Ex/H",E49="VH/Ex",E49="VH/VH", E49="H/Ex",E49="H/VH",E49="M/Ex"),0.1,IF(OR(E49="Ex/M",E49="VH/H",E49="H/H", E49="M/VH"),0.2, IF(OR(E49="Ex/L",E49="VH/M",E49="H/M", E49="M/H",E49="L/Ex"),0.3, IF(OR(E49="Ex/VL",E49="VH/L",E49="H/L"),0.4, IF(OR(E49="VH/VL",E49="H/VL",E49="M/M", E49="L/VH"),0.5, IF(OR(E49="M/L",E49="L/H"),0.6, IF(OR(E49="M/VL",E49="L/M"),0.7, IF(OR(E49="L/L",E49="L/VL"),1))))))))))</f>
        <v/>
      </c>
      <c r="G49" s="553"/>
      <c r="H49" s="567"/>
      <c r="I49" s="555"/>
      <c r="J49" s="559"/>
      <c r="K49" s="555"/>
    </row>
    <row r="50" spans="1:13" ht="15.6" x14ac:dyDescent="0.3">
      <c r="A50" s="520"/>
      <c r="B50" s="520"/>
      <c r="C50" s="58" t="s">
        <v>87</v>
      </c>
      <c r="D50" s="58"/>
      <c r="E50" s="165"/>
      <c r="F50" s="84" t="str">
        <f>IF(E50="","",ROUND(IF(E50&gt;40,0,IF(E50&lt;5,1,E50^3*'Reference Standards'!S$122+E50^2*'Reference Standards'!S$123+E50*'Reference Standards'!S$124+'Reference Standards'!S$125)),2))</f>
        <v/>
      </c>
      <c r="G50" s="553"/>
      <c r="H50" s="567"/>
      <c r="I50" s="555"/>
      <c r="J50" s="559"/>
      <c r="K50" s="555"/>
    </row>
    <row r="51" spans="1:13" ht="15.6" x14ac:dyDescent="0.3">
      <c r="A51" s="520"/>
      <c r="B51" s="521"/>
      <c r="C51" s="59" t="s">
        <v>394</v>
      </c>
      <c r="D51" s="59"/>
      <c r="E51" s="167"/>
      <c r="F51" s="341" t="str">
        <f>IF(E51="","",ROUND(IF(E51&gt;=30,0,IF(E51&lt;=0,1,E51*'Reference Standards'!S$156+'Reference Standards'!S$157)),2))</f>
        <v/>
      </c>
      <c r="G51" s="554"/>
      <c r="H51" s="567"/>
      <c r="I51" s="555"/>
      <c r="J51" s="559"/>
      <c r="K51" s="555"/>
    </row>
    <row r="52" spans="1:13" ht="15.6" x14ac:dyDescent="0.3">
      <c r="A52" s="520"/>
      <c r="B52" s="520" t="s">
        <v>50</v>
      </c>
      <c r="C52" s="60" t="s">
        <v>377</v>
      </c>
      <c r="D52" s="64"/>
      <c r="E52" s="136"/>
      <c r="F52" s="294" t="str">
        <f>IF(E52="","",ROUND(IF(E52&gt;9.2,1,E52*'Reference Standards'!$S$189+'Reference Standards'!$S$190),2))</f>
        <v/>
      </c>
      <c r="G52" s="552" t="str">
        <f>IFERROR(ROUND(AVERAGE(F52:F61),2),"")</f>
        <v/>
      </c>
      <c r="H52" s="567"/>
      <c r="I52" s="555"/>
      <c r="J52" s="559"/>
      <c r="K52" s="555"/>
    </row>
    <row r="53" spans="1:13" ht="15.6" x14ac:dyDescent="0.3">
      <c r="A53" s="520"/>
      <c r="B53" s="520"/>
      <c r="C53" s="62" t="s">
        <v>378</v>
      </c>
      <c r="D53" s="58"/>
      <c r="E53" s="162"/>
      <c r="F53" s="294" t="str">
        <f>IF(E53="","",ROUND(IF(E53&gt;9.2,1,E53*'Reference Standards'!$S$189+'Reference Standards'!$S$190),2))</f>
        <v/>
      </c>
      <c r="G53" s="553"/>
      <c r="H53" s="567"/>
      <c r="I53" s="555"/>
      <c r="J53" s="559"/>
      <c r="K53" s="555"/>
    </row>
    <row r="54" spans="1:13" ht="15.6" x14ac:dyDescent="0.3">
      <c r="A54" s="520"/>
      <c r="B54" s="520"/>
      <c r="C54" s="62" t="s">
        <v>379</v>
      </c>
      <c r="D54" s="58"/>
      <c r="E54" s="162"/>
      <c r="F54" s="294" t="str">
        <f>IF(E54="","",ROUND( IF(E54&gt;=200,1,IF(E54&lt;50, E54^2*'Reference Standards'!S$224+E54*'Reference Standards'!S$225+'Reference Standards'!S$226, E54*'Reference Standards'!T$224+'Reference Standards'!T$225)),2))</f>
        <v/>
      </c>
      <c r="G54" s="553"/>
      <c r="H54" s="567"/>
      <c r="I54" s="555"/>
      <c r="J54" s="559"/>
      <c r="K54" s="555"/>
    </row>
    <row r="55" spans="1:13" ht="15.6" x14ac:dyDescent="0.3">
      <c r="A55" s="520"/>
      <c r="B55" s="520"/>
      <c r="C55" s="62" t="s">
        <v>380</v>
      </c>
      <c r="D55" s="58"/>
      <c r="E55" s="162"/>
      <c r="F55" s="294" t="str">
        <f>IF(E55="","",ROUND( IF(E55&gt;=200,1,IF(E55&lt;50, E55^2*'Reference Standards'!S$224+E55*'Reference Standards'!S$225+'Reference Standards'!S$226, E55*'Reference Standards'!T$224+'Reference Standards'!T$225)),2))</f>
        <v/>
      </c>
      <c r="G55" s="553"/>
      <c r="H55" s="567"/>
      <c r="I55" s="555"/>
      <c r="J55" s="559"/>
      <c r="K55" s="555"/>
    </row>
    <row r="56" spans="1:13" ht="15.6" x14ac:dyDescent="0.3">
      <c r="A56" s="520"/>
      <c r="B56" s="520"/>
      <c r="C56" s="58" t="s">
        <v>381</v>
      </c>
      <c r="D56" s="58"/>
      <c r="E56" s="162"/>
      <c r="F56" s="294" t="str">
        <f>IF(E56="","",ROUND(IF(AND(E56&gt;=135,E56&lt;=262),1,IF(  E56&gt;=366,0.5, IF(E56&lt;135,E56*'Reference Standards'!S$259+'Reference Standards'!S$260, E56*'Reference Standards'!T$259+'Reference Standards'!T$260))),2))</f>
        <v/>
      </c>
      <c r="G56" s="553"/>
      <c r="H56" s="567"/>
      <c r="I56" s="555"/>
      <c r="J56" s="559"/>
      <c r="K56" s="555"/>
    </row>
    <row r="57" spans="1:13" ht="15.6" x14ac:dyDescent="0.3">
      <c r="A57" s="520"/>
      <c r="B57" s="520"/>
      <c r="C57" s="58" t="s">
        <v>382</v>
      </c>
      <c r="D57" s="58"/>
      <c r="E57" s="162"/>
      <c r="F57" s="294" t="str">
        <f>IF(E57="","",ROUND(IF(AND(E57&gt;=135,E57&lt;=262),1,IF(  E57&gt;=366,0.5, IF(E57&lt;135,E57*'Reference Standards'!S$259+'Reference Standards'!S$260, E57*'Reference Standards'!T$259+'Reference Standards'!T$260))),2))</f>
        <v/>
      </c>
      <c r="G57" s="553"/>
      <c r="H57" s="567"/>
      <c r="I57" s="555"/>
      <c r="J57" s="559"/>
      <c r="K57" s="555"/>
    </row>
    <row r="58" spans="1:13" ht="15.6" x14ac:dyDescent="0.3">
      <c r="A58" s="520"/>
      <c r="B58" s="520"/>
      <c r="C58" s="58" t="s">
        <v>383</v>
      </c>
      <c r="D58" s="58"/>
      <c r="E58" s="162"/>
      <c r="F58" s="84" t="str">
        <f>IF(E58="","",ROUND(IF(E58&gt;=75,1,IF(E58&lt;=0,0,E58*'Reference Standards'!S$330)),2))</f>
        <v/>
      </c>
      <c r="G58" s="553"/>
      <c r="H58" s="567"/>
      <c r="I58" s="555"/>
      <c r="J58" s="559"/>
      <c r="K58" s="555"/>
    </row>
    <row r="59" spans="1:13" ht="15.6" x14ac:dyDescent="0.3">
      <c r="A59" s="520"/>
      <c r="B59" s="520"/>
      <c r="C59" s="58" t="s">
        <v>384</v>
      </c>
      <c r="D59" s="58"/>
      <c r="E59" s="162"/>
      <c r="F59" s="84" t="str">
        <f>IF(E59="","",ROUND(IF(E59&gt;=75,1,IF(E59&lt;=0,0,E59*'Reference Standards'!S$330)),2))</f>
        <v/>
      </c>
      <c r="G59" s="553"/>
      <c r="H59" s="567"/>
      <c r="I59" s="555"/>
      <c r="J59" s="559"/>
      <c r="K59" s="555"/>
    </row>
    <row r="60" spans="1:13" ht="15.6" x14ac:dyDescent="0.3">
      <c r="A60" s="520"/>
      <c r="B60" s="520"/>
      <c r="C60" s="58" t="s">
        <v>385</v>
      </c>
      <c r="D60" s="58"/>
      <c r="E60" s="162"/>
      <c r="F60" s="294" t="str">
        <f>IF(E60="","",ROUND(IF(AND(E60&gt;=36.3,E60&lt;=68),1,IF(E60&gt;100,0,IF(E60&lt;36.3,(('Reference Standards'!S$297*(E60^2))+('Reference Standards'!S$298*E60)+'Reference Standards'!S$299),IF(E60&gt;68,(('Reference Standards'!T$297*(E60^2))+('Reference Standards'!T$298*E60)+'Reference Standards'!T$299))))),2))</f>
        <v/>
      </c>
      <c r="G60" s="553"/>
      <c r="H60" s="567"/>
      <c r="I60" s="555"/>
      <c r="J60" s="559"/>
      <c r="K60" s="555"/>
      <c r="M60" s="21"/>
    </row>
    <row r="61" spans="1:13" ht="15.6" x14ac:dyDescent="0.3">
      <c r="A61" s="520"/>
      <c r="B61" s="521"/>
      <c r="C61" s="58" t="s">
        <v>386</v>
      </c>
      <c r="D61" s="65"/>
      <c r="E61" s="162"/>
      <c r="F61" s="294" t="str">
        <f>IF(E61="","",ROUND(IF(AND(E61&gt;=36.3,E61&lt;=68),1,IF(E61&gt;100,0,IF(E61&lt;36.3,(('Reference Standards'!S$297*(E61^2))+('Reference Standards'!S$298*E61)+'Reference Standards'!S$299),IF(E61&gt;68,(('Reference Standards'!T$297*(E61^2))+('Reference Standards'!T$298*E61)+'Reference Standards'!T$299))))),2))</f>
        <v/>
      </c>
      <c r="G61" s="554"/>
      <c r="H61" s="567"/>
      <c r="I61" s="555"/>
      <c r="J61" s="559"/>
      <c r="K61" s="555"/>
    </row>
    <row r="62" spans="1:13" ht="15.6" x14ac:dyDescent="0.3">
      <c r="A62" s="520"/>
      <c r="B62" s="56" t="s">
        <v>108</v>
      </c>
      <c r="C62" s="72" t="s">
        <v>130</v>
      </c>
      <c r="D62" s="58"/>
      <c r="E62" s="43"/>
      <c r="F62" s="82" t="str">
        <f>IF(E62="","",IF(OR('Quantification Tool R5'!B$14="Gravel",'Quantification Tool R5'!B$14="Cobble"),IF(E62&gt;0.1,1,IF(E62&lt;=0.01,0,ROUND(E62*'Reference Standards'!$S$362+'Reference Standards'!$S$363,2)))))</f>
        <v/>
      </c>
      <c r="G62" s="82" t="str">
        <f>IFERROR(AVERAGE(F62),"")</f>
        <v/>
      </c>
      <c r="H62" s="567"/>
      <c r="I62" s="555"/>
      <c r="J62" s="559"/>
      <c r="K62" s="555"/>
    </row>
    <row r="63" spans="1:13" ht="15.6" x14ac:dyDescent="0.3">
      <c r="A63" s="520"/>
      <c r="B63" s="526" t="s">
        <v>51</v>
      </c>
      <c r="C63" s="64" t="s">
        <v>52</v>
      </c>
      <c r="D63" s="64"/>
      <c r="E63" s="166"/>
      <c r="F63" s="337" t="str">
        <f>IF(E63="","", IF(ISNUMBER('Quantification Tool R5'!$B$17), IF('Quantification Tool R5'!$B$17&lt;=2,   IF(AND(E63&gt;=3,E63&lt;=5),1, IF(OR(E63&lt;=1,E63&gt;=7), 0, ROUND( IF(E63&lt;3, E63*'Reference Standards'!S$398+'Reference Standards'!S$399,E63*'Reference Standards'!T$398+'Reference Standards'!T$399),2) ) ),   IF(E63&lt;=2.5,1, IF(E63&gt;=5.8,0, ROUND(E63*'Reference Standards'!S$430+'Reference Standards'!S$431,2))))   ))</f>
        <v/>
      </c>
      <c r="G63" s="528" t="str">
        <f>IFERROR(AVERAGE(F63:F66),"")</f>
        <v/>
      </c>
      <c r="H63" s="567"/>
      <c r="I63" s="555"/>
      <c r="J63" s="559"/>
      <c r="K63" s="555"/>
    </row>
    <row r="64" spans="1:13" ht="15.6" x14ac:dyDescent="0.3">
      <c r="A64" s="520"/>
      <c r="B64" s="520"/>
      <c r="C64" s="58" t="s">
        <v>53</v>
      </c>
      <c r="D64" s="58"/>
      <c r="E64" s="165"/>
      <c r="F64" s="84" t="str">
        <f>IF(E64="","", IF( E64&gt;=2.4,1, IF(E64&lt;=1,0,  ROUND(IF(E64&lt;2.4, E64*'Reference Standards'!$S$464+'Reference Standards'!$S$465 ),2))))</f>
        <v/>
      </c>
      <c r="G64" s="529"/>
      <c r="H64" s="567"/>
      <c r="I64" s="555"/>
      <c r="J64" s="559"/>
      <c r="K64" s="555"/>
    </row>
    <row r="65" spans="1:12" ht="15.6" x14ac:dyDescent="0.3">
      <c r="A65" s="520"/>
      <c r="B65" s="520"/>
      <c r="C65" s="58" t="s">
        <v>334</v>
      </c>
      <c r="D65" s="58"/>
      <c r="E65" s="165"/>
      <c r="F65" s="390" t="str">
        <f>IF(E65="","", IF(LEFT('Quantification Tool R5'!$B$12,2)="67",  IF( AND(E65&gt;=45,E65&lt;=65),1, IF(OR(E65&lt;=20,E65&gt;=90),0, ROUND(  IF(E65&lt;45, E65*'Reference Standards'!$S$498+'Reference Standards'!$S$499,E65*'Reference Standards'!$T$498+'Reference Standards'!$T$499),2))), IF(OR(  LEFT('Quantification Tool R5'!$B$12,2)="68", LEFT('Quantification Tool R5'!$B$12,2)="69",LEFT('Quantification Tool R5'!$B$12,2)="71"),  IF( AND(E65&gt;=30,E65&lt;=50),1, IF(OR(E65&lt;=10,E65&gt;=70),0, ROUND(  IF(E65&lt;30, E65*'Reference Standards'!$S$533+'Reference Standards'!$S$534,E65*'Reference Standards'!$T$533+'Reference Standards'!$T$534),2))), IF(LEFT('Quantification Tool R5'!$B$12,2)="66",  IF( AND(E65&gt;=20,E65&lt;=45),1, IF(OR(E65&lt;=0,E65&gt;=90),0, ROUND(  IF(E65&lt;20, E65*'Reference Standards'!$S$567+'Reference Standards'!$S$568,E65*'Reference Standards'!$T$567+'Reference Standards'!$T$568),2))), IF(OR(  LEFT('Quantification Tool R5'!$B$12,2)="65", LEFT('Quantification Tool R5'!$B$12,2)="74", LEFT('Quantification Tool R5'!$B$12,2)="73"),  IF( AND(E65&gt;=20,E65&lt;=30),1, IF(OR(E65&lt;=0,E65&gt;=50),0, ROUND(  IF(E65&lt;20, E65*'Reference Standards'!$S$601+'Reference Standards'!$S$602,E65*'Reference Standards'!$T$601+'Reference Standards'!$T$602),2))))))))</f>
        <v/>
      </c>
      <c r="G65" s="529"/>
      <c r="H65" s="567"/>
      <c r="I65" s="555"/>
      <c r="J65" s="559"/>
      <c r="K65" s="555"/>
    </row>
    <row r="66" spans="1:12" ht="15.6" x14ac:dyDescent="0.3">
      <c r="A66" s="520"/>
      <c r="B66" s="521"/>
      <c r="C66" s="62" t="s">
        <v>210</v>
      </c>
      <c r="D66" s="58"/>
      <c r="E66" s="167"/>
      <c r="F66" s="391" t="str">
        <f>IF(E66="","",IF(E66&gt;=1.6,0,IF(E66&lt;=1,1,ROUND('Reference Standards'!$S$633*E66^3+'Reference Standards'!$S$634*E66^2+'Reference Standards'!$S$635*E66+'Reference Standards'!$S$636,2))))</f>
        <v/>
      </c>
      <c r="G66" s="530"/>
      <c r="H66" s="567"/>
      <c r="I66" s="555"/>
      <c r="J66" s="559"/>
      <c r="K66" s="555"/>
      <c r="L66" s="13"/>
    </row>
    <row r="67" spans="1:12" ht="15.6" x14ac:dyDescent="0.3">
      <c r="A67" s="521"/>
      <c r="B67" s="296" t="s">
        <v>55</v>
      </c>
      <c r="C67" s="242" t="s">
        <v>54</v>
      </c>
      <c r="D67" s="243"/>
      <c r="E67" s="163"/>
      <c r="F67" s="342" t="str">
        <f>IF(E67="","",IF(AND('Quantification Tool R5'!B$11="E",'Quantification Tool R5'!$B$14="Sand",'Quantification Tool R5'!$B$21="Unconfined Alluvial"),ROUND(IF(OR(E67&gt;1.8,E67&lt;1.3),0,IF(E67&lt;=1.6,1,E67*'Reference Standards'!S$667+'Reference Standards'!S$668)),2),    IF('Quantification Tool R5'!$B$21="Unconfined Alluvial",ROUND(IF(OR(E67&lt;1.2, E67&gt;1.5),0,IF(E67&lt;=1.4,1,E67*'Reference Standards'!$S$700+'Reference Standards'!$S$701)),2), IF('Quantification Tool R5'!$B$21="Confined Alluvial",ROUND(IF(E67&lt;1.15,0,IF(E67&lt;=1.4,E67*'Reference Standards'!$S$729+'Reference Standards'!$S$730,1)),2),  IF('Quantification Tool R5'!$B$21="Colluvial",ROUND(IF(E67&gt;1.3,0,IF(E67&gt;1.2,E67*'Reference Standards'!$S$760+'Reference Standards'!$S$761,1)),2) )))))</f>
        <v/>
      </c>
      <c r="G67" s="84" t="str">
        <f>IFERROR(AVERAGE(F67),"")</f>
        <v/>
      </c>
      <c r="H67" s="567"/>
      <c r="I67" s="555"/>
      <c r="J67" s="559"/>
      <c r="K67" s="555"/>
      <c r="L67" s="13"/>
    </row>
    <row r="68" spans="1:12" ht="15.6" x14ac:dyDescent="0.3">
      <c r="A68" s="537" t="s">
        <v>58</v>
      </c>
      <c r="B68" s="67" t="s">
        <v>88</v>
      </c>
      <c r="C68" s="70" t="s">
        <v>338</v>
      </c>
      <c r="D68" s="70"/>
      <c r="E68" s="43"/>
      <c r="F68" s="343" t="str">
        <f>IF(E68="","",ROUND(IF(E68&gt;=942,0,IF(E68&lt;=487,E68*'Reference Standards'!AB$15+'Reference Standards'!AB$16,E68*'Reference Standards'!$AC$15+'Reference Standards'!$AC$16)),2))</f>
        <v/>
      </c>
      <c r="G68" s="85" t="str">
        <f>IFERROR(AVERAGE(F68),"")</f>
        <v/>
      </c>
      <c r="H68" s="547" t="str">
        <f>IFERROR(ROUND(AVERAGE(G68:G71),2),"")</f>
        <v/>
      </c>
      <c r="I68" s="534" t="str">
        <f>IF(H68="","",IF(H68&gt;0.69,"Functioning",IF(H68&gt;0.29,"Functioning At Risk",IF(H68&gt;-1,"Not Functioning"))))</f>
        <v/>
      </c>
      <c r="J68" s="559"/>
      <c r="K68" s="555"/>
      <c r="L68" s="21"/>
    </row>
    <row r="69" spans="1:12" ht="15.6" x14ac:dyDescent="0.3">
      <c r="A69" s="538"/>
      <c r="B69" s="297" t="s">
        <v>362</v>
      </c>
      <c r="C69" s="66" t="s">
        <v>354</v>
      </c>
      <c r="D69" s="66"/>
      <c r="E69" s="163"/>
      <c r="F69" s="344" t="str">
        <f>IF(E69="","",IF(OR('Quantification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June")),IF(E69&gt;93,0,IF(E69&lt;13,1,ROUND('Reference Standards'!$AB$53*E69^2+'Reference Standards'!$AB$54*E69+'Reference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R5'!$B$12="73b"),IF(E69&gt;94,0,IF(E69&lt;17,1,ROUND('Reference Standards'!$AC$53*E69^2+'Reference Standards'!$AC$54*E69+'Reference Standards'!$AC$55,2))),    IF(OR(AND(OR('Quantification Tool R5'!$B$12="68b",'Quantification Tool R5'!$B$12="71i"),'Quantification Tool R5'!$B$13&gt;2), 'Quantification Tool R5'!$B$12="71e"),IF(E69&gt;91,0,IF(E69&lt;24,1,ROUND('Reference Standards'!$AD$53*E69^2+'Reference Standards'!$AD$54*E69+'Reference Standards'!$AD$55,2))),  IF(OR(AND(OR('Quantification Tool R5'!$B$12="71f",'Quantification Tool R5'!$B$12="71g",'Quantification Tool R5'!$B$12="71h",'Quantification Tool R5'!$B$12="71i"),'Quantification Tool R5'!$B$13&lt;=2), AND('Quantification Tool R5'!$B$12="74a",'Quantification Tool R5'!$B$13&gt;2)),IF(E69&gt;95,0,IF(E69&lt;=36,1,ROUND('Reference Standards'!$AE$53*E69^2+'Reference Standards'!$AE$54*E69+'Reference Standards'!$AE$55,2))))))))</f>
        <v/>
      </c>
      <c r="G69" s="236" t="str">
        <f>IFERROR(AVERAGE(F69:F69),"")</f>
        <v/>
      </c>
      <c r="H69" s="548"/>
      <c r="I69" s="535"/>
      <c r="J69" s="559"/>
      <c r="K69" s="555"/>
      <c r="L69" s="21"/>
    </row>
    <row r="70" spans="1:12" ht="15.6" x14ac:dyDescent="0.3">
      <c r="A70" s="538"/>
      <c r="B70" s="67" t="s">
        <v>81</v>
      </c>
      <c r="C70" s="68" t="s">
        <v>281</v>
      </c>
      <c r="D70" s="68"/>
      <c r="E70" s="162"/>
      <c r="F70" s="344" t="str">
        <f>IF(E70="","",IF(ISNUMBER('Quantification Tool R5'!$B$13),IF(OR('Quantification Tool R5'!$B$12="66e",'Quantification Tool R5'!$B$12="66f",'Quantification Tool R5'!$B$12="66g"),ROUND(IF(E70&gt;=0.61,0,IF(E70&lt;=0.01,1,IF(E70&lt;=0.06,E70*'Reference Standards'!$AD$197+'Reference Standards'!$AD$198,E70^2*'Reference Standards'!$AB$196+E70*'Reference Standards'!$AB$197+'Reference Standards'!$AB$198))),2),IF('Quantification Tool R5'!$B$12="68b",ROUND(IF(E70&gt;=1.1,0,IF(E70&lt;=0.17,1,IF(E70&lt;=0.22,E70*'Reference Standards'!$AE$197+'Reference Standards'!$AE$198,E70^2*'Reference Standards'!$AC$196+E70*'Reference Standards'!$AC$197+'Reference Standards'!$AC$198))),2),IF('Quantification Tool R5'!$B$13&lt;=2.5,IF('Quantification Tool R5'!$B$12="69de",ROUND(IF(E70&gt;=0.22,0,IF(E70&lt;=0.01,1,E70^2*'Reference Standards'!$AB$90+E70*'Reference Standards'!$AB$91+'Reference Standards'!$AB$92)),2),IF('Quantification Tool R5'!$B$12="68c",ROUND(IF(E70&gt;=0.87,0,IF(E70&lt;=0.01,1,E70^2*'Reference Standards'!$AC$90+E70*'Reference Standards'!$AC$91+'Reference Standards'!$AC$92)),2),IF('Quantification Tool R5'!$B$12="68a",ROUND(IF(E70&gt;=0.81,0,IF(E70&lt;=0.01,1,E70^2*'Reference Standards'!$AD$90+E70*'Reference Standards'!$AD$91+'Reference Standards'!$AD$92)),2),IF('Quantification Tool R5'!$B$12="65abei",ROUND(IF(E70&gt;=0.67,0,IF(E70&lt;=0.01,1,IF(E70&lt;=0.18,E70*'Reference Standards'!$AG$91+'Reference Standards'!$AG$92,E70*'Reference Standards'!$AE$91+'Reference Standards'!$AE$92))),2),IF('Quantification Tool R5'!$B$12="65j",ROUND(IF(E70&gt;=0.32,0,IF(E70&lt;=0.01,1,IF(E70&lt;=0.25,E70*'Reference Standards'!$AH$91+'Reference Standards'!$AH$92,E70*'Reference Standards'!$AF$91+'Reference Standards'!$AF$92))),2),IF('Quantification Tool R5'!$B$12="71f",ROUND(IF(E70&gt;=3,0,IF(E70&lt;=0,1,IF(E70&lt;=0.01,0.7,E70^2*'Reference Standards'!$AB$126+E70*'Reference Standards'!$AB$127+'Reference Standards'!$AB$128))),2),IF('Quantification Tool R5'!$B$12="74a",ROUND(IF(E70&gt;=0.14,0,IF(E70&lt;=0.01,1,IF(E70&lt;=0.02,0.7,E70^2*'Reference Standards'!$AC$126+E70*'Reference Standards'!$AC$127+'Reference Standards'!$AC$128))),2),IF(OR('Quantification Tool R5'!$B$12="67fhi",'Quantification Tool R5'!$B$12="67g"),ROUND(IF(E70&gt;=1.9,0,IF(E70&lt;=0.01,1,IF(E70&lt;=0.05,E70*'Reference Standards'!$AF$127+'Reference Standards'!$AF$128,E70^2*'Reference Standards'!$AD$126+E70*'Reference Standards'!$AD$127+'Reference Standards'!$AD$128))),2),IF('Quantification Tool R5'!$B$12="73a",ROUND(IF(E70&gt;=1.44,0,IF(E70&lt;=0.01,1,IF(E70&lt;=0.12,E70*'Reference Standards'!$AG$127+'Reference Standards'!$AG$128,E70^2*'Reference Standards'!$AE$126+E70*'Reference Standards'!$AE$127+'Reference Standards'!$AE$128))),2),IF('Quantification Tool R5'!$B$12="66d",ROUND(IF(E70&gt;=0.46,0,IF(E70&lt;=0.02,1,IF(E70&lt;=0.08,E70*'Reference Standards'!$AF$163+'Reference Standards'!$AF$164,E70^2*'Reference Standards'!$AB$162+E70*'Reference Standards'!$AB$163+'Reference Standards'!$AB$164))),2),IF(OR('Quantification Tool R5'!$B$12="71g",'Quantification Tool R5'!$B$12="71h",'Quantification Tool R5'!$B$12="71i"),ROUND(IF(E70&gt;=3,0,IF(E70&lt;=0.06,1,IF(E70&lt;=0.24,E70*'Reference Standards'!$AG$163+'Reference Standards'!$AG$164,E70^2*'Reference Standards'!$AC$162+E70*'Reference Standards'!$AC$163+'Reference Standards'!$AC$164))),2),IF('Quantification Tool R5'!$B$12="74b",ROUND(IF(E70&gt;=1.3,0,IF(E70&lt;=0.29,1,IF(E70&lt;=0.48,E70*'Reference Standards'!$AH$163+'Reference Standards'!$AH$164,E70^2*'Reference Standards'!$AD$162+E70*'Reference Standards'!$AD$163+'Reference Standards'!$AD$164))),2),IF('Quantification Tool R5'!$B$12="71e",ROUND(IF(E70&gt;=4.3,0,IF(E70&lt;=0.53,1,IF(E70&lt;=0.67,E70*'Reference Standards'!$AI$163+'Reference Standards'!$AI$164,E70^2*'Reference Standards'!$AE$162+E70*'Reference Standards'!$AE$163+'Reference Standards'!$AE$164))),2)))))))))))))),IF('Quantification Tool R5'!$B$13&gt;2.5,IF('Quantification Tool R5'!$B$12="73a",ROUND(IF(E70&gt;=0.55,0,IF(E70&lt;=0,1,E70^2*'Reference Standards'!$AB$232+E70*'Reference Standards'!$AB$233+'Reference Standards'!$AB$234)),2),IF('Quantification Tool R5'!$B$12="68a",ROUND(IF(E70&gt;=0.54,0,IF(E70&lt;=0,1,IF(E70&lt;=0.01,0.85,E70^2*'Reference Standards'!$AC$232+E70*'Reference Standards'!$AC$233+'Reference Standards'!$AC$234))),2),IF('Quantification Tool R5'!$B$12="74a",ROUND(IF(E70&gt;=0.47,0,IF(E70&lt;=0.01,1,IF(E70&lt;=0.02,0.7,E70^2*'Reference Standards'!$AD$232+E70*'Reference Standards'!$AD$233+'Reference Standards'!$AD$234))),2),IF('Quantification Tool R5'!$B$12="69de",ROUND(IF(E70&gt;=0.26,0,IF(E70&lt;=0.01,1,IF(E70&lt;=0.02,0.85,E70^2*'Reference Standards'!$AE$232+E70*'Reference Standards'!$AE$233+'Reference Standards'!$AE$234))),2),IF('Quantification Tool R5'!$B$12="71f",ROUND(IF(E70&gt;=0.87,0,IF(E70&lt;=0.01,1,IF(E70&lt;=0.04,E70*'Reference Standards'!$AF$269+'Reference Standards'!$AF$270,E70^2*'Reference Standards'!$AB$268+E70*'Reference Standards'!$AB$269+'Reference Standards'!$AB$270))),2),IF('Quantification Tool R5'!$B$12="65abei",ROUND(IF(E70&gt;=0.82,0,IF(E70&lt;=0.01,1,IF(E70&lt;=0.06,E70*'Reference Standards'!$AG$269+'Reference Standards'!$AG$270,E70^2*'Reference Standards'!$AC$268+E70*'Reference Standards'!$AC$269+'Reference Standards'!$AC$270))),2),IF('Quantification Tool R5'!$B$12="65j",ROUND(IF(E70&gt;=0.33,0,IF(E70&lt;=0.03,1,IF(E70&lt;=0.09,E70*'Reference Standards'!$AH$269+'Reference Standards'!$AH$270,E70^2*'Reference Standards'!$AD$268+E70*'Reference Standards'!$AD$269+'Reference Standards'!$AD$270))),2),IF('Quantification Tool R5'!$B$12="68c",ROUND(IF(E70&gt;=0.7,0,IF(E70&lt;=0.07,1,IF(E70&lt;=0.12,E70*'Reference Standards'!$AI$269+'Reference Standards'!$AI$270,E70^2*'Reference Standards'!$AE$268+E70*'Reference Standards'!$AE$269+'Reference Standards'!$AE$270))),2),IF(OR('Quantification Tool R5'!$B$12="67fhi",'Quantification Tool R5'!$B$12="67g"),ROUND(IF(E70&gt;=1.8,0,IF(E70&lt;=0.08,1,IF(E70&lt;=0.2,E70*'Reference Standards'!$AF$306+'Reference Standards'!$AF$307,E70^2*'Reference Standards'!$AB$305+E70*'Reference Standards'!$AB$306+'Reference Standards'!$AB$307))),2),IF('Quantification Tool R5'!$B$12="74b",ROUND(IF(E70&gt;=0.96,0,IF(E70&lt;=0.12,1,IF(E70&lt;=0.16,E70*'Reference Standards'!$AG$306+'Reference Standards'!$AG$307,E70^2*'Reference Standards'!$AC$305+E70*'Reference Standards'!$AC$306+'Reference Standards'!$AC$307))),2),IF('Quantification Tool R5'!$B$12="66d",ROUND(IF(E70&gt;=0.75,0,IF(E70&lt;=0.13,1,IF(E70&lt;=0.2,E70*'Reference Standards'!$AH$306+'Reference Standards'!$AH$307,E70^2*'Reference Standards'!$AD$305+E70*'Reference Standards'!$AD$306+'Reference Standards'!$AD$307))),2),IF(OR('Quantification Tool R5'!$B$12="71g",'Quantification Tool R5'!$B$12="71h",'Quantification Tool R5'!$B$12="71i"),ROUND(IF(E70&gt;=1.68,0,IF(E70&lt;=0.08,1,IF(E70&lt;=0.23,E70*'Reference Standards'!$AI$306+'Reference Standards'!$AI$307,E70^2*'Reference Standards'!$AE$305+E70*'Reference Standards'!$AE$306+'Reference Standards'!$AE$307))),2),IF('Quantification Tool R5'!$B$12="71e",ROUND(IF(E70&gt;=5.3,0,IF(E70&lt;=0.94,1,IF(E70&lt;=1.4,E70*'Reference Standards'!$AF$310+'Reference Standards'!$AF$311,E70^2*'Reference Standards'!$AB$309+E70*'Reference Standards'!$AB$310+'Reference Standards'!$AB$311))),2))))))))))))))))))))</f>
        <v/>
      </c>
      <c r="G70" s="86" t="str">
        <f>IFERROR(AVERAGE(F70),"")</f>
        <v/>
      </c>
      <c r="H70" s="548"/>
      <c r="I70" s="535"/>
      <c r="J70" s="559"/>
      <c r="K70" s="555"/>
      <c r="L70" s="21"/>
    </row>
    <row r="71" spans="1:12" ht="15.6" x14ac:dyDescent="0.3">
      <c r="A71" s="539"/>
      <c r="B71" s="298" t="s">
        <v>82</v>
      </c>
      <c r="C71" s="66" t="s">
        <v>280</v>
      </c>
      <c r="D71" s="66"/>
      <c r="E71" s="136"/>
      <c r="F71" s="343" t="str">
        <f>IF(E71="","", IF(ISNUMBER('Quantification Tool R5'!$B$13),IF('Quantification Tool R5'!$B$13&gt;2.5,IF(OR('Quantification Tool R5'!$B$12="71h",'Quantification Tool R5'!$B$12="71i",'Quantification Tool R5'!$B$12="73a",'Quantification Tool R5'!$B$12="74a"),IF(E71&lt;=0.01,1,IF(OR('Quantification Tool R5'!$B$12="71h",'Quantification Tool R5'!$B$12="71i"),IF(E71&gt;0.37,0,ROUND(IF(E71&gt;0.03,'Reference Standards'!$AB$425*E71^2+'Reference Standards'!$AB$426*E71+'Reference Standards'!$AB$427,'Reference Standards'!$AF$426*E71+'Reference Standards'!$AF$427),2)),  IF('Quantification Tool R5'!$B$12="73a",IF(E71&gt;0.405,0,ROUND(IF(E71&gt;0.046,'Reference Standards'!$AC$425*E71^2+'Reference Standards'!$AC$426*E71+'Reference Standards'!$AC$427,'Reference Standards'!$AG$426*E71+'Reference Standards'!$AG$427),2)),IF('Quantification Tool R5'!$B$12="74a",IF(E71&gt;0.3,0,ROUND(IF(E71&gt;0.052,'Reference Standards'!$AD$425*E71^2+'Reference Standards'!$AD$426*E71+'Reference Standards'!$AD$427,'Reference Standards'!$AH$426*E71+'Reference Standards'!$AH$427),2)))))),   IF(E71&lt;=0.002,1,IF(OR('Quantification Tool R5'!$B$12="66d",'Quantification Tool R5'!$B$12="66e",'Quantification Tool R5'!$B$12="66g"),IF(E71&gt;0.053,0,ROUND(E71^2*'Reference Standards'!$AB$347+E71*'Reference Standards'!$AB$348+'Reference Standards'!$AB$349,2)), IF('Quantification Tool R5'!$B$12="68b",IF(E71&gt;0.05,0,ROUND(E71^2*'Reference Standards'!$AC$347+E71*'Reference Standards'!$AC$348+'Reference Standards'!$AC$349,2)),  IF(OR('Quantification Tool R5'!$B$12="68a",'Quantification Tool R5'!$B$12="68c"),IF(E71&gt;0.07,0,ROUND(E71^2*'Reference Standards'!$AD$347+E71*'Reference Standards'!$AD$348+'Reference Standards'!$AD$349,2)), IF(OR('Quantification Tool R5'!$B$12="71f",'Quantification Tool R5'!$B$12="71g"),IF(E71&gt;0.13,0,ROUND(IF(E71&gt;0.042,E71*'Reference Standards'!$AE$348+'Reference Standards'!$AE$349,E71*'Reference Standards'!$AF$348+'Reference Standards'!$AF$349),2)), IF('Quantification Tool R5'!$B$12="67fhi",IF(E71&gt;0.16,0,ROUND(E71^2*'Reference Standards'!$AG$347+E71*'Reference Standards'!$AG$348+'Reference Standards'!$AG$349,2)),  IF('Quantification Tool R5'!$B$12="65j",IF(E71&gt;0.035,0,ROUND(IF(E71&lt;=0.003,0.7,E71^2*'Reference Standards'!$AB$387+E71*'Reference Standards'!$AB$388+'Reference Standards'!$AB$389),2)),IF('Quantification Tool R5'!$B$12="69de",IF(E71&gt;0.037,0,ROUND(IF(E71&lt;=0.003,0.7,E71^2*'Reference Standards'!$AC$387+E71*'Reference Standards'!$AC$388+'Reference Standards'!$AC$389),2)),IF('Quantification Tool R5'!$B$12="71e",IF(E71&gt;0.23,0,ROUND(IF(E71&lt;=0.003,0.7,E71^2*'Reference Standards'!$AD$387+E71*'Reference Standards'!$AD$388+'Reference Standards'!$AD$389),2)),IF('Quantification Tool R5'!$B$12="66f",IF(E71&gt;0.06,0,ROUND(IF(E71&lt;=0.003,0.85,IF(E71&lt;=0.004,0.7,E71^2*'Reference Standards'!$AE$387+E71*'Reference Standards'!$AE$388+'Reference Standards'!$AE$389)),2)),IF('Quantification Tool R5'!$B$12="67g",IF(E71&gt;0.11,0,ROUND(IF(E71&lt;=0.01,E71*'Reference Standards'!$AH$388+'Reference Standards'!$AH$389, E71^2*'Reference Standards'!$AF$387+E71*'Reference Standards'!$AF$388+'Reference Standards'!$AF$389),2)),IF('Quantification Tool R5'!$B$12="74b",IF(E71&gt;0.49,0,ROUND(IF(E71&lt;=0.01,E71*'Reference Standards'!$AH$388+'Reference Standards'!$AH$389, E71^2*'Reference Standards'!$AG$387+E71*'Reference Standards'!$AG$388+'Reference Standards'!$AG$389),2)),IF('Quantification Tool R5'!$B$12="65abei",IF(E71&gt;0.199,0,ROUND(IF(E71&lt;=0.01,E71*'Reference Standards'!$AI$426+'Reference Standards'!$AI$427, E71^2*'Reference Standards'!$AE$425+E71*'Reference Standards'!$AE$426+'Reference Standards'!$AE$427),2))    )))))))))))))),      IF('Quantification Tool R5'!$B$13&lt;=2.5, IF(OR('Quantification Tool R5'!$B$12="66d",'Quantification Tool R5'!$B$12="66e",'Quantification Tool R5'!$B$12="66g"),IF(E71&gt;0.05,0,ROUND(IF(E71&lt;=0.002,1,IF(E71&lt;=0.005,E71*'Reference Standards'!$AF$464+'Reference Standards'!$AF$465, E71^2*'Reference Standards'!$AB$463+E71*'Reference Standards'!$AB$464+'Reference Standards'!$AB$465)),2)), IF('Quantification Tool R5'!$B$12="67fhi",IF(E71&gt;0.1,0,ROUND(IF(E71&lt;=0.002,1,IF(E71&lt;=0.006,E71*'Reference Standards'!$AG$464+'Reference Standards'!$AG$465, E71^2*'Reference Standards'!$AC$463+E71*'Reference Standards'!$AC$464+'Reference Standards'!$AC$465)),2)), IF('Quantification Tool R5'!$B$12="65abei",IF(E71&gt;0.13,0,ROUND(IF(E71&lt;=0.003,1,IF(E71&lt;=0.008,E71*'Reference Standards'!$AH$464+'Reference Standards'!$AH$465, E71^2*'Reference Standards'!$AD$463+E71*'Reference Standards'!$AD$464+'Reference Standards'!$AD$465)),2)), IF('Quantification Tool R5'!$B$12="68b",IF(E71&gt;0.043,0,ROUND(IF(E71&lt;=0.004,1, IF(E71&lt;=0.005,0.7, E71^2*'Reference Standards'!$AE$463+E71*'Reference Standards'!$AE$464+'Reference Standards'!$AE$465)),2)), IF('Quantification Tool R5'!$B$12="69de",IF(E71&gt;=0.034,0,ROUND(IF(E71&lt;=0.003,1, IF(E71&lt;=0.006,E71*'Reference Standards'!$AG$500+'Reference Standards'!$AG$501, E71*'Reference Standards'!$AB$500+'Reference Standards'!$AB$501)),2)), IF(OR('Quantification Tool R5'!$B$12="68a",'Quantification Tool R5'!$B$12="68c"),IF(E71&gt;0.202,0,ROUND(IF(E71&lt;=0.003,1, IF(E71&lt;=0.006,E71*'Reference Standards'!$AG$500+'Reference Standards'!$AG$501, IF(E71&gt;=0.04,E71*'Reference Standards'!$AC$500+'Reference Standards'!$AC$501,E71*'Reference Standards'!$AE$500+'Reference Standards'!$AE$501))),2)), IF(OR('Quantification Tool R5'!$B$12="71f",'Quantification Tool R5'!$B$12="71g"),IF(E71&gt;0.631,0,ROUND(IF(E71&lt;=0.003,1, IF(E71&lt;=0.006,E71*'Reference Standards'!$AG$500+'Reference Standards'!$AG$501, IF(E71&gt;=0.17,E71*'Reference Standards'!$AD$500+'Reference Standards'!$AD$501,E71*'Reference Standards'!$AF$500+'Reference Standards'!$AF$501))),2)),   IF('Quantification Tool R5'!$B$12="71e",IF(E71&gt;1.23,0,ROUND(IF(E71&lt;=0.004,1,IF(E71&lt;=0.006,E71*'Reference Standards'!$AF$538+'Reference Standards'!$AF$539, E71^2*'Reference Standards'!$AB$537+E71*'Reference Standards'!$AB$538+'Reference Standards'!$AB$539)),2)), IF('Quantification Tool R5'!$B$12="67g",IF(E71&gt;0.11,0,ROUND(IF(E71&lt;=0.006,1,IF(E71&lt;=0.011,E71*'Reference Standards'!$AG$538+'Reference Standards'!$AG$539, E71^2*'Reference Standards'!$AC$537+E71*'Reference Standards'!$AC$538+'Reference Standards'!$AC$539)),2)), IF('Quantification Tool R5'!$B$12="65j",IF(E71&gt;0.046,0,ROUND(IF(E71&lt;=0.007,1,IF(E71&lt;=0.012,E71*'Reference Standards'!$AH$538+'Reference Standards'!$AH$539, E71^2*'Reference Standards'!$AD$537+E71*'Reference Standards'!$AD$538+'Reference Standards'!$AD$539)),2)), IF('Quantification Tool R5'!$B$12="66f",IF(E71&gt;0.081,0,ROUND(IF(E71&lt;=0.008,1,IF(E71&lt;=0.011,E71*'Reference Standards'!$AI$538+'Reference Standards'!$AI$539, E71^2*'Reference Standards'!$AE$537+E71*'Reference Standards'!$AE$538+'Reference Standards'!$AE$539)),2)), IF(OR('Quantification Tool R5'!$B$12="71h",'Quantification Tool R5'!$B$12="71i"),IF(E71&gt;0.37,0,ROUND(IF(E71&lt;=0.013,1,IF(E71&lt;=0.032,E71*'Reference Standards'!$AH$576+'Reference Standards'!$AH$577, IF(E71&lt;=0.3,E71*'Reference Standards'!$AF$576+'Reference Standards'!$AF$577,E71*'Reference Standards'!$AB$576+'Reference Standards'!$AB$577))),2)), IF('Quantification Tool R5'!$B$12="73a",IF(E71&gt;0.448,0,ROUND(IF(E71&lt;=0.071,1,IF(E71&lt;=0.086,E71*'Reference Standards'!$AJ$576+'Reference Standards'!$AJ$577, IF(E71&lt;=0.165,E71*'Reference Standards'!$AG$576+'Reference Standards'!$AG$577,E71*'Reference Standards'!$AE$576+'Reference Standards'!$AE$577))),2)),  IF('Quantification Tool R5'!$B$12="74b",IF(E71&gt;0.43,0,ROUND(IF(E71&lt;=0.018,1,IF(E71&lt;=0.019,0.85, IF(E71&lt;=0.02,0.7, E71^2*'Reference Standards'!$AC$575+E71*'Reference Standards'!$AC$576+'Reference Standards'!$AC$577))),2)), IF('Quantification Tool R5'!$B$12="74a",IF(E71&gt;0.217,0,ROUND(IF(E71&lt;=0.02,1,IF(E71&lt;=0.033,E71*'Reference Standards'!$AI$576+'Reference Standards'!$AI$577, E71^2*'Reference Standards'!$AD$575+E71*'Reference Standards'!$AD$576+'Reference Standards'!$AD$577)),2))     )))))))))))))))))))</f>
        <v/>
      </c>
      <c r="G71" s="87" t="str">
        <f>IFERROR(AVERAGE(F71),"")</f>
        <v/>
      </c>
      <c r="H71" s="549"/>
      <c r="I71" s="536"/>
      <c r="J71" s="559"/>
      <c r="K71" s="555"/>
      <c r="L71" s="21"/>
    </row>
    <row r="72" spans="1:12" ht="15.6" x14ac:dyDescent="0.3">
      <c r="A72" s="550" t="s">
        <v>59</v>
      </c>
      <c r="B72" s="560" t="s">
        <v>340</v>
      </c>
      <c r="C72" s="125" t="s">
        <v>331</v>
      </c>
      <c r="D72" s="126"/>
      <c r="E72" s="166"/>
      <c r="F72" s="345" t="str">
        <f>IF(E72="","",IF(OR('Quantification Tool R5'!B$12="73a",'Quantification Tool R5'!B$12="73b"),IF(E72&lt;1,0,IF(E72&gt;=30,1,ROUND(IF(E72&lt;22,'Reference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531" t="str">
        <f>IFERROR(AVERAGE(F72:F75),"")</f>
        <v/>
      </c>
      <c r="H72" s="568" t="str">
        <f>IFERROR(ROUND(AVERAGE(G72:G77),2),"")</f>
        <v/>
      </c>
      <c r="I72" s="519" t="str">
        <f>IF(H72="","",IF(H72&gt;0.69,"Functioning",IF(H72&gt;0.29,"Functioning At Risk",IF(H72&gt;-1,"Not Functioning"))))</f>
        <v/>
      </c>
      <c r="J72" s="559"/>
      <c r="K72" s="555"/>
      <c r="L72" s="21"/>
    </row>
    <row r="73" spans="1:12" ht="15.6" x14ac:dyDescent="0.3">
      <c r="A73" s="556"/>
      <c r="B73" s="561"/>
      <c r="C73" s="174" t="s">
        <v>335</v>
      </c>
      <c r="D73" s="175"/>
      <c r="E73" s="165"/>
      <c r="F73" s="346" t="str">
        <f>IF(E73="","",IF(AND('Quantification Tool R5'!$B$12="74b",'Quantification Tool R5'!$B$13&lt;=2),IF(E73&lt;0,0,IF(E73&gt;15.6,0.69,ROUND('Reference Standards'!$AL$54*E73^2+'Reference Standards'!$AL$55*E73+'Reference Standards'!$AL$56,2))),IF(AND('Quantification Tool R5'!$B$12="65abei",'Quantification Tool R5'!$B$13&lt;=2),IF(E73&lt;0,0,IF(E73&gt;=20,0.69,ROUND('Reference Standards'!$AM$54*E73^2+'Reference Standards'!$AM$55*E73+'Reference Standards'!$AM$56,2))),IF(OR(AND('Quantification Tool R5'!$B$12="74a",'Quantification Tool R5'!$B$13&gt;2,'Quantification Tool R5'!$B$19="January - June"),AND('Quantification Tool R5'!$B$12="71i",'Quantification Tool R5'!$B$13&gt;2,'Quantification Tool R5'!$B$20="SQBANK")),IF(E73&lt;0,0,IF(E73&gt;24.7,0.69,ROUND('Reference Standards'!$AN$54*E73^2+'Reference Standards'!$AN$55*E73+'Reference Standards'!$AN$56,2))),IF(OR('Quantification Tool R5'!$B$12="74b",'Quantification Tool R5'!$B$12="65abei"),IF(E73&lt;0,0,IF(E73&gt;32.7,0.69,ROUND('Reference Standards'!$AO$54*E73^2+'Reference Standards'!$AO$55*E73+'Reference Standards'!$AO$56,2))),IF(AND('Quantification Tool R5'!$B$12="68b",'Quantification Tool R5'!$B$13&gt;2),IF(E73&lt;0,0,IF(E73&gt;41.2,0.69,ROUND('Reference Standards'!$AP$54*E73^2+'Reference Standards'!$AP$55*E73+'Reference Standards'!$AP$56,2))),IF(OR(AND('Quantification Tool R5'!$B$12="71i",'Quantification Tool R5'!$B$13&lt;=2),AND(OR('Quantification Tool R5'!$B$12="68c",'Quantification Tool R5'!$B$12="68d"),'Quantification Tool R5'!$B$19="January - June")),IF(E73&lt;0,0,IF(E73&gt;49.2,0.69,ROUND('Reference Standards'!$AL$94*E73^2+'Reference Standards'!$AL$95*E73+'Reference Standards'!$AL$96,2))),IF(OR(AND('Quantification Tool R5'!$B$12="68a",'Quantification Tool R5'!$B$19="January - June"),AND(OR('Quantification Tool R5'!$B$12="68c",'Quantification Tool R5'!$B$12="68d"),'Quantification Tool R5'!$B$19="July - December")),IF(E73&lt;0,0,IF(E73&gt;53.4,0.69,ROUND('Reference Standards'!$AM$94*E73^2+'Reference Standards'!$AM$95*E73+'Reference Standards'!$AM$96,2))),IF(OR(AND('Quantification Tool R5'!$B$12="71i",'Quantification Tool R5'!$B$13&gt;2,'Quantification Tool R5'!$B$20="SQKICK"),AND(OR('Quantification Tool R5'!$B$12="67fhi",'Quantification Tool R5'!$B$12="67g"),'Quantification Tool R5'!$B$13&lt;=2),'Quantification Tool R5'!$B$12="65j"),IF(E73&lt;0,0,IF(E73&gt;57.8,0.69,ROUND('Reference Standards'!$AN$94*E73^2+'Reference Standards'!$AN$95*E73+'Reference Standards'!$AN$96,2))),IF(OR(AND('Quantification Tool R5'!$B$12="74a",'Quantification Tool R5'!$B$13&gt;2,'Quantification Tool R5'!$B$19="July - December"),AND(OR('Quantification Tool R5'!$B$12="67fhi",'Quantification Tool R5'!$B$12="67g"),'Quantification Tool R5'!$B$13&gt;2),'Quantification Tool R5'!$B$12="69de"),IF(E73&lt;0,0,IF(E73&gt;62.5,0.69,ROUND('Reference Standards'!$AO$94*E73^2+'Reference Standards'!$AO$95*E73+'Reference Standards'!$AO$96,2))),  IF(OR('Quantification Tool R5'!$B$12="66d",'Quantification Tool R5'!$B$12="66e",'Quantification Tool R5'!$B$12="66ik",'Quantification Tool R5'!$B$12="71e",'Quantification Tool R5'!$B$12="71f",'Quantification Tool R5'!$B$12="71g",'Quantification Tool R5'!$B$12="71h"),IF(E73&lt;0,0,IF(E73&gt;66.5,0.69,ROUND('Reference Standards'!$AP$94*E73^2+'Reference Standards'!$AP$95*E73+'Reference Standards'!$AP$96,2))),IF(OR('Quantification Tool R5'!$B$12="66f",'Quantification Tool R5'!$B$12="66g",'Quantification Tool R5'!$B$12="66j",AND('Quantification Tool R5'!$B$12="68a",'Quantification Tool R5'!$B$19="July - December")), IF(E73&lt;0,0,IF(E73&gt;69,0.69,ROUND('Reference Standards'!$AQ$94*E73^2+'Reference Standards'!$AQ$95*E73+'Reference Standards'!$AQ$96,2))))   )))))))))))</f>
        <v/>
      </c>
      <c r="G73" s="531"/>
      <c r="H73" s="568"/>
      <c r="I73" s="519"/>
      <c r="J73" s="559"/>
      <c r="K73" s="555"/>
      <c r="L73" s="21"/>
    </row>
    <row r="74" spans="1:12" ht="15.6" x14ac:dyDescent="0.3">
      <c r="A74" s="556"/>
      <c r="B74" s="561"/>
      <c r="C74" s="174" t="s">
        <v>339</v>
      </c>
      <c r="D74" s="175"/>
      <c r="E74" s="165"/>
      <c r="F74" s="346" t="str">
        <f>IF(E74="","",IF(AND('Quantification Tool R5'!$B$12="74b",'Quantification Tool R5'!$B$13&lt;=2),IF(E74&lt;0,0,IF(E74&gt;8.1,0.69,ROUND('Reference Standards'!$AL$131*E74^2+'Reference Standards'!$AL$132*E74+'Reference Standards'!$AL$133,2))),IF(OR('Quantification Tool R5'!$B$12="73a",'Quantification Tool R5'!$B$12="73b"),IF(E74&lt;0,0,IF(E74&gt;=28,0.69,ROUND('Reference Standards'!$AM$131*E74^2+'Reference Standards'!$AM$132*E74+'Reference Standards'!$AM$133,2))),IF(AND('Quantification Tool R5'!$B$12="74a",'Quantification Tool R5'!$B$13&gt;2,'Quantification Tool R5'!$B$19="January - June"),IF(E74&lt;0,0,IF(E74&gt;=32.5,0.69,ROUND('Reference Standards'!$AN$131*E74^2+'Reference Standards'!$AN$132*E74+'Reference Standards'!$AN$133,2))),IF(AND('Quantification Tool R5'!$B$12="71i",'Quantification Tool R5'!$B$13&gt;2,'Quantification Tool R5'!$B$20="SQBANK"),IF(E74&lt;0,0,IF(E74&gt;=37,0.69,ROUND('Reference Standards'!$AO$131*E74^2+'Reference Standards'!$AO$132*E74+'Reference Standards'!$AO$133,2))),IF(OR(AND(OR('Quantification Tool R5'!$B$12="65abei",'Quantification Tool R5'!$B$12="74b"),'Quantification Tool R5'!$B$13&gt;2),AND('Quantification Tool R5'!$B$12="71i",'Quantification Tool R5'!$B$13&gt;2,'Quantification Tool R5'!$B$20="SQKICK")),IF(E74&lt;0,0,IF(E74&gt;42.6,0.69,ROUND('Reference Standards'!$AP$131*E74^2+'Reference Standards'!$AP$132*E74+'Reference Standards'!$AP$133,2))),     IF(OR(AND('Quantification Tool R5'!$B$12="65abei",'Quantification Tool R5'!$B$13&lt;=2),AND(OR('Quantification Tool R5'!$B$12="68c",'Quantification Tool R5'!$B$12="68d"),'Quantification Tool R5'!$B$19="July - December"),'Quantification Tool R5'!$B$12="71e"),IF(E74&lt;0,0,IF(E74&gt;=48,0.69,ROUND('Reference Standards'!$AL$171*E74^2+'Reference Standards'!$AL$172*E74+'Reference Standards'!$AL$173,2))),IF(OR('Quantification Tool R5'!$B$12="65j",'Quantification Tool R5'!$B$12="67fhi",'Quantification Tool R5'!$B$12="67g",AND('Quantification Tool R5'!$B$12="74a",'Quantification Tool R5'!$B$19="July - December",'Quantification Tool R5'!$B$13&gt;2),AND('Quantification Tool R5'!$B$12="71i",'Quantification Tool R5'!$B$13&lt;=2)),IF(E74&lt;0,0,IF(E74&gt;=53,0.69,ROUND('Reference Standards'!$AM$171*E74^2+'Reference Standards'!$AM$172*E74+'Reference Standards'!$AM$173,2))),IF(OR(AND(OR('Quantification Tool R5'!$B$12="68b",'Quantification Tool R5'!$B$12="71f",'Quantification Tool R5'!$B$12="71g",'Quantification Tool R5'!$B$12="71h"),'Quantification Tool R5'!$B$13&gt;2),'Quantification Tool R5'!$B$12="68a"),IF(E74&lt;0,0,IF(E74&gt;=57,0.69,ROUND('Reference Standards'!$AN$171*E74^2+'Reference Standards'!$AN$172*E74+'Reference Standards'!$AN$173,2))),IF(OR('Quantification Tool R5'!$B$12="66f",'Quantification Tool R5'!$B$12="66g",'Quantification Tool R5'!$B$12="66j",AND(OR('Quantification Tool R5'!$B$12="71f",'Quantification Tool R5'!$B$12="71g",'Quantification Tool R5'!$B$12="71h"),'Quantification Tool R5'!$B$13&lt;=2)),IF(E74&lt;0,0,IF(E74&gt;=60,0.69,ROUND('Reference Standards'!$AO$171*E74^2+'Reference Standards'!$AO$172*E74+'Reference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December")),IF(E74&lt;0,0,IF(E74&gt;=67.5,0.69,ROUND('Reference Standards'!$AP$171*E74^2+'Reference Standards'!$AP$172*E74+'Reference Standards'!$AP$173,2))),IF(AND('Quantification Tool R5'!$B$12="69de",'Quantification Tool R5'!$B$19="January - June"), IF(E74&lt;0,0,IF(E74&gt;=72,0.69,ROUND('Reference Standards'!$AQ$171*E74^2+'Reference Standards'!$AQ$172*E74+'Reference Standards'!$AQ$173,2))))   )))))))))))</f>
        <v/>
      </c>
      <c r="G74" s="531"/>
      <c r="H74" s="568"/>
      <c r="I74" s="519"/>
      <c r="J74" s="559"/>
      <c r="K74" s="555"/>
      <c r="L74" s="21"/>
    </row>
    <row r="75" spans="1:12" ht="15.6" x14ac:dyDescent="0.3">
      <c r="A75" s="556"/>
      <c r="B75" s="562"/>
      <c r="C75" s="127" t="s">
        <v>336</v>
      </c>
      <c r="D75" s="71"/>
      <c r="E75" s="167"/>
      <c r="F75" s="346" t="str">
        <f>IF(E75="","",IF(OR('Quantification Tool R5'!$B$12="67fhi",'Quantification Tool R5'!$B$12="67g",'Quantification Tool R5'!$B$12="71e",'Quantification Tool R5'!$B$12="73a",'Quantification Tool R5'!$B$12="73b",AND(OR('Quantification Tool R5'!$B$12="71f",'Quantification Tool R5'!$B$12="71g",'Quantification Tool R5'!$B$12="71h"),'Quantification Tool R5'!$B$13&gt;2)),IF(E75&gt;100,0,IF(E75&lt;15,0.69,ROUND('Reference Standards'!$AL$208*E75^2+'Reference Standards'!$AL$209*E75+'Reference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),IF(E75&gt;100,0,IF(E75&lt;19,0.69,ROUND('Reference Standards'!$AM$208*E75^2+'Reference Standards'!$AM$209*E75+'Reference Standards'!$AM$210,2))),    IF(OR(AND('Quantification Tool R5'!$B$12="69de",'Quantification Tool R5'!$B$19="January - June"),AND('Quantification Tool R5'!$B$12="71i",'Quantification Tool R5'!$B$13&gt;2,'Quantification Tool R5'!$B$20="SQKICK" )),IF(E75&gt;100,0,IF(E75&lt;22,0.69,ROUND('Reference Standards'!$AN$208*E75^2+'Reference Standards'!$AN$209*E75+'Reference Standards'!$AN$210,2))),    IF(OR('Quantification Tool R5'!$B$12="65j",AND('Quantification Tool R5'!$B$12="68b",'Quantification Tool R5'!$B$13&gt;2)),IF(E75&gt;100,0,IF(E75&lt;24,0.69,ROUND('Reference Standards'!$AO$208*E75^2+'Reference Standards'!$AO$209*E75+'Reference Standards'!$AO$210,2))),    IF(AND(OR('Quantification Tool R5'!$B$12="65abei",'Quantification Tool R5'!$B$12="71f",'Quantification Tool R5'!$B$12="71g",'Quantification Tool R5'!$B$12="71h"),'Quantification Tool R5'!$B$13&lt;=2),IF(E75&gt;95,0,IF(E75&lt;33,0.69,ROUND('Reference Standards'!$AL$246*E75^2+'Reference Standards'!$AL$247*E75+'Reference Standards'!$AL$248,2))),   IF(AND(OR('Quantification Tool R5'!$B$12="65abei",'Quantification Tool R5'!$B$12="74b"),'Quantification Tool R5'!$B$13&gt;2),IF(E75&gt;97,0,IF(E75&lt;36,0.69,ROUND('Reference Standards'!$AM$246*E75^2+'Reference Standards'!$AM$247*E75+'Reference Standards'!$AM$248,2))),  IF(AND('Quantification Tool R5'!$B$12="74a",'Quantification Tool R5'!$B$19="January - June",'Quantification Tool R5'!$B$13&gt;2),IF(E75&gt;93,0,IF(E75&lt;52,0.69,ROUND('Reference Standards'!$AN$246*E75^2+'Reference Standards'!$AN$247*E75+'Reference Standards'!$AN$248,2))),   IF(AND('Quantification Tool R5'!$B$12="74b",'Quantification Tool R5'!$B$13&lt;=2),IF(E75&gt;97,0,IF(E75&lt;62,0.69,ROUND('Reference Standards'!$AO$246*E75^2+'Reference Standards'!$AO$247*E75+'Reference Standards'!$AO$248,2)))  )))))))))</f>
        <v/>
      </c>
      <c r="G75" s="531"/>
      <c r="H75" s="568"/>
      <c r="I75" s="519"/>
      <c r="J75" s="559"/>
      <c r="K75" s="555"/>
      <c r="L75" s="21"/>
    </row>
    <row r="76" spans="1:12" ht="15.6" x14ac:dyDescent="0.3">
      <c r="A76" s="556"/>
      <c r="B76" s="563" t="s">
        <v>74</v>
      </c>
      <c r="C76" s="125" t="s">
        <v>211</v>
      </c>
      <c r="D76" s="126"/>
      <c r="E76" s="166"/>
      <c r="F76" s="345" t="str">
        <f>IF(E76="","",IF(E76=1,0.15,IF(E76=3,0.5,IF(E76=5,0.85,0))))</f>
        <v/>
      </c>
      <c r="G76" s="564" t="str">
        <f>IFERROR(AVERAGE(F76:F77),"")</f>
        <v/>
      </c>
      <c r="H76" s="568"/>
      <c r="I76" s="519"/>
      <c r="J76" s="559"/>
      <c r="K76" s="555"/>
      <c r="L76" s="21"/>
    </row>
    <row r="77" spans="1:12" ht="15.6" x14ac:dyDescent="0.3">
      <c r="A77" s="551"/>
      <c r="B77" s="563"/>
      <c r="C77" s="127" t="s">
        <v>332</v>
      </c>
      <c r="D77" s="71"/>
      <c r="E77" s="167"/>
      <c r="F77" s="347" t="str">
        <f>IF(E77="","",IF(E77=1,0.15,IF(E77=3,0.5,IF(E77=5,0.85,0))))</f>
        <v/>
      </c>
      <c r="G77" s="565"/>
      <c r="H77" s="568"/>
      <c r="I77" s="519"/>
      <c r="J77" s="559"/>
      <c r="K77" s="555"/>
      <c r="L77" s="21"/>
    </row>
    <row r="78" spans="1:12" x14ac:dyDescent="0.3">
      <c r="L78" s="21"/>
    </row>
    <row r="79" spans="1:12" ht="21" x14ac:dyDescent="0.4">
      <c r="A79" s="148" t="s">
        <v>135</v>
      </c>
      <c r="B79" s="246"/>
      <c r="C79" s="249" t="s">
        <v>324</v>
      </c>
      <c r="D79" s="246"/>
      <c r="E79" s="247"/>
      <c r="F79" s="248"/>
      <c r="G79" s="544" t="s">
        <v>18</v>
      </c>
      <c r="H79" s="545"/>
      <c r="I79" s="545"/>
      <c r="J79" s="545"/>
      <c r="K79" s="546"/>
      <c r="L79" s="21"/>
    </row>
    <row r="80" spans="1:12" ht="15.6" x14ac:dyDescent="0.3">
      <c r="A80" s="158" t="s">
        <v>1</v>
      </c>
      <c r="B80" s="158" t="s">
        <v>2</v>
      </c>
      <c r="C80" s="542" t="s">
        <v>3</v>
      </c>
      <c r="D80" s="644"/>
      <c r="E80" s="158" t="s">
        <v>15</v>
      </c>
      <c r="F80" s="158" t="s">
        <v>16</v>
      </c>
      <c r="G80" s="158" t="s">
        <v>19</v>
      </c>
      <c r="H80" s="158" t="s">
        <v>20</v>
      </c>
      <c r="I80" s="314" t="s">
        <v>20</v>
      </c>
      <c r="J80" s="158" t="s">
        <v>21</v>
      </c>
      <c r="K80" s="315" t="s">
        <v>21</v>
      </c>
    </row>
    <row r="81" spans="1:11" ht="15.6" x14ac:dyDescent="0.3">
      <c r="A81" s="540" t="s">
        <v>60</v>
      </c>
      <c r="B81" s="299" t="s">
        <v>86</v>
      </c>
      <c r="C81" s="52" t="s">
        <v>388</v>
      </c>
      <c r="D81" s="52"/>
      <c r="E81" s="162"/>
      <c r="F81" s="338" t="str">
        <f>IF(E81="","",IF(E81&lt;=0,0,IF(E81&gt;=0.95,1,ROUND('Reference Standards'!C$14*E81+'Reference Standards'!C$15,2))))</f>
        <v/>
      </c>
      <c r="G81" s="83" t="str">
        <f>IFERROR(AVERAGE(F81),"")</f>
        <v/>
      </c>
      <c r="H81" s="522" t="str">
        <f>IFERROR(ROUND(AVERAGE(G81:G82),2),"")</f>
        <v/>
      </c>
      <c r="I81" s="519" t="str">
        <f>IF(H81="","",IF(H81&gt;0.69,"Functioning",IF(H81&gt;0.29,"Functioning At Risk",IF(H81&gt;-1,"Not Functioning"))))</f>
        <v/>
      </c>
      <c r="J81" s="559" t="str">
        <f>IF(AND(H81="",H83="",H85="",H107="",H111=""),"",ROUND((IF(H81="",0,H81)*0.2)+(IF(H83="",0,H83)*0.2)+(IF(H85="",0,H85)*0.2)+(IF(H107="",0,H107)*0.2)+(IF(H111="",0,H111)*0.2),2))</f>
        <v/>
      </c>
      <c r="K81" s="555" t="str">
        <f>IF(J81="","",IF(J81&lt;0.3, "Not Functioning",IF(OR(H81&lt;0.7,H83&lt;0.7,H85&lt;0.7,H107&lt;0.7,H111&lt;0.7),"Functioning At Risk",IF(J81&lt;0.7,"Functioning At Risk","Functioning"))))</f>
        <v/>
      </c>
    </row>
    <row r="82" spans="1:11" ht="15.6" x14ac:dyDescent="0.3">
      <c r="A82" s="541"/>
      <c r="B82" s="371" t="s">
        <v>128</v>
      </c>
      <c r="C82" s="373" t="s">
        <v>161</v>
      </c>
      <c r="D82" s="374"/>
      <c r="E82" s="43"/>
      <c r="F82" s="372" t="str">
        <f>IF(E82="","",IF(E82&gt;=1,1,IF(E82&lt;=0,0,ROUND(E82,2))))</f>
        <v/>
      </c>
      <c r="G82" s="367" t="str">
        <f>IFERROR(AVERAGE(F82:F82),"")</f>
        <v/>
      </c>
      <c r="H82" s="523"/>
      <c r="I82" s="519"/>
      <c r="J82" s="559"/>
      <c r="K82" s="555"/>
    </row>
    <row r="83" spans="1:11" ht="15.6" x14ac:dyDescent="0.3">
      <c r="A83" s="524" t="s">
        <v>6</v>
      </c>
      <c r="B83" s="572" t="s">
        <v>7</v>
      </c>
      <c r="C83" s="54" t="s">
        <v>8</v>
      </c>
      <c r="D83" s="54"/>
      <c r="E83" s="162"/>
      <c r="F83" s="339" t="str">
        <f>IF(E83="","",ROUND(IF(E83&gt;1.6,0,IF(E83&lt;=1,1,E83^2*'Reference Standards'!K$14+E83*'Reference Standards'!K$15+'Reference Standards'!K$16)),2))</f>
        <v/>
      </c>
      <c r="G83" s="579" t="str">
        <f>IFERROR(AVERAGE(F83:F84),"")</f>
        <v/>
      </c>
      <c r="H83" s="579" t="str">
        <f>IFERROR(ROUND(AVERAGE(G83),2),"")</f>
        <v/>
      </c>
      <c r="I83" s="569" t="str">
        <f>IF(H83="","",IF(H83&gt;0.69,"Functioning",IF(H83&gt;0.29,"Functioning At Risk",IF(H83&gt;-1,"Not Functioning"))))</f>
        <v/>
      </c>
      <c r="J83" s="559"/>
      <c r="K83" s="555"/>
    </row>
    <row r="84" spans="1:11" ht="15.6" x14ac:dyDescent="0.3">
      <c r="A84" s="525"/>
      <c r="B84" s="572"/>
      <c r="C84" s="54" t="s">
        <v>9</v>
      </c>
      <c r="D84" s="54"/>
      <c r="E84" s="163"/>
      <c r="F84" s="339" t="str">
        <f>IF(E84="","",(IF(OR('Quantification Tool R5'!B$11="A",'Quantification Tool R5'!B$11="B",'Quantification Tool R5'!$B$11="Bc"),IF(E84&lt;1.2,0,IF(E84&gt;=2.2,1,ROUND(IF(E84&lt;1.4,E84*'Reference Standards'!$K$84+'Reference Standards'!$K$85,E84*'Reference Standards'!$L$84+'Reference Standards'!$L$85),2))),IF(OR('Quantification Tool R5'!B$11="C",'Quantification Tool R5'!B$11="E"),IF(E84&lt;2,0,IF(E84&gt;=5,1,ROUND(IF(E84&lt;2.4,E84*'Reference Standards'!$L$49+'Reference Standards'!$L$50,E84*'Reference Standards'!$K$49+'Reference Standards'!$K$50),2)))))))</f>
        <v/>
      </c>
      <c r="G84" s="581"/>
      <c r="H84" s="580"/>
      <c r="I84" s="570"/>
      <c r="J84" s="559"/>
      <c r="K84" s="555"/>
    </row>
    <row r="85" spans="1:11" ht="15.6" x14ac:dyDescent="0.3">
      <c r="A85" s="526" t="s">
        <v>26</v>
      </c>
      <c r="B85" s="557" t="s">
        <v>27</v>
      </c>
      <c r="C85" s="60" t="s">
        <v>333</v>
      </c>
      <c r="D85" s="244"/>
      <c r="E85" s="61"/>
      <c r="F85" s="340" t="str">
        <f>IF(E85="","",IF(OR(LEFT('Quantification Tool R5'!$B$12,2)="65",LEFT('Quantification Tool R5'!$B$12,2)="66",LEFT('Quantification Tool R5'!$B$12,2)="71"),IF(E85&gt;=850,1,IF(E85&lt;250,ROUND('Reference Standards'!$S$17*(E85)+'Reference Standards'!$S$18,2),ROUND('Reference Standards'!$T$17*E85+'Reference Standards'!$T$18,2))),  IF(E85&gt;=345,1,IF(E85&lt;=180,ROUND('Reference Standards'!$U$17*(E85)+'Reference Standards'!$U$18,2),ROUND('Reference Standards'!$V$17*E85+'Reference Standards'!$V$18,2))))    )</f>
        <v/>
      </c>
      <c r="G85" s="528" t="str">
        <f>IFERROR(AVERAGE(F85:F86),"")</f>
        <v/>
      </c>
      <c r="H85" s="566" t="str">
        <f>IFERROR(ROUND(AVERAGE(G85:G106),2),"")</f>
        <v/>
      </c>
      <c r="I85" s="555" t="str">
        <f>IF(H85="","",IF(H85&gt;0.69,"Functioning",IF(H85&gt;0.29,"Functioning At Risk",IF(H85&gt;-1,"Not Functioning"))))</f>
        <v/>
      </c>
      <c r="J85" s="559"/>
      <c r="K85" s="555"/>
    </row>
    <row r="86" spans="1:11" ht="15.6" x14ac:dyDescent="0.3">
      <c r="A86" s="520"/>
      <c r="B86" s="558"/>
      <c r="C86" s="63" t="s">
        <v>323</v>
      </c>
      <c r="D86" s="245"/>
      <c r="E86" s="53"/>
      <c r="F86" s="341" t="str">
        <f>IF(E86="","",IF(OR(LEFT('Quantification Tool R5'!$B$12,2)="65",LEFT('Quantification Tool R5'!$B$12,2)="66",LEFT('Quantification Tool R5'!$B$12,2)="71"),IF(E86&gt;=30,1,IF(E86&lt;13,ROUND('Reference Standards'!$S$53*(E86)+'Reference Standards'!$S$54,2),ROUND('Reference Standards'!$T$53*E86+'Reference Standards'!$T$54,2))),  IF(E86&gt;=16,1,IF(E86&lt;=9,ROUND('Reference Standards'!$U$53*(E86)+'Reference Standards'!$U$54,2),ROUND('Reference Standards'!$V$53*E86+'Reference Standards'!$V$54,2))))    )</f>
        <v/>
      </c>
      <c r="G86" s="530"/>
      <c r="H86" s="566"/>
      <c r="I86" s="555"/>
      <c r="J86" s="559"/>
      <c r="K86" s="555"/>
    </row>
    <row r="87" spans="1:11" ht="15.6" x14ac:dyDescent="0.3">
      <c r="A87" s="520"/>
      <c r="B87" s="520" t="s">
        <v>395</v>
      </c>
      <c r="C87" s="58" t="s">
        <v>80</v>
      </c>
      <c r="D87" s="58"/>
      <c r="E87" s="165"/>
      <c r="F87" s="340" t="str">
        <f>IF(E87="","",ROUND(IF(E87&gt;0.7,0,IF(E87&lt;=0.1,1,E87^3*'Reference Standards'!S$87+E87^2*'Reference Standards'!S$88+E87*'Reference Standards'!S$89+'Reference Standards'!S$90)),2))</f>
        <v/>
      </c>
      <c r="G87" s="552" t="str">
        <f>IFERROR(ROUND(AVERAGE(F87:F90),2),"")</f>
        <v/>
      </c>
      <c r="H87" s="567"/>
      <c r="I87" s="555"/>
      <c r="J87" s="559"/>
      <c r="K87" s="555"/>
    </row>
    <row r="88" spans="1:11" ht="15.6" x14ac:dyDescent="0.3">
      <c r="A88" s="520"/>
      <c r="B88" s="520"/>
      <c r="C88" s="58" t="s">
        <v>49</v>
      </c>
      <c r="D88" s="58"/>
      <c r="E88" s="165"/>
      <c r="F88" s="84" t="str">
        <f>IF(E88="","",IF(OR(E88="Ex/Ex",E88="Ex/VH"),0, IF(OR(E88="Ex/H",E88="VH/Ex",E88="VH/VH", E88="H/Ex",E88="H/VH",E88="M/Ex"),0.1,IF(OR(E88="Ex/M",E88="VH/H",E88="H/H", E88="M/VH"),0.2, IF(OR(E88="Ex/L",E88="VH/M",E88="H/M", E88="M/H",E88="L/Ex"),0.3, IF(OR(E88="Ex/VL",E88="VH/L",E88="H/L"),0.4, IF(OR(E88="VH/VL",E88="H/VL",E88="M/M", E88="L/VH"),0.5, IF(OR(E88="M/L",E88="L/H"),0.6, IF(OR(E88="M/VL",E88="L/M"),0.7, IF(OR(E88="L/L",E88="L/VL"),1))))))))))</f>
        <v/>
      </c>
      <c r="G88" s="553"/>
      <c r="H88" s="567"/>
      <c r="I88" s="555"/>
      <c r="J88" s="559"/>
      <c r="K88" s="555"/>
    </row>
    <row r="89" spans="1:11" ht="15.6" x14ac:dyDescent="0.3">
      <c r="A89" s="520"/>
      <c r="B89" s="520"/>
      <c r="C89" s="58" t="s">
        <v>87</v>
      </c>
      <c r="D89" s="58"/>
      <c r="E89" s="165"/>
      <c r="F89" s="84" t="str">
        <f>IF(E89="","",ROUND(IF(E89&gt;40,0,IF(E89&lt;5,1,E89^3*'Reference Standards'!S$122+E89^2*'Reference Standards'!S$123+E89*'Reference Standards'!S$124+'Reference Standards'!S$125)),2))</f>
        <v/>
      </c>
      <c r="G89" s="553"/>
      <c r="H89" s="567"/>
      <c r="I89" s="555"/>
      <c r="J89" s="559"/>
      <c r="K89" s="555"/>
    </row>
    <row r="90" spans="1:11" ht="15.6" x14ac:dyDescent="0.3">
      <c r="A90" s="520"/>
      <c r="B90" s="521"/>
      <c r="C90" s="59" t="s">
        <v>394</v>
      </c>
      <c r="D90" s="59"/>
      <c r="E90" s="167"/>
      <c r="F90" s="341" t="str">
        <f>IF(E90="","",ROUND(IF(E90&gt;=30,0,IF(E90&lt;=0,1,E90*'Reference Standards'!S$156+'Reference Standards'!S$157)),2))</f>
        <v/>
      </c>
      <c r="G90" s="554"/>
      <c r="H90" s="567"/>
      <c r="I90" s="555"/>
      <c r="J90" s="559"/>
      <c r="K90" s="555"/>
    </row>
    <row r="91" spans="1:11" ht="15.6" x14ac:dyDescent="0.3">
      <c r="A91" s="520"/>
      <c r="B91" s="520" t="s">
        <v>50</v>
      </c>
      <c r="C91" s="60" t="s">
        <v>377</v>
      </c>
      <c r="D91" s="64"/>
      <c r="E91" s="136"/>
      <c r="F91" s="294" t="str">
        <f>IF(E91="","",ROUND(IF(E91&gt;9.2,1,E91*'Reference Standards'!$S$189+'Reference Standards'!$S$190),2))</f>
        <v/>
      </c>
      <c r="G91" s="552" t="str">
        <f>IFERROR(ROUND(AVERAGE(F91:F100),2),"")</f>
        <v/>
      </c>
      <c r="H91" s="567"/>
      <c r="I91" s="555"/>
      <c r="J91" s="559"/>
      <c r="K91" s="555"/>
    </row>
    <row r="92" spans="1:11" ht="15.6" x14ac:dyDescent="0.3">
      <c r="A92" s="520"/>
      <c r="B92" s="520"/>
      <c r="C92" s="62" t="s">
        <v>378</v>
      </c>
      <c r="D92" s="58"/>
      <c r="E92" s="162"/>
      <c r="F92" s="294" t="str">
        <f>IF(E92="","",ROUND(IF(E92&gt;9.2,1,E92*'Reference Standards'!$S$189+'Reference Standards'!$S$190),2))</f>
        <v/>
      </c>
      <c r="G92" s="553"/>
      <c r="H92" s="567"/>
      <c r="I92" s="555"/>
      <c r="J92" s="559"/>
      <c r="K92" s="555"/>
    </row>
    <row r="93" spans="1:11" ht="15.6" x14ac:dyDescent="0.3">
      <c r="A93" s="520"/>
      <c r="B93" s="520"/>
      <c r="C93" s="62" t="s">
        <v>379</v>
      </c>
      <c r="D93" s="58"/>
      <c r="E93" s="162"/>
      <c r="F93" s="294" t="str">
        <f>IF(E93="","",ROUND( IF(E93&gt;=200,1,IF(E93&lt;50, E93^2*'Reference Standards'!S$224+E93*'Reference Standards'!S$225+'Reference Standards'!S$226, E93*'Reference Standards'!T$224+'Reference Standards'!T$225)),2))</f>
        <v/>
      </c>
      <c r="G93" s="553"/>
      <c r="H93" s="567"/>
      <c r="I93" s="555"/>
      <c r="J93" s="559"/>
      <c r="K93" s="555"/>
    </row>
    <row r="94" spans="1:11" ht="15.6" x14ac:dyDescent="0.3">
      <c r="A94" s="520"/>
      <c r="B94" s="520"/>
      <c r="C94" s="62" t="s">
        <v>380</v>
      </c>
      <c r="D94" s="58"/>
      <c r="E94" s="162"/>
      <c r="F94" s="294" t="str">
        <f>IF(E94="","",ROUND( IF(E94&gt;=200,1,IF(E94&lt;50, E94^2*'Reference Standards'!S$224+E94*'Reference Standards'!S$225+'Reference Standards'!S$226, E94*'Reference Standards'!T$224+'Reference Standards'!T$225)),2))</f>
        <v/>
      </c>
      <c r="G94" s="553"/>
      <c r="H94" s="567"/>
      <c r="I94" s="555"/>
      <c r="J94" s="559"/>
      <c r="K94" s="555"/>
    </row>
    <row r="95" spans="1:11" ht="15.6" x14ac:dyDescent="0.3">
      <c r="A95" s="520"/>
      <c r="B95" s="520"/>
      <c r="C95" s="58" t="s">
        <v>381</v>
      </c>
      <c r="D95" s="58"/>
      <c r="E95" s="162"/>
      <c r="F95" s="294" t="str">
        <f>IF(E95="","",ROUND(IF(AND(E95&gt;=135,E95&lt;=262),1,IF(  E95&gt;=366,0.5, IF(E95&lt;135,E95*'Reference Standards'!S$259+'Reference Standards'!S$260, E95*'Reference Standards'!T$259+'Reference Standards'!T$260))),2))</f>
        <v/>
      </c>
      <c r="G95" s="553"/>
      <c r="H95" s="567"/>
      <c r="I95" s="555"/>
      <c r="J95" s="559"/>
      <c r="K95" s="555"/>
    </row>
    <row r="96" spans="1:11" ht="15.6" x14ac:dyDescent="0.3">
      <c r="A96" s="520"/>
      <c r="B96" s="520"/>
      <c r="C96" s="58" t="s">
        <v>382</v>
      </c>
      <c r="D96" s="58"/>
      <c r="E96" s="162"/>
      <c r="F96" s="294" t="str">
        <f>IF(E96="","",ROUND(IF(AND(E96&gt;=135,E96&lt;=262),1,IF(  E96&gt;=366,0.5, IF(E96&lt;135,E96*'Reference Standards'!S$259+'Reference Standards'!S$260, E96*'Reference Standards'!T$259+'Reference Standards'!T$260))),2))</f>
        <v/>
      </c>
      <c r="G96" s="553"/>
      <c r="H96" s="567"/>
      <c r="I96" s="555"/>
      <c r="J96" s="559"/>
      <c r="K96" s="555"/>
    </row>
    <row r="97" spans="1:13" ht="15.6" x14ac:dyDescent="0.3">
      <c r="A97" s="520"/>
      <c r="B97" s="520"/>
      <c r="C97" s="58" t="s">
        <v>383</v>
      </c>
      <c r="D97" s="58"/>
      <c r="E97" s="162"/>
      <c r="F97" s="84" t="str">
        <f>IF(E97="","",ROUND(IF(E97&gt;=75,1,IF(E97&lt;=0,0,E97*'Reference Standards'!S$330)),2))</f>
        <v/>
      </c>
      <c r="G97" s="553"/>
      <c r="H97" s="567"/>
      <c r="I97" s="555"/>
      <c r="J97" s="559"/>
      <c r="K97" s="555"/>
    </row>
    <row r="98" spans="1:13" ht="15.6" x14ac:dyDescent="0.3">
      <c r="A98" s="520"/>
      <c r="B98" s="520"/>
      <c r="C98" s="58" t="s">
        <v>384</v>
      </c>
      <c r="D98" s="58"/>
      <c r="E98" s="162"/>
      <c r="F98" s="84" t="str">
        <f>IF(E98="","",ROUND(IF(E98&gt;=75,1,IF(E98&lt;=0,0,E98*'Reference Standards'!S$330)),2))</f>
        <v/>
      </c>
      <c r="G98" s="553"/>
      <c r="H98" s="567"/>
      <c r="I98" s="555"/>
      <c r="J98" s="559"/>
      <c r="K98" s="555"/>
    </row>
    <row r="99" spans="1:13" ht="15.6" x14ac:dyDescent="0.3">
      <c r="A99" s="520"/>
      <c r="B99" s="520"/>
      <c r="C99" s="58" t="s">
        <v>385</v>
      </c>
      <c r="D99" s="58"/>
      <c r="E99" s="162"/>
      <c r="F99" s="294" t="str">
        <f>IF(E99="","",ROUND(IF(AND(E99&gt;=36.3,E99&lt;=68),1,IF(E99&gt;100,0,IF(E99&lt;36.3,(('Reference Standards'!S$297*(E99^2))+('Reference Standards'!S$298*E99)+'Reference Standards'!S$299),IF(E99&gt;68,(('Reference Standards'!T$297*(E99^2))+('Reference Standards'!T$298*E99)+'Reference Standards'!T$299))))),2))</f>
        <v/>
      </c>
      <c r="G99" s="553"/>
      <c r="H99" s="567"/>
      <c r="I99" s="555"/>
      <c r="J99" s="559"/>
      <c r="K99" s="555"/>
      <c r="M99" s="21"/>
    </row>
    <row r="100" spans="1:13" ht="15.6" x14ac:dyDescent="0.3">
      <c r="A100" s="520"/>
      <c r="B100" s="521"/>
      <c r="C100" s="58" t="s">
        <v>386</v>
      </c>
      <c r="D100" s="65"/>
      <c r="E100" s="162"/>
      <c r="F100" s="294" t="str">
        <f>IF(E100="","",ROUND(IF(AND(E100&gt;=36.3,E100&lt;=68),1,IF(E100&gt;100,0,IF(E100&lt;36.3,(('Reference Standards'!S$297*(E100^2))+('Reference Standards'!S$298*E100)+'Reference Standards'!S$299),IF(E100&gt;68,(('Reference Standards'!T$297*(E100^2))+('Reference Standards'!T$298*E100)+'Reference Standards'!T$299))))),2))</f>
        <v/>
      </c>
      <c r="G100" s="554"/>
      <c r="H100" s="567"/>
      <c r="I100" s="555"/>
      <c r="J100" s="559"/>
      <c r="K100" s="555"/>
    </row>
    <row r="101" spans="1:13" ht="15.6" x14ac:dyDescent="0.3">
      <c r="A101" s="520"/>
      <c r="B101" s="56" t="s">
        <v>108</v>
      </c>
      <c r="C101" s="72" t="s">
        <v>130</v>
      </c>
      <c r="D101" s="58"/>
      <c r="E101" s="43"/>
      <c r="F101" s="82" t="str">
        <f>IF(E101="","",IF(OR('Quantification Tool R5'!B$14="Gravel",'Quantification Tool R5'!B$14="Cobble"),IF(E101&gt;0.1,1,IF(E101&lt;=0.01,0,ROUND(E101*'Reference Standards'!$S$362+'Reference Standards'!$S$363,2)))))</f>
        <v/>
      </c>
      <c r="G101" s="82" t="str">
        <f>IFERROR(AVERAGE(F101),"")</f>
        <v/>
      </c>
      <c r="H101" s="567"/>
      <c r="I101" s="555"/>
      <c r="J101" s="559"/>
      <c r="K101" s="555"/>
    </row>
    <row r="102" spans="1:13" ht="15.6" x14ac:dyDescent="0.3">
      <c r="A102" s="520"/>
      <c r="B102" s="526" t="s">
        <v>51</v>
      </c>
      <c r="C102" s="64" t="s">
        <v>52</v>
      </c>
      <c r="D102" s="64"/>
      <c r="E102" s="166"/>
      <c r="F102" s="337" t="str">
        <f>IF(E102="","", IF(ISNUMBER('Quantification Tool R5'!$B$17), IF('Quantification Tool R5'!$B$17&lt;=2,   IF(AND(E102&gt;=3,E102&lt;=5),1, IF(OR(E102&lt;=1,E102&gt;=7), 0, ROUND( IF(E102&lt;3, E102*'Reference Standards'!S$398+'Reference Standards'!S$399,E102*'Reference Standards'!T$398+'Reference Standards'!T$399),2) ) ),   IF(E102&lt;=2.5,1, IF(E102&gt;=5.8,0, ROUND(E102*'Reference Standards'!S$430+'Reference Standards'!S$431,2))))   ))</f>
        <v/>
      </c>
      <c r="G102" s="528" t="str">
        <f>IFERROR(AVERAGE(F102:F105),"")</f>
        <v/>
      </c>
      <c r="H102" s="567"/>
      <c r="I102" s="555"/>
      <c r="J102" s="559"/>
      <c r="K102" s="555"/>
    </row>
    <row r="103" spans="1:13" ht="15.6" x14ac:dyDescent="0.3">
      <c r="A103" s="520"/>
      <c r="B103" s="520"/>
      <c r="C103" s="58" t="s">
        <v>53</v>
      </c>
      <c r="D103" s="58"/>
      <c r="E103" s="165"/>
      <c r="F103" s="84" t="str">
        <f>IF(E103="","", IF( E103&gt;=2.4,1, IF(E103&lt;=1,0,  ROUND(IF(E103&lt;2.4, E103*'Reference Standards'!$S$464+'Reference Standards'!$S$465 ),2))))</f>
        <v/>
      </c>
      <c r="G103" s="529"/>
      <c r="H103" s="567"/>
      <c r="I103" s="555"/>
      <c r="J103" s="559"/>
      <c r="K103" s="555"/>
    </row>
    <row r="104" spans="1:13" ht="15.6" x14ac:dyDescent="0.3">
      <c r="A104" s="520"/>
      <c r="B104" s="520"/>
      <c r="C104" s="58" t="s">
        <v>334</v>
      </c>
      <c r="D104" s="58"/>
      <c r="E104" s="165"/>
      <c r="F104" s="390" t="str">
        <f>IF(E104="","", IF(LEFT('Quantification Tool R5'!$B$12,2)="67",  IF( AND(E104&gt;=45,E104&lt;=65),1, IF(OR(E104&lt;=20,E104&gt;=90),0, ROUND(  IF(E104&lt;45, E104*'Reference Standards'!$S$498+'Reference Standards'!$S$499,E104*'Reference Standards'!$T$498+'Reference Standards'!$T$499),2))), IF(OR(  LEFT('Quantification Tool R5'!$B$12,2)="68", LEFT('Quantification Tool R5'!$B$12,2)="69",LEFT('Quantification Tool R5'!$B$12,2)="71"),  IF( AND(E104&gt;=30,E104&lt;=50),1, IF(OR(E104&lt;=10,E104&gt;=70),0, ROUND(  IF(E104&lt;30, E104*'Reference Standards'!$S$533+'Reference Standards'!$S$534,E104*'Reference Standards'!$T$533+'Reference Standards'!$T$534),2))), IF(LEFT('Quantification Tool R5'!$B$12,2)="66",  IF( AND(E104&gt;=20,E104&lt;=45),1, IF(OR(E104&lt;=0,E104&gt;=90),0, ROUND(  IF(E104&lt;20, E104*'Reference Standards'!$S$567+'Reference Standards'!$S$568,E104*'Reference Standards'!$T$567+'Reference Standards'!$T$568),2))), IF(OR(  LEFT('Quantification Tool R5'!$B$12,2)="65", LEFT('Quantification Tool R5'!$B$12,2)="74", LEFT('Quantification Tool R5'!$B$12,2)="73"),  IF( AND(E104&gt;=20,E104&lt;=30),1, IF(OR(E104&lt;=0,E104&gt;=50),0, ROUND(  IF(E104&lt;20, E104*'Reference Standards'!$S$601+'Reference Standards'!$S$602,E104*'Reference Standards'!$T$601+'Reference Standards'!$T$602),2))))))))</f>
        <v/>
      </c>
      <c r="G104" s="529"/>
      <c r="H104" s="567"/>
      <c r="I104" s="555"/>
      <c r="J104" s="559"/>
      <c r="K104" s="555"/>
    </row>
    <row r="105" spans="1:13" ht="15.6" x14ac:dyDescent="0.3">
      <c r="A105" s="520"/>
      <c r="B105" s="521"/>
      <c r="C105" s="62" t="s">
        <v>210</v>
      </c>
      <c r="D105" s="58"/>
      <c r="E105" s="167"/>
      <c r="F105" s="391" t="str">
        <f>IF(E105="","",IF(E105&gt;=1.6,0,IF(E105&lt;=1,1,ROUND('Reference Standards'!$S$633*E105^3+'Reference Standards'!$S$634*E105^2+'Reference Standards'!$S$635*E105+'Reference Standards'!$S$636,2))))</f>
        <v/>
      </c>
      <c r="G105" s="530"/>
      <c r="H105" s="567"/>
      <c r="I105" s="555"/>
      <c r="J105" s="559"/>
      <c r="K105" s="555"/>
      <c r="L105" s="13"/>
    </row>
    <row r="106" spans="1:13" ht="15.6" x14ac:dyDescent="0.3">
      <c r="A106" s="521"/>
      <c r="B106" s="296" t="s">
        <v>55</v>
      </c>
      <c r="C106" s="242" t="s">
        <v>54</v>
      </c>
      <c r="D106" s="243"/>
      <c r="E106" s="163"/>
      <c r="F106" s="342" t="str">
        <f>IF(E106="","",IF(AND('Quantification Tool R5'!B$11="E",'Quantification Tool R5'!$B$14="Sand",'Quantification Tool R5'!$B$21="Unconfined Alluvial"),ROUND(IF(OR(E106&gt;1.8,E106&lt;1.3),0,IF(E106&lt;=1.6,1,E106*'Reference Standards'!S$667+'Reference Standards'!S$668)),2),    IF('Quantification Tool R5'!$B$21="Unconfined Alluvial",ROUND(IF(OR(E106&lt;1.2, E106&gt;1.5),0,IF(E106&lt;=1.4,1,E106*'Reference Standards'!$S$700+'Reference Standards'!$S$701)),2), IF('Quantification Tool R5'!$B$21="Confined Alluvial",ROUND(IF(E106&lt;1.15,0,IF(E106&lt;=1.4,E106*'Reference Standards'!$S$729+'Reference Standards'!$S$730,1)),2),  IF('Quantification Tool R5'!$B$21="Colluvial",ROUND(IF(E106&gt;1.3,0,IF(E106&gt;1.2,E106*'Reference Standards'!$S$760+'Reference Standards'!$S$761,1)),2) )))))</f>
        <v/>
      </c>
      <c r="G106" s="84" t="str">
        <f>IFERROR(AVERAGE(F106),"")</f>
        <v/>
      </c>
      <c r="H106" s="567"/>
      <c r="I106" s="555"/>
      <c r="J106" s="559"/>
      <c r="K106" s="555"/>
      <c r="L106" s="13"/>
    </row>
    <row r="107" spans="1:13" ht="15.6" x14ac:dyDescent="0.3">
      <c r="A107" s="537" t="s">
        <v>58</v>
      </c>
      <c r="B107" s="67" t="s">
        <v>88</v>
      </c>
      <c r="C107" s="70" t="s">
        <v>338</v>
      </c>
      <c r="D107" s="70"/>
      <c r="E107" s="43"/>
      <c r="F107" s="343" t="str">
        <f>IF(E107="","",ROUND(IF(E107&gt;=942,0,IF(E107&lt;=487,E107*'Reference Standards'!AB$15+'Reference Standards'!AB$16,E107*'Reference Standards'!$AC$15+'Reference Standards'!$AC$16)),2))</f>
        <v/>
      </c>
      <c r="G107" s="85" t="str">
        <f>IFERROR(AVERAGE(F107),"")</f>
        <v/>
      </c>
      <c r="H107" s="547" t="str">
        <f>IFERROR(ROUND(AVERAGE(G107:G110),2),"")</f>
        <v/>
      </c>
      <c r="I107" s="534" t="str">
        <f>IF(H107="","",IF(H107&gt;0.69,"Functioning",IF(H107&gt;0.29,"Functioning At Risk",IF(H107&gt;-1,"Not Functioning"))))</f>
        <v/>
      </c>
      <c r="J107" s="559"/>
      <c r="K107" s="555"/>
      <c r="L107" s="21"/>
    </row>
    <row r="108" spans="1:13" ht="15.6" x14ac:dyDescent="0.3">
      <c r="A108" s="538"/>
      <c r="B108" s="297" t="s">
        <v>362</v>
      </c>
      <c r="C108" s="66" t="s">
        <v>354</v>
      </c>
      <c r="D108" s="66"/>
      <c r="E108" s="163"/>
      <c r="F108" s="344" t="str">
        <f>IF(E108="","",IF(OR('Quantification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June")),IF(E108&gt;93,0,IF(E108&lt;13,1,ROUND('Reference Standards'!$AB$53*E108^2+'Reference Standards'!$AB$54*E108+'Reference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R5'!$B$12="73b"),IF(E108&gt;94,0,IF(E108&lt;17,1,ROUND('Reference Standards'!$AC$53*E108^2+'Reference Standards'!$AC$54*E108+'Reference Standards'!$AC$55,2))),    IF(OR(AND(OR('Quantification Tool R5'!$B$12="68b",'Quantification Tool R5'!$B$12="71i"),'Quantification Tool R5'!$B$13&gt;2), 'Quantification Tool R5'!$B$12="71e"),IF(E108&gt;91,0,IF(E108&lt;24,1,ROUND('Reference Standards'!$AD$53*E108^2+'Reference Standards'!$AD$54*E108+'Reference Standards'!$AD$55,2))),  IF(OR(AND(OR('Quantification Tool R5'!$B$12="71f",'Quantification Tool R5'!$B$12="71g",'Quantification Tool R5'!$B$12="71h",'Quantification Tool R5'!$B$12="71i"),'Quantification Tool R5'!$B$13&lt;=2), AND('Quantification Tool R5'!$B$12="74a",'Quantification Tool R5'!$B$13&gt;2)),IF(E108&gt;95,0,IF(E108&lt;=36,1,ROUND('Reference Standards'!$AE$53*E108^2+'Reference Standards'!$AE$54*E108+'Reference Standards'!$AE$55,2))))))))</f>
        <v/>
      </c>
      <c r="G108" s="236" t="str">
        <f>IFERROR(AVERAGE(F108:F108),"")</f>
        <v/>
      </c>
      <c r="H108" s="548"/>
      <c r="I108" s="535"/>
      <c r="J108" s="559"/>
      <c r="K108" s="555"/>
      <c r="L108" s="21"/>
    </row>
    <row r="109" spans="1:13" ht="15.6" x14ac:dyDescent="0.3">
      <c r="A109" s="538"/>
      <c r="B109" s="67" t="s">
        <v>81</v>
      </c>
      <c r="C109" s="68" t="s">
        <v>281</v>
      </c>
      <c r="D109" s="68"/>
      <c r="E109" s="162"/>
      <c r="F109" s="344" t="str">
        <f>IF(E109="","",IF(ISNUMBER('Quantification Tool R5'!$B$13),IF(OR('Quantification Tool R5'!$B$12="66e",'Quantification Tool R5'!$B$12="66f",'Quantification Tool R5'!$B$12="66g"),ROUND(IF(E109&gt;=0.61,0,IF(E109&lt;=0.01,1,IF(E109&lt;=0.06,E109*'Reference Standards'!$AD$197+'Reference Standards'!$AD$198,E109^2*'Reference Standards'!$AB$196+E109*'Reference Standards'!$AB$197+'Reference Standards'!$AB$198))),2),IF('Quantification Tool R5'!$B$12="68b",ROUND(IF(E109&gt;=1.1,0,IF(E109&lt;=0.17,1,IF(E109&lt;=0.22,E109*'Reference Standards'!$AE$197+'Reference Standards'!$AE$198,E109^2*'Reference Standards'!$AC$196+E109*'Reference Standards'!$AC$197+'Reference Standards'!$AC$198))),2),IF('Quantification Tool R5'!$B$13&lt;=2.5,IF('Quantification Tool R5'!$B$12="69de",ROUND(IF(E109&gt;=0.22,0,IF(E109&lt;=0.01,1,E109^2*'Reference Standards'!$AB$90+E109*'Reference Standards'!$AB$91+'Reference Standards'!$AB$92)),2),IF('Quantification Tool R5'!$B$12="68c",ROUND(IF(E109&gt;=0.87,0,IF(E109&lt;=0.01,1,E109^2*'Reference Standards'!$AC$90+E109*'Reference Standards'!$AC$91+'Reference Standards'!$AC$92)),2),IF('Quantification Tool R5'!$B$12="68a",ROUND(IF(E109&gt;=0.81,0,IF(E109&lt;=0.01,1,E109^2*'Reference Standards'!$AD$90+E109*'Reference Standards'!$AD$91+'Reference Standards'!$AD$92)),2),IF('Quantification Tool R5'!$B$12="65abei",ROUND(IF(E109&gt;=0.67,0,IF(E109&lt;=0.01,1,IF(E109&lt;=0.18,E109*'Reference Standards'!$AG$91+'Reference Standards'!$AG$92,E109*'Reference Standards'!$AE$91+'Reference Standards'!$AE$92))),2),IF('Quantification Tool R5'!$B$12="65j",ROUND(IF(E109&gt;=0.32,0,IF(E109&lt;=0.01,1,IF(E109&lt;=0.25,E109*'Reference Standards'!$AH$91+'Reference Standards'!$AH$92,E109*'Reference Standards'!$AF$91+'Reference Standards'!$AF$92))),2),IF('Quantification Tool R5'!$B$12="71f",ROUND(IF(E109&gt;=3,0,IF(E109&lt;=0,1,IF(E109&lt;=0.01,0.7,E109^2*'Reference Standards'!$AB$126+E109*'Reference Standards'!$AB$127+'Reference Standards'!$AB$128))),2),IF('Quantification Tool R5'!$B$12="74a",ROUND(IF(E109&gt;=0.14,0,IF(E109&lt;=0.01,1,IF(E109&lt;=0.02,0.7,E109^2*'Reference Standards'!$AC$126+E109*'Reference Standards'!$AC$127+'Reference Standards'!$AC$128))),2),IF(OR('Quantification Tool R5'!$B$12="67fhi",'Quantification Tool R5'!$B$12="67g"),ROUND(IF(E109&gt;=1.9,0,IF(E109&lt;=0.01,1,IF(E109&lt;=0.05,E109*'Reference Standards'!$AF$127+'Reference Standards'!$AF$128,E109^2*'Reference Standards'!$AD$126+E109*'Reference Standards'!$AD$127+'Reference Standards'!$AD$128))),2),IF('Quantification Tool R5'!$B$12="73a",ROUND(IF(E109&gt;=1.44,0,IF(E109&lt;=0.01,1,IF(E109&lt;=0.12,E109*'Reference Standards'!$AG$127+'Reference Standards'!$AG$128,E109^2*'Reference Standards'!$AE$126+E109*'Reference Standards'!$AE$127+'Reference Standards'!$AE$128))),2),IF('Quantification Tool R5'!$B$12="66d",ROUND(IF(E109&gt;=0.46,0,IF(E109&lt;=0.02,1,IF(E109&lt;=0.08,E109*'Reference Standards'!$AF$163+'Reference Standards'!$AF$164,E109^2*'Reference Standards'!$AB$162+E109*'Reference Standards'!$AB$163+'Reference Standards'!$AB$164))),2),IF(OR('Quantification Tool R5'!$B$12="71g",'Quantification Tool R5'!$B$12="71h",'Quantification Tool R5'!$B$12="71i"),ROUND(IF(E109&gt;=3,0,IF(E109&lt;=0.06,1,IF(E109&lt;=0.24,E109*'Reference Standards'!$AG$163+'Reference Standards'!$AG$164,E109^2*'Reference Standards'!$AC$162+E109*'Reference Standards'!$AC$163+'Reference Standards'!$AC$164))),2),IF('Quantification Tool R5'!$B$12="74b",ROUND(IF(E109&gt;=1.3,0,IF(E109&lt;=0.29,1,IF(E109&lt;=0.48,E109*'Reference Standards'!$AH$163+'Reference Standards'!$AH$164,E109^2*'Reference Standards'!$AD$162+E109*'Reference Standards'!$AD$163+'Reference Standards'!$AD$164))),2),IF('Quantification Tool R5'!$B$12="71e",ROUND(IF(E109&gt;=4.3,0,IF(E109&lt;=0.53,1,IF(E109&lt;=0.67,E109*'Reference Standards'!$AI$163+'Reference Standards'!$AI$164,E109^2*'Reference Standards'!$AE$162+E109*'Reference Standards'!$AE$163+'Reference Standards'!$AE$164))),2)))))))))))))),IF('Quantification Tool R5'!$B$13&gt;2.5,IF('Quantification Tool R5'!$B$12="73a",ROUND(IF(E109&gt;=0.55,0,IF(E109&lt;=0,1,E109^2*'Reference Standards'!$AB$232+E109*'Reference Standards'!$AB$233+'Reference Standards'!$AB$234)),2),IF('Quantification Tool R5'!$B$12="68a",ROUND(IF(E109&gt;=0.54,0,IF(E109&lt;=0,1,IF(E109&lt;=0.01,0.85,E109^2*'Reference Standards'!$AC$232+E109*'Reference Standards'!$AC$233+'Reference Standards'!$AC$234))),2),IF('Quantification Tool R5'!$B$12="74a",ROUND(IF(E109&gt;=0.47,0,IF(E109&lt;=0.01,1,IF(E109&lt;=0.02,0.7,E109^2*'Reference Standards'!$AD$232+E109*'Reference Standards'!$AD$233+'Reference Standards'!$AD$234))),2),IF('Quantification Tool R5'!$B$12="69de",ROUND(IF(E109&gt;=0.26,0,IF(E109&lt;=0.01,1,IF(E109&lt;=0.02,0.85,E109^2*'Reference Standards'!$AE$232+E109*'Reference Standards'!$AE$233+'Reference Standards'!$AE$234))),2),IF('Quantification Tool R5'!$B$12="71f",ROUND(IF(E109&gt;=0.87,0,IF(E109&lt;=0.01,1,IF(E109&lt;=0.04,E109*'Reference Standards'!$AF$269+'Reference Standards'!$AF$270,E109^2*'Reference Standards'!$AB$268+E109*'Reference Standards'!$AB$269+'Reference Standards'!$AB$270))),2),IF('Quantification Tool R5'!$B$12="65abei",ROUND(IF(E109&gt;=0.82,0,IF(E109&lt;=0.01,1,IF(E109&lt;=0.06,E109*'Reference Standards'!$AG$269+'Reference Standards'!$AG$270,E109^2*'Reference Standards'!$AC$268+E109*'Reference Standards'!$AC$269+'Reference Standards'!$AC$270))),2),IF('Quantification Tool R5'!$B$12="65j",ROUND(IF(E109&gt;=0.33,0,IF(E109&lt;=0.03,1,IF(E109&lt;=0.09,E109*'Reference Standards'!$AH$269+'Reference Standards'!$AH$270,E109^2*'Reference Standards'!$AD$268+E109*'Reference Standards'!$AD$269+'Reference Standards'!$AD$270))),2),IF('Quantification Tool R5'!$B$12="68c",ROUND(IF(E109&gt;=0.7,0,IF(E109&lt;=0.07,1,IF(E109&lt;=0.12,E109*'Reference Standards'!$AI$269+'Reference Standards'!$AI$270,E109^2*'Reference Standards'!$AE$268+E109*'Reference Standards'!$AE$269+'Reference Standards'!$AE$270))),2),IF(OR('Quantification Tool R5'!$B$12="67fhi",'Quantification Tool R5'!$B$12="67g"),ROUND(IF(E109&gt;=1.8,0,IF(E109&lt;=0.08,1,IF(E109&lt;=0.2,E109*'Reference Standards'!$AF$306+'Reference Standards'!$AF$307,E109^2*'Reference Standards'!$AB$305+E109*'Reference Standards'!$AB$306+'Reference Standards'!$AB$307))),2),IF('Quantification Tool R5'!$B$12="74b",ROUND(IF(E109&gt;=0.96,0,IF(E109&lt;=0.12,1,IF(E109&lt;=0.16,E109*'Reference Standards'!$AG$306+'Reference Standards'!$AG$307,E109^2*'Reference Standards'!$AC$305+E109*'Reference Standards'!$AC$306+'Reference Standards'!$AC$307))),2),IF('Quantification Tool R5'!$B$12="66d",ROUND(IF(E109&gt;=0.75,0,IF(E109&lt;=0.13,1,IF(E109&lt;=0.2,E109*'Reference Standards'!$AH$306+'Reference Standards'!$AH$307,E109^2*'Reference Standards'!$AD$305+E109*'Reference Standards'!$AD$306+'Reference Standards'!$AD$307))),2),IF(OR('Quantification Tool R5'!$B$12="71g",'Quantification Tool R5'!$B$12="71h",'Quantification Tool R5'!$B$12="71i"),ROUND(IF(E109&gt;=1.68,0,IF(E109&lt;=0.08,1,IF(E109&lt;=0.23,E109*'Reference Standards'!$AI$306+'Reference Standards'!$AI$307,E109^2*'Reference Standards'!$AE$305+E109*'Reference Standards'!$AE$306+'Reference Standards'!$AE$307))),2),IF('Quantification Tool R5'!$B$12="71e",ROUND(IF(E109&gt;=5.3,0,IF(E109&lt;=0.94,1,IF(E109&lt;=1.4,E109*'Reference Standards'!$AF$310+'Reference Standards'!$AF$311,E109^2*'Reference Standards'!$AB$309+E109*'Reference Standards'!$AB$310+'Reference Standards'!$AB$311))),2))))))))))))))))))))</f>
        <v/>
      </c>
      <c r="G109" s="86" t="str">
        <f>IFERROR(AVERAGE(F109),"")</f>
        <v/>
      </c>
      <c r="H109" s="548"/>
      <c r="I109" s="535"/>
      <c r="J109" s="559"/>
      <c r="K109" s="555"/>
      <c r="L109" s="21"/>
    </row>
    <row r="110" spans="1:13" ht="15.6" x14ac:dyDescent="0.3">
      <c r="A110" s="539"/>
      <c r="B110" s="298" t="s">
        <v>82</v>
      </c>
      <c r="C110" s="66" t="s">
        <v>280</v>
      </c>
      <c r="D110" s="66"/>
      <c r="E110" s="136"/>
      <c r="F110" s="343" t="str">
        <f>IF(E110="","", IF(ISNUMBER('Quantification Tool R5'!$B$13),IF('Quantification Tool R5'!$B$13&gt;2.5,IF(OR('Quantification Tool R5'!$B$12="71h",'Quantification Tool R5'!$B$12="71i",'Quantification Tool R5'!$B$12="73a",'Quantification Tool R5'!$B$12="74a"),IF(E110&lt;=0.01,1,IF(OR('Quantification Tool R5'!$B$12="71h",'Quantification Tool R5'!$B$12="71i"),IF(E110&gt;0.37,0,ROUND(IF(E110&gt;0.03,'Reference Standards'!$AB$425*E110^2+'Reference Standards'!$AB$426*E110+'Reference Standards'!$AB$427,'Reference Standards'!$AF$426*E110+'Reference Standards'!$AF$427),2)),  IF('Quantification Tool R5'!$B$12="73a",IF(E110&gt;0.405,0,ROUND(IF(E110&gt;0.046,'Reference Standards'!$AC$425*E110^2+'Reference Standards'!$AC$426*E110+'Reference Standards'!$AC$427,'Reference Standards'!$AG$426*E110+'Reference Standards'!$AG$427),2)),IF('Quantification Tool R5'!$B$12="74a",IF(E110&gt;0.3,0,ROUND(IF(E110&gt;0.052,'Reference Standards'!$AD$425*E110^2+'Reference Standards'!$AD$426*E110+'Reference Standards'!$AD$427,'Reference Standards'!$AH$426*E110+'Reference Standards'!$AH$427),2)))))),   IF(E110&lt;=0.002,1,IF(OR('Quantification Tool R5'!$B$12="66d",'Quantification Tool R5'!$B$12="66e",'Quantification Tool R5'!$B$12="66g"),IF(E110&gt;0.053,0,ROUND(E110^2*'Reference Standards'!$AB$347+E110*'Reference Standards'!$AB$348+'Reference Standards'!$AB$349,2)), IF('Quantification Tool R5'!$B$12="68b",IF(E110&gt;0.05,0,ROUND(E110^2*'Reference Standards'!$AC$347+E110*'Reference Standards'!$AC$348+'Reference Standards'!$AC$349,2)),  IF(OR('Quantification Tool R5'!$B$12="68a",'Quantification Tool R5'!$B$12="68c"),IF(E110&gt;0.07,0,ROUND(E110^2*'Reference Standards'!$AD$347+E110*'Reference Standards'!$AD$348+'Reference Standards'!$AD$349,2)), IF(OR('Quantification Tool R5'!$B$12="71f",'Quantification Tool R5'!$B$12="71g"),IF(E110&gt;0.13,0,ROUND(IF(E110&gt;0.042,E110*'Reference Standards'!$AE$348+'Reference Standards'!$AE$349,E110*'Reference Standards'!$AF$348+'Reference Standards'!$AF$349),2)), IF('Quantification Tool R5'!$B$12="67fhi",IF(E110&gt;0.16,0,ROUND(E110^2*'Reference Standards'!$AG$347+E110*'Reference Standards'!$AG$348+'Reference Standards'!$AG$349,2)),  IF('Quantification Tool R5'!$B$12="65j",IF(E110&gt;0.035,0,ROUND(IF(E110&lt;=0.003,0.7,E110^2*'Reference Standards'!$AB$387+E110*'Reference Standards'!$AB$388+'Reference Standards'!$AB$389),2)),IF('Quantification Tool R5'!$B$12="69de",IF(E110&gt;0.037,0,ROUND(IF(E110&lt;=0.003,0.7,E110^2*'Reference Standards'!$AC$387+E110*'Reference Standards'!$AC$388+'Reference Standards'!$AC$389),2)),IF('Quantification Tool R5'!$B$12="71e",IF(E110&gt;0.23,0,ROUND(IF(E110&lt;=0.003,0.7,E110^2*'Reference Standards'!$AD$387+E110*'Reference Standards'!$AD$388+'Reference Standards'!$AD$389),2)),IF('Quantification Tool R5'!$B$12="66f",IF(E110&gt;0.06,0,ROUND(IF(E110&lt;=0.003,0.85,IF(E110&lt;=0.004,0.7,E110^2*'Reference Standards'!$AE$387+E110*'Reference Standards'!$AE$388+'Reference Standards'!$AE$389)),2)),IF('Quantification Tool R5'!$B$12="67g",IF(E110&gt;0.11,0,ROUND(IF(E110&lt;=0.01,E110*'Reference Standards'!$AH$388+'Reference Standards'!$AH$389, E110^2*'Reference Standards'!$AF$387+E110*'Reference Standards'!$AF$388+'Reference Standards'!$AF$389),2)),IF('Quantification Tool R5'!$B$12="74b",IF(E110&gt;0.49,0,ROUND(IF(E110&lt;=0.01,E110*'Reference Standards'!$AH$388+'Reference Standards'!$AH$389, E110^2*'Reference Standards'!$AG$387+E110*'Reference Standards'!$AG$388+'Reference Standards'!$AG$389),2)),IF('Quantification Tool R5'!$B$12="65abei",IF(E110&gt;0.199,0,ROUND(IF(E110&lt;=0.01,E110*'Reference Standards'!$AI$426+'Reference Standards'!$AI$427, E110^2*'Reference Standards'!$AE$425+E110*'Reference Standards'!$AE$426+'Reference Standards'!$AE$427),2))    )))))))))))))),      IF('Quantification Tool R5'!$B$13&lt;=2.5, IF(OR('Quantification Tool R5'!$B$12="66d",'Quantification Tool R5'!$B$12="66e",'Quantification Tool R5'!$B$12="66g"),IF(E110&gt;0.05,0,ROUND(IF(E110&lt;=0.002,1,IF(E110&lt;=0.005,E110*'Reference Standards'!$AF$464+'Reference Standards'!$AF$465, E110^2*'Reference Standards'!$AB$463+E110*'Reference Standards'!$AB$464+'Reference Standards'!$AB$465)),2)), IF('Quantification Tool R5'!$B$12="67fhi",IF(E110&gt;0.1,0,ROUND(IF(E110&lt;=0.002,1,IF(E110&lt;=0.006,E110*'Reference Standards'!$AG$464+'Reference Standards'!$AG$465, E110^2*'Reference Standards'!$AC$463+E110*'Reference Standards'!$AC$464+'Reference Standards'!$AC$465)),2)), IF('Quantification Tool R5'!$B$12="65abei",IF(E110&gt;0.13,0,ROUND(IF(E110&lt;=0.003,1,IF(E110&lt;=0.008,E110*'Reference Standards'!$AH$464+'Reference Standards'!$AH$465, E110^2*'Reference Standards'!$AD$463+E110*'Reference Standards'!$AD$464+'Reference Standards'!$AD$465)),2)), IF('Quantification Tool R5'!$B$12="68b",IF(E110&gt;0.043,0,ROUND(IF(E110&lt;=0.004,1, IF(E110&lt;=0.005,0.7, E110^2*'Reference Standards'!$AE$463+E110*'Reference Standards'!$AE$464+'Reference Standards'!$AE$465)),2)), IF('Quantification Tool R5'!$B$12="69de",IF(E110&gt;=0.034,0,ROUND(IF(E110&lt;=0.003,1, IF(E110&lt;=0.006,E110*'Reference Standards'!$AG$500+'Reference Standards'!$AG$501, E110*'Reference Standards'!$AB$500+'Reference Standards'!$AB$501)),2)), IF(OR('Quantification Tool R5'!$B$12="68a",'Quantification Tool R5'!$B$12="68c"),IF(E110&gt;0.202,0,ROUND(IF(E110&lt;=0.003,1, IF(E110&lt;=0.006,E110*'Reference Standards'!$AG$500+'Reference Standards'!$AG$501, IF(E110&gt;=0.04,E110*'Reference Standards'!$AC$500+'Reference Standards'!$AC$501,E110*'Reference Standards'!$AE$500+'Reference Standards'!$AE$501))),2)), IF(OR('Quantification Tool R5'!$B$12="71f",'Quantification Tool R5'!$B$12="71g"),IF(E110&gt;0.631,0,ROUND(IF(E110&lt;=0.003,1, IF(E110&lt;=0.006,E110*'Reference Standards'!$AG$500+'Reference Standards'!$AG$501, IF(E110&gt;=0.17,E110*'Reference Standards'!$AD$500+'Reference Standards'!$AD$501,E110*'Reference Standards'!$AF$500+'Reference Standards'!$AF$501))),2)),   IF('Quantification Tool R5'!$B$12="71e",IF(E110&gt;1.23,0,ROUND(IF(E110&lt;=0.004,1,IF(E110&lt;=0.006,E110*'Reference Standards'!$AF$538+'Reference Standards'!$AF$539, E110^2*'Reference Standards'!$AB$537+E110*'Reference Standards'!$AB$538+'Reference Standards'!$AB$539)),2)), IF('Quantification Tool R5'!$B$12="67g",IF(E110&gt;0.11,0,ROUND(IF(E110&lt;=0.006,1,IF(E110&lt;=0.011,E110*'Reference Standards'!$AG$538+'Reference Standards'!$AG$539, E110^2*'Reference Standards'!$AC$537+E110*'Reference Standards'!$AC$538+'Reference Standards'!$AC$539)),2)), IF('Quantification Tool R5'!$B$12="65j",IF(E110&gt;0.046,0,ROUND(IF(E110&lt;=0.007,1,IF(E110&lt;=0.012,E110*'Reference Standards'!$AH$538+'Reference Standards'!$AH$539, E110^2*'Reference Standards'!$AD$537+E110*'Reference Standards'!$AD$538+'Reference Standards'!$AD$539)),2)), IF('Quantification Tool R5'!$B$12="66f",IF(E110&gt;0.081,0,ROUND(IF(E110&lt;=0.008,1,IF(E110&lt;=0.011,E110*'Reference Standards'!$AI$538+'Reference Standards'!$AI$539, E110^2*'Reference Standards'!$AE$537+E110*'Reference Standards'!$AE$538+'Reference Standards'!$AE$539)),2)), IF(OR('Quantification Tool R5'!$B$12="71h",'Quantification Tool R5'!$B$12="71i"),IF(E110&gt;0.37,0,ROUND(IF(E110&lt;=0.013,1,IF(E110&lt;=0.032,E110*'Reference Standards'!$AH$576+'Reference Standards'!$AH$577, IF(E110&lt;=0.3,E110*'Reference Standards'!$AF$576+'Reference Standards'!$AF$577,E110*'Reference Standards'!$AB$576+'Reference Standards'!$AB$577))),2)), IF('Quantification Tool R5'!$B$12="73a",IF(E110&gt;0.448,0,ROUND(IF(E110&lt;=0.071,1,IF(E110&lt;=0.086,E110*'Reference Standards'!$AJ$576+'Reference Standards'!$AJ$577, IF(E110&lt;=0.165,E110*'Reference Standards'!$AG$576+'Reference Standards'!$AG$577,E110*'Reference Standards'!$AE$576+'Reference Standards'!$AE$577))),2)),  IF('Quantification Tool R5'!$B$12="74b",IF(E110&gt;0.43,0,ROUND(IF(E110&lt;=0.018,1,IF(E110&lt;=0.019,0.85, IF(E110&lt;=0.02,0.7, E110^2*'Reference Standards'!$AC$575+E110*'Reference Standards'!$AC$576+'Reference Standards'!$AC$577))),2)), IF('Quantification Tool R5'!$B$12="74a",IF(E110&gt;0.217,0,ROUND(IF(E110&lt;=0.02,1,IF(E110&lt;=0.033,E110*'Reference Standards'!$AI$576+'Reference Standards'!$AI$577, E110^2*'Reference Standards'!$AD$575+E110*'Reference Standards'!$AD$576+'Reference Standards'!$AD$577)),2))     )))))))))))))))))))</f>
        <v/>
      </c>
      <c r="G110" s="87" t="str">
        <f>IFERROR(AVERAGE(F110),"")</f>
        <v/>
      </c>
      <c r="H110" s="549"/>
      <c r="I110" s="536"/>
      <c r="J110" s="559"/>
      <c r="K110" s="555"/>
      <c r="L110" s="21"/>
    </row>
    <row r="111" spans="1:13" ht="15.6" x14ac:dyDescent="0.3">
      <c r="A111" s="550" t="s">
        <v>59</v>
      </c>
      <c r="B111" s="560" t="s">
        <v>340</v>
      </c>
      <c r="C111" s="125" t="s">
        <v>331</v>
      </c>
      <c r="D111" s="126"/>
      <c r="E111" s="166"/>
      <c r="F111" s="345" t="str">
        <f>IF(E111="","",IF(OR('Quantification Tool R5'!B$12="73a",'Quantification Tool R5'!B$12="73b"),IF(E111&lt;1,0,IF(E111&gt;=30,1,ROUND(IF(E111&lt;22,'Reference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531" t="str">
        <f>IFERROR(AVERAGE(F111:F114),"")</f>
        <v/>
      </c>
      <c r="H111" s="568" t="str">
        <f>IFERROR(ROUND(AVERAGE(G111:G116),2),"")</f>
        <v/>
      </c>
      <c r="I111" s="519" t="str">
        <f>IF(H111="","",IF(H111&gt;0.69,"Functioning",IF(H111&gt;0.29,"Functioning At Risk",IF(H111&gt;-1,"Not Functioning"))))</f>
        <v/>
      </c>
      <c r="J111" s="559"/>
      <c r="K111" s="555"/>
      <c r="L111" s="21"/>
    </row>
    <row r="112" spans="1:13" ht="15.6" x14ac:dyDescent="0.3">
      <c r="A112" s="556"/>
      <c r="B112" s="561"/>
      <c r="C112" s="174" t="s">
        <v>335</v>
      </c>
      <c r="D112" s="175"/>
      <c r="E112" s="165"/>
      <c r="F112" s="346" t="str">
        <f>IF(E112="","",IF(AND('Quantification Tool R5'!$B$12="74b",'Quantification Tool R5'!$B$13&lt;=2),IF(E112&lt;0,0,IF(E112&gt;15.6,0.69,ROUND('Reference Standards'!$AL$54*E112^2+'Reference Standards'!$AL$55*E112+'Reference Standards'!$AL$56,2))),IF(AND('Quantification Tool R5'!$B$12="65abei",'Quantification Tool R5'!$B$13&lt;=2),IF(E112&lt;0,0,IF(E112&gt;=20,0.69,ROUND('Reference Standards'!$AM$54*E112^2+'Reference Standards'!$AM$55*E112+'Reference Standards'!$AM$56,2))),IF(OR(AND('Quantification Tool R5'!$B$12="74a",'Quantification Tool R5'!$B$13&gt;2,'Quantification Tool R5'!$B$19="January - June"),AND('Quantification Tool R5'!$B$12="71i",'Quantification Tool R5'!$B$13&gt;2,'Quantification Tool R5'!$B$20="SQBANK")),IF(E112&lt;0,0,IF(E112&gt;24.7,0.69,ROUND('Reference Standards'!$AN$54*E112^2+'Reference Standards'!$AN$55*E112+'Reference Standards'!$AN$56,2))),IF(OR('Quantification Tool R5'!$B$12="74b",'Quantification Tool R5'!$B$12="65abei"),IF(E112&lt;0,0,IF(E112&gt;32.7,0.69,ROUND('Reference Standards'!$AO$54*E112^2+'Reference Standards'!$AO$55*E112+'Reference Standards'!$AO$56,2))),IF(AND('Quantification Tool R5'!$B$12="68b",'Quantification Tool R5'!$B$13&gt;2),IF(E112&lt;0,0,IF(E112&gt;41.2,0.69,ROUND('Reference Standards'!$AP$54*E112^2+'Reference Standards'!$AP$55*E112+'Reference Standards'!$AP$56,2))),IF(OR(AND('Quantification Tool R5'!$B$12="71i",'Quantification Tool R5'!$B$13&lt;=2),AND(OR('Quantification Tool R5'!$B$12="68c",'Quantification Tool R5'!$B$12="68d"),'Quantification Tool R5'!$B$19="January - June")),IF(E112&lt;0,0,IF(E112&gt;49.2,0.69,ROUND('Reference Standards'!$AL$94*E112^2+'Reference Standards'!$AL$95*E112+'Reference Standards'!$AL$96,2))),IF(OR(AND('Quantification Tool R5'!$B$12="68a",'Quantification Tool R5'!$B$19="January - June"),AND(OR('Quantification Tool R5'!$B$12="68c",'Quantification Tool R5'!$B$12="68d"),'Quantification Tool R5'!$B$19="July - December")),IF(E112&lt;0,0,IF(E112&gt;53.4,0.69,ROUND('Reference Standards'!$AM$94*E112^2+'Reference Standards'!$AM$95*E112+'Reference Standards'!$AM$96,2))),IF(OR(AND('Quantification Tool R5'!$B$12="71i",'Quantification Tool R5'!$B$13&gt;2,'Quantification Tool R5'!$B$20="SQKICK"),AND(OR('Quantification Tool R5'!$B$12="67fhi",'Quantification Tool R5'!$B$12="67g"),'Quantification Tool R5'!$B$13&lt;=2),'Quantification Tool R5'!$B$12="65j"),IF(E112&lt;0,0,IF(E112&gt;57.8,0.69,ROUND('Reference Standards'!$AN$94*E112^2+'Reference Standards'!$AN$95*E112+'Reference Standards'!$AN$96,2))),IF(OR(AND('Quantification Tool R5'!$B$12="74a",'Quantification Tool R5'!$B$13&gt;2,'Quantification Tool R5'!$B$19="July - December"),AND(OR('Quantification Tool R5'!$B$12="67fhi",'Quantification Tool R5'!$B$12="67g"),'Quantification Tool R5'!$B$13&gt;2),'Quantification Tool R5'!$B$12="69de"),IF(E112&lt;0,0,IF(E112&gt;62.5,0.69,ROUND('Reference Standards'!$AO$94*E112^2+'Reference Standards'!$AO$95*E112+'Reference Standards'!$AO$96,2))),  IF(OR('Quantification Tool R5'!$B$12="66d",'Quantification Tool R5'!$B$12="66e",'Quantification Tool R5'!$B$12="66ik",'Quantification Tool R5'!$B$12="71e",'Quantification Tool R5'!$B$12="71f",'Quantification Tool R5'!$B$12="71g",'Quantification Tool R5'!$B$12="71h"),IF(E112&lt;0,0,IF(E112&gt;66.5,0.69,ROUND('Reference Standards'!$AP$94*E112^2+'Reference Standards'!$AP$95*E112+'Reference Standards'!$AP$96,2))),IF(OR('Quantification Tool R5'!$B$12="66f",'Quantification Tool R5'!$B$12="66g",'Quantification Tool R5'!$B$12="66j",AND('Quantification Tool R5'!$B$12="68a",'Quantification Tool R5'!$B$19="July - December")), IF(E112&lt;0,0,IF(E112&gt;69,0.69,ROUND('Reference Standards'!$AQ$94*E112^2+'Reference Standards'!$AQ$95*E112+'Reference Standards'!$AQ$96,2))))   )))))))))))</f>
        <v/>
      </c>
      <c r="G112" s="531"/>
      <c r="H112" s="568"/>
      <c r="I112" s="519"/>
      <c r="J112" s="559"/>
      <c r="K112" s="555"/>
      <c r="L112" s="21"/>
    </row>
    <row r="113" spans="1:12" ht="15.6" x14ac:dyDescent="0.3">
      <c r="A113" s="556"/>
      <c r="B113" s="561"/>
      <c r="C113" s="174" t="s">
        <v>339</v>
      </c>
      <c r="D113" s="175"/>
      <c r="E113" s="165"/>
      <c r="F113" s="346" t="str">
        <f>IF(E113="","",IF(AND('Quantification Tool R5'!$B$12="74b",'Quantification Tool R5'!$B$13&lt;=2),IF(E113&lt;0,0,IF(E113&gt;8.1,0.69,ROUND('Reference Standards'!$AL$131*E113^2+'Reference Standards'!$AL$132*E113+'Reference Standards'!$AL$133,2))),IF(OR('Quantification Tool R5'!$B$12="73a",'Quantification Tool R5'!$B$12="73b"),IF(E113&lt;0,0,IF(E113&gt;=28,0.69,ROUND('Reference Standards'!$AM$131*E113^2+'Reference Standards'!$AM$132*E113+'Reference Standards'!$AM$133,2))),IF(AND('Quantification Tool R5'!$B$12="74a",'Quantification Tool R5'!$B$13&gt;2,'Quantification Tool R5'!$B$19="January - June"),IF(E113&lt;0,0,IF(E113&gt;=32.5,0.69,ROUND('Reference Standards'!$AN$131*E113^2+'Reference Standards'!$AN$132*E113+'Reference Standards'!$AN$133,2))),IF(AND('Quantification Tool R5'!$B$12="71i",'Quantification Tool R5'!$B$13&gt;2,'Quantification Tool R5'!$B$20="SQBANK"),IF(E113&lt;0,0,IF(E113&gt;=37,0.69,ROUND('Reference Standards'!$AO$131*E113^2+'Reference Standards'!$AO$132*E113+'Reference Standards'!$AO$133,2))),IF(OR(AND(OR('Quantification Tool R5'!$B$12="65abei",'Quantification Tool R5'!$B$12="74b"),'Quantification Tool R5'!$B$13&gt;2),AND('Quantification Tool R5'!$B$12="71i",'Quantification Tool R5'!$B$13&gt;2,'Quantification Tool R5'!$B$20="SQKICK")),IF(E113&lt;0,0,IF(E113&gt;42.6,0.69,ROUND('Reference Standards'!$AP$131*E113^2+'Reference Standards'!$AP$132*E113+'Reference Standards'!$AP$133,2))),     IF(OR(AND('Quantification Tool R5'!$B$12="65abei",'Quantification Tool R5'!$B$13&lt;=2),AND(OR('Quantification Tool R5'!$B$12="68c",'Quantification Tool R5'!$B$12="68d"),'Quantification Tool R5'!$B$19="July - December"),'Quantification Tool R5'!$B$12="71e"),IF(E113&lt;0,0,IF(E113&gt;=48,0.69,ROUND('Reference Standards'!$AL$171*E113^2+'Reference Standards'!$AL$172*E113+'Reference Standards'!$AL$173,2))),IF(OR('Quantification Tool R5'!$B$12="65j",'Quantification Tool R5'!$B$12="67fhi",'Quantification Tool R5'!$B$12="67g",AND('Quantification Tool R5'!$B$12="74a",'Quantification Tool R5'!$B$19="July - December",'Quantification Tool R5'!$B$13&gt;2),AND('Quantification Tool R5'!$B$12="71i",'Quantification Tool R5'!$B$13&lt;=2)),IF(E113&lt;0,0,IF(E113&gt;=53,0.69,ROUND('Reference Standards'!$AM$171*E113^2+'Reference Standards'!$AM$172*E113+'Reference Standards'!$AM$173,2))),IF(OR(AND(OR('Quantification Tool R5'!$B$12="68b",'Quantification Tool R5'!$B$12="71f",'Quantification Tool R5'!$B$12="71g",'Quantification Tool R5'!$B$12="71h"),'Quantification Tool R5'!$B$13&gt;2),'Quantification Tool R5'!$B$12="68a"),IF(E113&lt;0,0,IF(E113&gt;=57,0.69,ROUND('Reference Standards'!$AN$171*E113^2+'Reference Standards'!$AN$172*E113+'Reference Standards'!$AN$173,2))),IF(OR('Quantification Tool R5'!$B$12="66f",'Quantification Tool R5'!$B$12="66g",'Quantification Tool R5'!$B$12="66j",AND(OR('Quantification Tool R5'!$B$12="71f",'Quantification Tool R5'!$B$12="71g",'Quantification Tool R5'!$B$12="71h"),'Quantification Tool R5'!$B$13&lt;=2)),IF(E113&lt;0,0,IF(E113&gt;=60,0.69,ROUND('Reference Standards'!$AO$171*E113^2+'Reference Standards'!$AO$172*E113+'Reference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December")),IF(E113&lt;0,0,IF(E113&gt;=67.5,0.69,ROUND('Reference Standards'!$AP$171*E113^2+'Reference Standards'!$AP$172*E113+'Reference Standards'!$AP$173,2))),IF(AND('Quantification Tool R5'!$B$12="69de",'Quantification Tool R5'!$B$19="January - June"), IF(E113&lt;0,0,IF(E113&gt;=72,0.69,ROUND('Reference Standards'!$AQ$171*E113^2+'Reference Standards'!$AQ$172*E113+'Reference Standards'!$AQ$173,2))))   )))))))))))</f>
        <v/>
      </c>
      <c r="G113" s="531"/>
      <c r="H113" s="568"/>
      <c r="I113" s="519"/>
      <c r="J113" s="559"/>
      <c r="K113" s="555"/>
      <c r="L113" s="21"/>
    </row>
    <row r="114" spans="1:12" ht="15.6" x14ac:dyDescent="0.3">
      <c r="A114" s="556"/>
      <c r="B114" s="562"/>
      <c r="C114" s="127" t="s">
        <v>336</v>
      </c>
      <c r="D114" s="71"/>
      <c r="E114" s="167"/>
      <c r="F114" s="346" t="str">
        <f>IF(E114="","",IF(OR('Quantification Tool R5'!$B$12="67fhi",'Quantification Tool R5'!$B$12="67g",'Quantification Tool R5'!$B$12="71e",'Quantification Tool R5'!$B$12="73a",'Quantification Tool R5'!$B$12="73b",AND(OR('Quantification Tool R5'!$B$12="71f",'Quantification Tool R5'!$B$12="71g",'Quantification Tool R5'!$B$12="71h"),'Quantification Tool R5'!$B$13&gt;2)),IF(E114&gt;100,0,IF(E114&lt;15,0.69,ROUND('Reference Standards'!$AL$208*E114^2+'Reference Standards'!$AL$209*E114+'Reference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),IF(E114&gt;100,0,IF(E114&lt;19,0.69,ROUND('Reference Standards'!$AM$208*E114^2+'Reference Standards'!$AM$209*E114+'Reference Standards'!$AM$210,2))),    IF(OR(AND('Quantification Tool R5'!$B$12="69de",'Quantification Tool R5'!$B$19="January - June"),AND('Quantification Tool R5'!$B$12="71i",'Quantification Tool R5'!$B$13&gt;2,'Quantification Tool R5'!$B$20="SQKICK" )),IF(E114&gt;100,0,IF(E114&lt;22,0.69,ROUND('Reference Standards'!$AN$208*E114^2+'Reference Standards'!$AN$209*E114+'Reference Standards'!$AN$210,2))),    IF(OR('Quantification Tool R5'!$B$12="65j",AND('Quantification Tool R5'!$B$12="68b",'Quantification Tool R5'!$B$13&gt;2)),IF(E114&gt;100,0,IF(E114&lt;24,0.69,ROUND('Reference Standards'!$AO$208*E114^2+'Reference Standards'!$AO$209*E114+'Reference Standards'!$AO$210,2))),    IF(AND(OR('Quantification Tool R5'!$B$12="65abei",'Quantification Tool R5'!$B$12="71f",'Quantification Tool R5'!$B$12="71g",'Quantification Tool R5'!$B$12="71h"),'Quantification Tool R5'!$B$13&lt;=2),IF(E114&gt;95,0,IF(E114&lt;33,0.69,ROUND('Reference Standards'!$AL$246*E114^2+'Reference Standards'!$AL$247*E114+'Reference Standards'!$AL$248,2))),   IF(AND(OR('Quantification Tool R5'!$B$12="65abei",'Quantification Tool R5'!$B$12="74b"),'Quantification Tool R5'!$B$13&gt;2),IF(E114&gt;97,0,IF(E114&lt;36,0.69,ROUND('Reference Standards'!$AM$246*E114^2+'Reference Standards'!$AM$247*E114+'Reference Standards'!$AM$248,2))),  IF(AND('Quantification Tool R5'!$B$12="74a",'Quantification Tool R5'!$B$19="January - June",'Quantification Tool R5'!$B$13&gt;2),IF(E114&gt;93,0,IF(E114&lt;52,0.69,ROUND('Reference Standards'!$AN$246*E114^2+'Reference Standards'!$AN$247*E114+'Reference Standards'!$AN$248,2))),   IF(AND('Quantification Tool R5'!$B$12="74b",'Quantification Tool R5'!$B$13&lt;=2),IF(E114&gt;97,0,IF(E114&lt;62,0.69,ROUND('Reference Standards'!$AO$246*E114^2+'Reference Standards'!$AO$247*E114+'Reference Standards'!$AO$248,2)))  )))))))))</f>
        <v/>
      </c>
      <c r="G114" s="531"/>
      <c r="H114" s="568"/>
      <c r="I114" s="519"/>
      <c r="J114" s="559"/>
      <c r="K114" s="555"/>
      <c r="L114" s="21"/>
    </row>
    <row r="115" spans="1:12" ht="15.6" x14ac:dyDescent="0.3">
      <c r="A115" s="556"/>
      <c r="B115" s="563" t="s">
        <v>74</v>
      </c>
      <c r="C115" s="125" t="s">
        <v>211</v>
      </c>
      <c r="D115" s="126"/>
      <c r="E115" s="166"/>
      <c r="F115" s="345" t="str">
        <f>IF(E115="","",IF(E115=1,0.15,IF(E115=3,0.5,IF(E115=5,0.85,0))))</f>
        <v/>
      </c>
      <c r="G115" s="564" t="str">
        <f>IFERROR(AVERAGE(F115:F116),"")</f>
        <v/>
      </c>
      <c r="H115" s="568"/>
      <c r="I115" s="519"/>
      <c r="J115" s="559"/>
      <c r="K115" s="555"/>
      <c r="L115" s="21"/>
    </row>
    <row r="116" spans="1:12" ht="15.6" x14ac:dyDescent="0.3">
      <c r="A116" s="551"/>
      <c r="B116" s="563"/>
      <c r="C116" s="127" t="s">
        <v>332</v>
      </c>
      <c r="D116" s="71"/>
      <c r="E116" s="167"/>
      <c r="F116" s="347" t="str">
        <f>IF(E116="","",IF(E116=1,0.15,IF(E116=3,0.5,IF(E116=5,0.85,0))))</f>
        <v/>
      </c>
      <c r="G116" s="565"/>
      <c r="H116" s="568"/>
      <c r="I116" s="519"/>
      <c r="J116" s="559"/>
      <c r="K116" s="555"/>
      <c r="L116" s="21"/>
    </row>
    <row r="117" spans="1:12" x14ac:dyDescent="0.3">
      <c r="L117" s="21"/>
    </row>
    <row r="118" spans="1:12" ht="21" x14ac:dyDescent="0.4">
      <c r="A118" s="148" t="s">
        <v>135</v>
      </c>
      <c r="B118" s="246"/>
      <c r="C118" s="249" t="s">
        <v>324</v>
      </c>
      <c r="D118" s="246"/>
      <c r="E118" s="247"/>
      <c r="F118" s="248"/>
      <c r="G118" s="544" t="s">
        <v>18</v>
      </c>
      <c r="H118" s="545"/>
      <c r="I118" s="545"/>
      <c r="J118" s="545"/>
      <c r="K118" s="546"/>
      <c r="L118" s="21"/>
    </row>
    <row r="119" spans="1:12" ht="15.6" x14ac:dyDescent="0.3">
      <c r="A119" s="158" t="s">
        <v>1</v>
      </c>
      <c r="B119" s="158" t="s">
        <v>2</v>
      </c>
      <c r="C119" s="542" t="s">
        <v>3</v>
      </c>
      <c r="D119" s="644"/>
      <c r="E119" s="158" t="s">
        <v>15</v>
      </c>
      <c r="F119" s="158" t="s">
        <v>16</v>
      </c>
      <c r="G119" s="158" t="s">
        <v>19</v>
      </c>
      <c r="H119" s="158" t="s">
        <v>20</v>
      </c>
      <c r="I119" s="314" t="s">
        <v>20</v>
      </c>
      <c r="J119" s="158" t="s">
        <v>21</v>
      </c>
      <c r="K119" s="315" t="s">
        <v>21</v>
      </c>
    </row>
    <row r="120" spans="1:12" ht="15.6" x14ac:dyDescent="0.3">
      <c r="A120" s="540" t="s">
        <v>60</v>
      </c>
      <c r="B120" s="299" t="s">
        <v>86</v>
      </c>
      <c r="C120" s="52" t="s">
        <v>388</v>
      </c>
      <c r="D120" s="52"/>
      <c r="E120" s="162"/>
      <c r="F120" s="338" t="str">
        <f>IF(E120="","",IF(E120&lt;=0,0,IF(E120&gt;=0.95,1,ROUND('Reference Standards'!C$14*E120+'Reference Standards'!C$15,2))))</f>
        <v/>
      </c>
      <c r="G120" s="83" t="str">
        <f>IFERROR(AVERAGE(F120),"")</f>
        <v/>
      </c>
      <c r="H120" s="522" t="str">
        <f>IFERROR(ROUND(AVERAGE(G120:G121),2),"")</f>
        <v/>
      </c>
      <c r="I120" s="519" t="str">
        <f>IF(H120="","",IF(H120&gt;0.69,"Functioning",IF(H120&gt;0.29,"Functioning At Risk",IF(H120&gt;-1,"Not Functioning"))))</f>
        <v/>
      </c>
      <c r="J120" s="559" t="str">
        <f>IF(AND(H120="",H122="",H124="",H146="",H150=""),"",ROUND((IF(H120="",0,H120)*0.2)+(IF(H122="",0,H122)*0.2)+(IF(H124="",0,H124)*0.2)+(IF(H146="",0,H146)*0.2)+(IF(H150="",0,H150)*0.2),2))</f>
        <v/>
      </c>
      <c r="K120" s="555" t="str">
        <f>IF(J120="","",IF(J120&lt;0.3, "Not Functioning",IF(OR(H120&lt;0.7,H122&lt;0.7,H124&lt;0.7,H146&lt;0.7,H150&lt;0.7),"Functioning At Risk",IF(J120&lt;0.7,"Functioning At Risk","Functioning"))))</f>
        <v/>
      </c>
    </row>
    <row r="121" spans="1:12" ht="15.6" x14ac:dyDescent="0.3">
      <c r="A121" s="541"/>
      <c r="B121" s="371" t="s">
        <v>128</v>
      </c>
      <c r="C121" s="373" t="s">
        <v>161</v>
      </c>
      <c r="D121" s="374"/>
      <c r="E121" s="43"/>
      <c r="F121" s="372" t="str">
        <f>IF(E121="","",IF(E121&gt;=1,1,IF(E121&lt;=0,0,ROUND(E121,2))))</f>
        <v/>
      </c>
      <c r="G121" s="367" t="str">
        <f>IFERROR(AVERAGE(F121:F121),"")</f>
        <v/>
      </c>
      <c r="H121" s="523"/>
      <c r="I121" s="519"/>
      <c r="J121" s="559"/>
      <c r="K121" s="555"/>
    </row>
    <row r="122" spans="1:12" ht="15.6" x14ac:dyDescent="0.3">
      <c r="A122" s="524" t="s">
        <v>6</v>
      </c>
      <c r="B122" s="572" t="s">
        <v>7</v>
      </c>
      <c r="C122" s="54" t="s">
        <v>8</v>
      </c>
      <c r="D122" s="54"/>
      <c r="E122" s="162"/>
      <c r="F122" s="339" t="str">
        <f>IF(E122="","",ROUND(IF(E122&gt;1.6,0,IF(E122&lt;=1,1,E122^2*'Reference Standards'!K$14+E122*'Reference Standards'!K$15+'Reference Standards'!K$16)),2))</f>
        <v/>
      </c>
      <c r="G122" s="579" t="str">
        <f>IFERROR(AVERAGE(F122:F123),"")</f>
        <v/>
      </c>
      <c r="H122" s="579" t="str">
        <f>IFERROR(ROUND(AVERAGE(G122),2),"")</f>
        <v/>
      </c>
      <c r="I122" s="569" t="str">
        <f>IF(H122="","",IF(H122&gt;0.69,"Functioning",IF(H122&gt;0.29,"Functioning At Risk",IF(H122&gt;-1,"Not Functioning"))))</f>
        <v/>
      </c>
      <c r="J122" s="559"/>
      <c r="K122" s="555"/>
    </row>
    <row r="123" spans="1:12" ht="15.6" x14ac:dyDescent="0.3">
      <c r="A123" s="525"/>
      <c r="B123" s="572"/>
      <c r="C123" s="54" t="s">
        <v>9</v>
      </c>
      <c r="D123" s="54"/>
      <c r="E123" s="163"/>
      <c r="F123" s="339" t="str">
        <f>IF(E123="","",(IF(OR('Quantification Tool R5'!B$11="A",'Quantification Tool R5'!B$11="B",'Quantification Tool R5'!$B$11="Bc"),IF(E123&lt;1.2,0,IF(E123&gt;=2.2,1,ROUND(IF(E123&lt;1.4,E123*'Reference Standards'!$K$84+'Reference Standards'!$K$85,E123*'Reference Standards'!$L$84+'Reference Standards'!$L$85),2))),IF(OR('Quantification Tool R5'!B$11="C",'Quantification Tool R5'!B$11="E"),IF(E123&lt;2,0,IF(E123&gt;=5,1,ROUND(IF(E123&lt;2.4,E123*'Reference Standards'!$L$49+'Reference Standards'!$L$50,E123*'Reference Standards'!$K$49+'Reference Standards'!$K$50),2)))))))</f>
        <v/>
      </c>
      <c r="G123" s="581"/>
      <c r="H123" s="580"/>
      <c r="I123" s="570"/>
      <c r="J123" s="559"/>
      <c r="K123" s="555"/>
    </row>
    <row r="124" spans="1:12" ht="15.6" x14ac:dyDescent="0.3">
      <c r="A124" s="526" t="s">
        <v>26</v>
      </c>
      <c r="B124" s="557" t="s">
        <v>27</v>
      </c>
      <c r="C124" s="60" t="s">
        <v>333</v>
      </c>
      <c r="D124" s="244"/>
      <c r="E124" s="61"/>
      <c r="F124" s="340" t="str">
        <f>IF(E124="","",IF(OR(LEFT('Quantification Tool R5'!$B$12,2)="65",LEFT('Quantification Tool R5'!$B$12,2)="66",LEFT('Quantification Tool R5'!$B$12,2)="71"),IF(E124&gt;=850,1,IF(E124&lt;250,ROUND('Reference Standards'!$S$17*(E124)+'Reference Standards'!$S$18,2),ROUND('Reference Standards'!$T$17*E124+'Reference Standards'!$T$18,2))),  IF(E124&gt;=345,1,IF(E124&lt;=180,ROUND('Reference Standards'!$U$17*(E124)+'Reference Standards'!$U$18,2),ROUND('Reference Standards'!$V$17*E124+'Reference Standards'!$V$18,2))))    )</f>
        <v/>
      </c>
      <c r="G124" s="528" t="str">
        <f>IFERROR(AVERAGE(F124:F125),"")</f>
        <v/>
      </c>
      <c r="H124" s="566" t="str">
        <f>IFERROR(ROUND(AVERAGE(G124:G145),2),"")</f>
        <v/>
      </c>
      <c r="I124" s="555" t="str">
        <f>IF(H124="","",IF(H124&gt;0.69,"Functioning",IF(H124&gt;0.29,"Functioning At Risk",IF(H124&gt;-1,"Not Functioning"))))</f>
        <v/>
      </c>
      <c r="J124" s="559"/>
      <c r="K124" s="555"/>
    </row>
    <row r="125" spans="1:12" ht="15.6" x14ac:dyDescent="0.3">
      <c r="A125" s="520"/>
      <c r="B125" s="558"/>
      <c r="C125" s="63" t="s">
        <v>323</v>
      </c>
      <c r="D125" s="245"/>
      <c r="E125" s="53"/>
      <c r="F125" s="341" t="str">
        <f>IF(E125="","",IF(OR(LEFT('Quantification Tool R5'!$B$12,2)="65",LEFT('Quantification Tool R5'!$B$12,2)="66",LEFT('Quantification Tool R5'!$B$12,2)="71"),IF(E125&gt;=30,1,IF(E125&lt;13,ROUND('Reference Standards'!$S$53*(E125)+'Reference Standards'!$S$54,2),ROUND('Reference Standards'!$T$53*E125+'Reference Standards'!$T$54,2))),  IF(E125&gt;=16,1,IF(E125&lt;=9,ROUND('Reference Standards'!$U$53*(E125)+'Reference Standards'!$U$54,2),ROUND('Reference Standards'!$V$53*E125+'Reference Standards'!$V$54,2))))    )</f>
        <v/>
      </c>
      <c r="G125" s="530"/>
      <c r="H125" s="566"/>
      <c r="I125" s="555"/>
      <c r="J125" s="559"/>
      <c r="K125" s="555"/>
    </row>
    <row r="126" spans="1:12" ht="15.6" x14ac:dyDescent="0.3">
      <c r="A126" s="520"/>
      <c r="B126" s="520" t="s">
        <v>395</v>
      </c>
      <c r="C126" s="58" t="s">
        <v>80</v>
      </c>
      <c r="D126" s="58"/>
      <c r="E126" s="165"/>
      <c r="F126" s="340" t="str">
        <f>IF(E126="","",ROUND(IF(E126&gt;0.7,0,IF(E126&lt;=0.1,1,E126^3*'Reference Standards'!S$87+E126^2*'Reference Standards'!S$88+E126*'Reference Standards'!S$89+'Reference Standards'!S$90)),2))</f>
        <v/>
      </c>
      <c r="G126" s="552" t="str">
        <f>IFERROR(ROUND(AVERAGE(F126:F129),2),"")</f>
        <v/>
      </c>
      <c r="H126" s="567"/>
      <c r="I126" s="555"/>
      <c r="J126" s="559"/>
      <c r="K126" s="555"/>
    </row>
    <row r="127" spans="1:12" ht="15.6" x14ac:dyDescent="0.3">
      <c r="A127" s="520"/>
      <c r="B127" s="520"/>
      <c r="C127" s="58" t="s">
        <v>49</v>
      </c>
      <c r="D127" s="58"/>
      <c r="E127" s="165"/>
      <c r="F127" s="84"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553"/>
      <c r="H127" s="567"/>
      <c r="I127" s="555"/>
      <c r="J127" s="559"/>
      <c r="K127" s="555"/>
    </row>
    <row r="128" spans="1:12" ht="15.6" x14ac:dyDescent="0.3">
      <c r="A128" s="520"/>
      <c r="B128" s="520"/>
      <c r="C128" s="58" t="s">
        <v>87</v>
      </c>
      <c r="D128" s="58"/>
      <c r="E128" s="165"/>
      <c r="F128" s="84" t="str">
        <f>IF(E128="","",ROUND(IF(E128&gt;40,0,IF(E128&lt;5,1,E128^3*'Reference Standards'!S$122+E128^2*'Reference Standards'!S$123+E128*'Reference Standards'!S$124+'Reference Standards'!S$125)),2))</f>
        <v/>
      </c>
      <c r="G128" s="553"/>
      <c r="H128" s="567"/>
      <c r="I128" s="555"/>
      <c r="J128" s="559"/>
      <c r="K128" s="555"/>
    </row>
    <row r="129" spans="1:13" ht="15.6" x14ac:dyDescent="0.3">
      <c r="A129" s="520"/>
      <c r="B129" s="521"/>
      <c r="C129" s="59" t="s">
        <v>394</v>
      </c>
      <c r="D129" s="59"/>
      <c r="E129" s="167"/>
      <c r="F129" s="341" t="str">
        <f>IF(E129="","",ROUND(IF(E129&gt;=30,0,IF(E129&lt;=0,1,E129*'Reference Standards'!S$156+'Reference Standards'!S$157)),2))</f>
        <v/>
      </c>
      <c r="G129" s="554"/>
      <c r="H129" s="567"/>
      <c r="I129" s="555"/>
      <c r="J129" s="559"/>
      <c r="K129" s="555"/>
    </row>
    <row r="130" spans="1:13" ht="15.6" x14ac:dyDescent="0.3">
      <c r="A130" s="520"/>
      <c r="B130" s="520" t="s">
        <v>50</v>
      </c>
      <c r="C130" s="60" t="s">
        <v>377</v>
      </c>
      <c r="D130" s="64"/>
      <c r="E130" s="136"/>
      <c r="F130" s="294" t="str">
        <f>IF(E130="","",ROUND(IF(E130&gt;9.2,1,E130*'Reference Standards'!$S$189+'Reference Standards'!$S$190),2))</f>
        <v/>
      </c>
      <c r="G130" s="552" t="str">
        <f>IFERROR(ROUND(AVERAGE(F130:F139),2),"")</f>
        <v/>
      </c>
      <c r="H130" s="567"/>
      <c r="I130" s="555"/>
      <c r="J130" s="559"/>
      <c r="K130" s="555"/>
    </row>
    <row r="131" spans="1:13" ht="15.6" x14ac:dyDescent="0.3">
      <c r="A131" s="520"/>
      <c r="B131" s="520"/>
      <c r="C131" s="62" t="s">
        <v>378</v>
      </c>
      <c r="D131" s="58"/>
      <c r="E131" s="162"/>
      <c r="F131" s="294" t="str">
        <f>IF(E131="","",ROUND(IF(E131&gt;9.2,1,E131*'Reference Standards'!$S$189+'Reference Standards'!$S$190),2))</f>
        <v/>
      </c>
      <c r="G131" s="553"/>
      <c r="H131" s="567"/>
      <c r="I131" s="555"/>
      <c r="J131" s="559"/>
      <c r="K131" s="555"/>
    </row>
    <row r="132" spans="1:13" ht="15.6" x14ac:dyDescent="0.3">
      <c r="A132" s="520"/>
      <c r="B132" s="520"/>
      <c r="C132" s="62" t="s">
        <v>379</v>
      </c>
      <c r="D132" s="58"/>
      <c r="E132" s="162"/>
      <c r="F132" s="294" t="str">
        <f>IF(E132="","",ROUND( IF(E132&gt;=200,1,IF(E132&lt;50, E132^2*'Reference Standards'!S$224+E132*'Reference Standards'!S$225+'Reference Standards'!S$226, E132*'Reference Standards'!T$224+'Reference Standards'!T$225)),2))</f>
        <v/>
      </c>
      <c r="G132" s="553"/>
      <c r="H132" s="567"/>
      <c r="I132" s="555"/>
      <c r="J132" s="559"/>
      <c r="K132" s="555"/>
    </row>
    <row r="133" spans="1:13" ht="15.6" x14ac:dyDescent="0.3">
      <c r="A133" s="520"/>
      <c r="B133" s="520"/>
      <c r="C133" s="62" t="s">
        <v>380</v>
      </c>
      <c r="D133" s="58"/>
      <c r="E133" s="162"/>
      <c r="F133" s="294" t="str">
        <f>IF(E133="","",ROUND( IF(E133&gt;=200,1,IF(E133&lt;50, E133^2*'Reference Standards'!S$224+E133*'Reference Standards'!S$225+'Reference Standards'!S$226, E133*'Reference Standards'!T$224+'Reference Standards'!T$225)),2))</f>
        <v/>
      </c>
      <c r="G133" s="553"/>
      <c r="H133" s="567"/>
      <c r="I133" s="555"/>
      <c r="J133" s="559"/>
      <c r="K133" s="555"/>
    </row>
    <row r="134" spans="1:13" ht="15.6" x14ac:dyDescent="0.3">
      <c r="A134" s="520"/>
      <c r="B134" s="520"/>
      <c r="C134" s="58" t="s">
        <v>381</v>
      </c>
      <c r="D134" s="58"/>
      <c r="E134" s="162"/>
      <c r="F134" s="294" t="str">
        <f>IF(E134="","",ROUND(IF(AND(E134&gt;=135,E134&lt;=262),1,IF(  E134&gt;=366,0.5, IF(E134&lt;135,E134*'Reference Standards'!S$259+'Reference Standards'!S$260, E134*'Reference Standards'!T$259+'Reference Standards'!T$260))),2))</f>
        <v/>
      </c>
      <c r="G134" s="553"/>
      <c r="H134" s="567"/>
      <c r="I134" s="555"/>
      <c r="J134" s="559"/>
      <c r="K134" s="555"/>
    </row>
    <row r="135" spans="1:13" ht="15.6" x14ac:dyDescent="0.3">
      <c r="A135" s="520"/>
      <c r="B135" s="520"/>
      <c r="C135" s="58" t="s">
        <v>382</v>
      </c>
      <c r="D135" s="58"/>
      <c r="E135" s="162"/>
      <c r="F135" s="294" t="str">
        <f>IF(E135="","",ROUND(IF(AND(E135&gt;=135,E135&lt;=262),1,IF(  E135&gt;=366,0.5, IF(E135&lt;135,E135*'Reference Standards'!S$259+'Reference Standards'!S$260, E135*'Reference Standards'!T$259+'Reference Standards'!T$260))),2))</f>
        <v/>
      </c>
      <c r="G135" s="553"/>
      <c r="H135" s="567"/>
      <c r="I135" s="555"/>
      <c r="J135" s="559"/>
      <c r="K135" s="555"/>
    </row>
    <row r="136" spans="1:13" ht="15.6" x14ac:dyDescent="0.3">
      <c r="A136" s="520"/>
      <c r="B136" s="520"/>
      <c r="C136" s="58" t="s">
        <v>383</v>
      </c>
      <c r="D136" s="58"/>
      <c r="E136" s="162"/>
      <c r="F136" s="84" t="str">
        <f>IF(E136="","",ROUND(IF(E136&gt;=75,1,IF(E136&lt;=0,0,E136*'Reference Standards'!S$330)),2))</f>
        <v/>
      </c>
      <c r="G136" s="553"/>
      <c r="H136" s="567"/>
      <c r="I136" s="555"/>
      <c r="J136" s="559"/>
      <c r="K136" s="555"/>
    </row>
    <row r="137" spans="1:13" ht="15.6" x14ac:dyDescent="0.3">
      <c r="A137" s="520"/>
      <c r="B137" s="520"/>
      <c r="C137" s="58" t="s">
        <v>384</v>
      </c>
      <c r="D137" s="58"/>
      <c r="E137" s="162"/>
      <c r="F137" s="84" t="str">
        <f>IF(E137="","",ROUND(IF(E137&gt;=75,1,IF(E137&lt;=0,0,E137*'Reference Standards'!S$330)),2))</f>
        <v/>
      </c>
      <c r="G137" s="553"/>
      <c r="H137" s="567"/>
      <c r="I137" s="555"/>
      <c r="J137" s="559"/>
      <c r="K137" s="555"/>
    </row>
    <row r="138" spans="1:13" ht="15.6" x14ac:dyDescent="0.3">
      <c r="A138" s="520"/>
      <c r="B138" s="520"/>
      <c r="C138" s="58" t="s">
        <v>385</v>
      </c>
      <c r="D138" s="58"/>
      <c r="E138" s="162"/>
      <c r="F138" s="294" t="str">
        <f>IF(E138="","",ROUND(IF(AND(E138&gt;=36.3,E138&lt;=68),1,IF(E138&gt;100,0,IF(E138&lt;36.3,(('Reference Standards'!S$297*(E138^2))+('Reference Standards'!S$298*E138)+'Reference Standards'!S$299),IF(E138&gt;68,(('Reference Standards'!T$297*(E138^2))+('Reference Standards'!T$298*E138)+'Reference Standards'!T$299))))),2))</f>
        <v/>
      </c>
      <c r="G138" s="553"/>
      <c r="H138" s="567"/>
      <c r="I138" s="555"/>
      <c r="J138" s="559"/>
      <c r="K138" s="555"/>
      <c r="M138" s="21"/>
    </row>
    <row r="139" spans="1:13" ht="15.6" x14ac:dyDescent="0.3">
      <c r="A139" s="520"/>
      <c r="B139" s="521"/>
      <c r="C139" s="58" t="s">
        <v>386</v>
      </c>
      <c r="D139" s="65"/>
      <c r="E139" s="162"/>
      <c r="F139" s="294" t="str">
        <f>IF(E139="","",ROUND(IF(AND(E139&gt;=36.3,E139&lt;=68),1,IF(E139&gt;100,0,IF(E139&lt;36.3,(('Reference Standards'!S$297*(E139^2))+('Reference Standards'!S$298*E139)+'Reference Standards'!S$299),IF(E139&gt;68,(('Reference Standards'!T$297*(E139^2))+('Reference Standards'!T$298*E139)+'Reference Standards'!T$299))))),2))</f>
        <v/>
      </c>
      <c r="G139" s="554"/>
      <c r="H139" s="567"/>
      <c r="I139" s="555"/>
      <c r="J139" s="559"/>
      <c r="K139" s="555"/>
    </row>
    <row r="140" spans="1:13" ht="15.6" x14ac:dyDescent="0.3">
      <c r="A140" s="520"/>
      <c r="B140" s="56" t="s">
        <v>108</v>
      </c>
      <c r="C140" s="72" t="s">
        <v>130</v>
      </c>
      <c r="D140" s="58"/>
      <c r="E140" s="43"/>
      <c r="F140" s="82" t="str">
        <f>IF(E140="","",IF(OR('Quantification Tool R5'!B$14="Gravel",'Quantification Tool R5'!B$14="Cobble"),IF(E140&gt;0.1,1,IF(E140&lt;=0.01,0,ROUND(E140*'Reference Standards'!$S$362+'Reference Standards'!$S$363,2)))))</f>
        <v/>
      </c>
      <c r="G140" s="82" t="str">
        <f>IFERROR(AVERAGE(F140),"")</f>
        <v/>
      </c>
      <c r="H140" s="567"/>
      <c r="I140" s="555"/>
      <c r="J140" s="559"/>
      <c r="K140" s="555"/>
    </row>
    <row r="141" spans="1:13" ht="15.6" x14ac:dyDescent="0.3">
      <c r="A141" s="520"/>
      <c r="B141" s="526" t="s">
        <v>51</v>
      </c>
      <c r="C141" s="64" t="s">
        <v>52</v>
      </c>
      <c r="D141" s="64"/>
      <c r="E141" s="166"/>
      <c r="F141" s="337" t="str">
        <f>IF(E141="","", IF(ISNUMBER('Quantification Tool R5'!$B$17), IF('Quantification Tool R5'!$B$17&lt;=2,   IF(AND(E141&gt;=3,E141&lt;=5),1, IF(OR(E141&lt;=1,E141&gt;=7), 0, ROUND( IF(E141&lt;3, E141*'Reference Standards'!S$398+'Reference Standards'!S$399,E141*'Reference Standards'!T$398+'Reference Standards'!T$399),2) ) ),   IF(E141&lt;=2.5,1, IF(E141&gt;=5.8,0, ROUND(E141*'Reference Standards'!S$430+'Reference Standards'!S$431,2))))   ))</f>
        <v/>
      </c>
      <c r="G141" s="528" t="str">
        <f>IFERROR(AVERAGE(F141:F144),"")</f>
        <v/>
      </c>
      <c r="H141" s="567"/>
      <c r="I141" s="555"/>
      <c r="J141" s="559"/>
      <c r="K141" s="555"/>
    </row>
    <row r="142" spans="1:13" ht="15.6" x14ac:dyDescent="0.3">
      <c r="A142" s="520"/>
      <c r="B142" s="520"/>
      <c r="C142" s="58" t="s">
        <v>53</v>
      </c>
      <c r="D142" s="58"/>
      <c r="E142" s="165"/>
      <c r="F142" s="84" t="str">
        <f>IF(E142="","", IF( E142&gt;=2.4,1, IF(E142&lt;=1,0,  ROUND(IF(E142&lt;2.4, E142*'Reference Standards'!$S$464+'Reference Standards'!$S$465 ),2))))</f>
        <v/>
      </c>
      <c r="G142" s="529"/>
      <c r="H142" s="567"/>
      <c r="I142" s="555"/>
      <c r="J142" s="559"/>
      <c r="K142" s="555"/>
    </row>
    <row r="143" spans="1:13" ht="15.6" x14ac:dyDescent="0.3">
      <c r="A143" s="520"/>
      <c r="B143" s="520"/>
      <c r="C143" s="58" t="s">
        <v>334</v>
      </c>
      <c r="D143" s="58"/>
      <c r="E143" s="165"/>
      <c r="F143" s="390" t="str">
        <f>IF(E143="","", IF(LEFT('Quantification Tool R5'!$B$12,2)="67",  IF( AND(E143&gt;=45,E143&lt;=65),1, IF(OR(E143&lt;=20,E143&gt;=90),0, ROUND(  IF(E143&lt;45, E143*'Reference Standards'!$S$498+'Reference Standards'!$S$499,E143*'Reference Standards'!$T$498+'Reference Standards'!$T$499),2))), IF(OR(  LEFT('Quantification Tool R5'!$B$12,2)="68", LEFT('Quantification Tool R5'!$B$12,2)="69",LEFT('Quantification Tool R5'!$B$12,2)="71"),  IF( AND(E143&gt;=30,E143&lt;=50),1, IF(OR(E143&lt;=10,E143&gt;=70),0, ROUND(  IF(E143&lt;30, E143*'Reference Standards'!$S$533+'Reference Standards'!$S$534,E143*'Reference Standards'!$T$533+'Reference Standards'!$T$534),2))), IF(LEFT('Quantification Tool R5'!$B$12,2)="66",  IF( AND(E143&gt;=20,E143&lt;=45),1, IF(OR(E143&lt;=0,E143&gt;=90),0, ROUND(  IF(E143&lt;20, E143*'Reference Standards'!$S$567+'Reference Standards'!$S$568,E143*'Reference Standards'!$T$567+'Reference Standards'!$T$568),2))), IF(OR(  LEFT('Quantification Tool R5'!$B$12,2)="65", LEFT('Quantification Tool R5'!$B$12,2)="74", LEFT('Quantification Tool R5'!$B$12,2)="73"),  IF( AND(E143&gt;=20,E143&lt;=30),1, IF(OR(E143&lt;=0,E143&gt;=50),0, ROUND(  IF(E143&lt;20, E143*'Reference Standards'!$S$601+'Reference Standards'!$S$602,E143*'Reference Standards'!$T$601+'Reference Standards'!$T$602),2))))))))</f>
        <v/>
      </c>
      <c r="G143" s="529"/>
      <c r="H143" s="567"/>
      <c r="I143" s="555"/>
      <c r="J143" s="559"/>
      <c r="K143" s="555"/>
    </row>
    <row r="144" spans="1:13" ht="15.6" x14ac:dyDescent="0.3">
      <c r="A144" s="520"/>
      <c r="B144" s="521"/>
      <c r="C144" s="62" t="s">
        <v>210</v>
      </c>
      <c r="D144" s="58"/>
      <c r="E144" s="167"/>
      <c r="F144" s="391" t="str">
        <f>IF(E144="","",IF(E144&gt;=1.6,0,IF(E144&lt;=1,1,ROUND('Reference Standards'!$S$633*E144^3+'Reference Standards'!$S$634*E144^2+'Reference Standards'!$S$635*E144+'Reference Standards'!$S$636,2))))</f>
        <v/>
      </c>
      <c r="G144" s="530"/>
      <c r="H144" s="567"/>
      <c r="I144" s="555"/>
      <c r="J144" s="559"/>
      <c r="K144" s="555"/>
      <c r="L144" s="13"/>
    </row>
    <row r="145" spans="1:12" ht="15.6" x14ac:dyDescent="0.3">
      <c r="A145" s="521"/>
      <c r="B145" s="296" t="s">
        <v>55</v>
      </c>
      <c r="C145" s="242" t="s">
        <v>54</v>
      </c>
      <c r="D145" s="243"/>
      <c r="E145" s="163"/>
      <c r="F145" s="342" t="str">
        <f>IF(E145="","",IF(AND('Quantification Tool R5'!B$11="E",'Quantification Tool R5'!$B$14="Sand",'Quantification Tool R5'!$B$21="Unconfined Alluvial"),ROUND(IF(OR(E145&gt;1.8,E145&lt;1.3),0,IF(E145&lt;=1.6,1,E145*'Reference Standards'!S$667+'Reference Standards'!S$668)),2),    IF('Quantification Tool R5'!$B$21="Unconfined Alluvial",ROUND(IF(OR(E145&lt;1.2, E145&gt;1.5),0,IF(E145&lt;=1.4,1,E145*'Reference Standards'!$S$700+'Reference Standards'!$S$701)),2), IF('Quantification Tool R5'!$B$21="Confined Alluvial",ROUND(IF(E145&lt;1.15,0,IF(E145&lt;=1.4,E145*'Reference Standards'!$S$729+'Reference Standards'!$S$730,1)),2),  IF('Quantification Tool R5'!$B$21="Colluvial",ROUND(IF(E145&gt;1.3,0,IF(E145&gt;1.2,E145*'Reference Standards'!$S$760+'Reference Standards'!$S$761,1)),2) )))))</f>
        <v/>
      </c>
      <c r="G145" s="84" t="str">
        <f>IFERROR(AVERAGE(F145),"")</f>
        <v/>
      </c>
      <c r="H145" s="567"/>
      <c r="I145" s="555"/>
      <c r="J145" s="559"/>
      <c r="K145" s="555"/>
      <c r="L145" s="13"/>
    </row>
    <row r="146" spans="1:12" ht="15.6" x14ac:dyDescent="0.3">
      <c r="A146" s="537" t="s">
        <v>58</v>
      </c>
      <c r="B146" s="67" t="s">
        <v>88</v>
      </c>
      <c r="C146" s="70" t="s">
        <v>338</v>
      </c>
      <c r="D146" s="70"/>
      <c r="E146" s="43"/>
      <c r="F146" s="343" t="str">
        <f>IF(E146="","",ROUND(IF(E146&gt;=942,0,IF(E146&lt;=487,E146*'Reference Standards'!AB$15+'Reference Standards'!AB$16,E146*'Reference Standards'!$AC$15+'Reference Standards'!$AC$16)),2))</f>
        <v/>
      </c>
      <c r="G146" s="85" t="str">
        <f>IFERROR(AVERAGE(F146),"")</f>
        <v/>
      </c>
      <c r="H146" s="547" t="str">
        <f>IFERROR(ROUND(AVERAGE(G146:G149),2),"")</f>
        <v/>
      </c>
      <c r="I146" s="534" t="str">
        <f>IF(H146="","",IF(H146&gt;0.69,"Functioning",IF(H146&gt;0.29,"Functioning At Risk",IF(H146&gt;-1,"Not Functioning"))))</f>
        <v/>
      </c>
      <c r="J146" s="559"/>
      <c r="K146" s="555"/>
      <c r="L146" s="21"/>
    </row>
    <row r="147" spans="1:12" ht="15.6" x14ac:dyDescent="0.3">
      <c r="A147" s="538"/>
      <c r="B147" s="297" t="s">
        <v>362</v>
      </c>
      <c r="C147" s="66" t="s">
        <v>354</v>
      </c>
      <c r="D147" s="66"/>
      <c r="E147" s="163"/>
      <c r="F147" s="344" t="str">
        <f>IF(E147="","",IF(OR('Quantification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June")),IF(E147&gt;93,0,IF(E147&lt;13,1,ROUND('Reference Standards'!$AB$53*E147^2+'Reference Standards'!$AB$54*E147+'Reference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R5'!$B$12="73b"),IF(E147&gt;94,0,IF(E147&lt;17,1,ROUND('Reference Standards'!$AC$53*E147^2+'Reference Standards'!$AC$54*E147+'Reference Standards'!$AC$55,2))),    IF(OR(AND(OR('Quantification Tool R5'!$B$12="68b",'Quantification Tool R5'!$B$12="71i"),'Quantification Tool R5'!$B$13&gt;2), 'Quantification Tool R5'!$B$12="71e"),IF(E147&gt;91,0,IF(E147&lt;24,1,ROUND('Reference Standards'!$AD$53*E147^2+'Reference Standards'!$AD$54*E147+'Reference Standards'!$AD$55,2))),  IF(OR(AND(OR('Quantification Tool R5'!$B$12="71f",'Quantification Tool R5'!$B$12="71g",'Quantification Tool R5'!$B$12="71h",'Quantification Tool R5'!$B$12="71i"),'Quantification Tool R5'!$B$13&lt;=2), AND('Quantification Tool R5'!$B$12="74a",'Quantification Tool R5'!$B$13&gt;2)),IF(E147&gt;95,0,IF(E147&lt;=36,1,ROUND('Reference Standards'!$AE$53*E147^2+'Reference Standards'!$AE$54*E147+'Reference Standards'!$AE$55,2))))))))</f>
        <v/>
      </c>
      <c r="G147" s="236" t="str">
        <f>IFERROR(AVERAGE(F147:F147),"")</f>
        <v/>
      </c>
      <c r="H147" s="548"/>
      <c r="I147" s="535"/>
      <c r="J147" s="559"/>
      <c r="K147" s="555"/>
      <c r="L147" s="21"/>
    </row>
    <row r="148" spans="1:12" ht="15.6" x14ac:dyDescent="0.3">
      <c r="A148" s="538"/>
      <c r="B148" s="67" t="s">
        <v>81</v>
      </c>
      <c r="C148" s="68" t="s">
        <v>281</v>
      </c>
      <c r="D148" s="68"/>
      <c r="E148" s="162"/>
      <c r="F148" s="344" t="str">
        <f>IF(E148="","",IF(ISNUMBER('Quantification Tool R5'!$B$13),IF(OR('Quantification Tool R5'!$B$12="66e",'Quantification Tool R5'!$B$12="66f",'Quantification Tool R5'!$B$12="66g"),ROUND(IF(E148&gt;=0.61,0,IF(E148&lt;=0.01,1,IF(E148&lt;=0.06,E148*'Reference Standards'!$AD$197+'Reference Standards'!$AD$198,E148^2*'Reference Standards'!$AB$196+E148*'Reference Standards'!$AB$197+'Reference Standards'!$AB$198))),2),IF('Quantification Tool R5'!$B$12="68b",ROUND(IF(E148&gt;=1.1,0,IF(E148&lt;=0.17,1,IF(E148&lt;=0.22,E148*'Reference Standards'!$AE$197+'Reference Standards'!$AE$198,E148^2*'Reference Standards'!$AC$196+E148*'Reference Standards'!$AC$197+'Reference Standards'!$AC$198))),2),IF('Quantification Tool R5'!$B$13&lt;=2.5,IF('Quantification Tool R5'!$B$12="69de",ROUND(IF(E148&gt;=0.22,0,IF(E148&lt;=0.01,1,E148^2*'Reference Standards'!$AB$90+E148*'Reference Standards'!$AB$91+'Reference Standards'!$AB$92)),2),IF('Quantification Tool R5'!$B$12="68c",ROUND(IF(E148&gt;=0.87,0,IF(E148&lt;=0.01,1,E148^2*'Reference Standards'!$AC$90+E148*'Reference Standards'!$AC$91+'Reference Standards'!$AC$92)),2),IF('Quantification Tool R5'!$B$12="68a",ROUND(IF(E148&gt;=0.81,0,IF(E148&lt;=0.01,1,E148^2*'Reference Standards'!$AD$90+E148*'Reference Standards'!$AD$91+'Reference Standards'!$AD$92)),2),IF('Quantification Tool R5'!$B$12="65abei",ROUND(IF(E148&gt;=0.67,0,IF(E148&lt;=0.01,1,IF(E148&lt;=0.18,E148*'Reference Standards'!$AG$91+'Reference Standards'!$AG$92,E148*'Reference Standards'!$AE$91+'Reference Standards'!$AE$92))),2),IF('Quantification Tool R5'!$B$12="65j",ROUND(IF(E148&gt;=0.32,0,IF(E148&lt;=0.01,1,IF(E148&lt;=0.25,E148*'Reference Standards'!$AH$91+'Reference Standards'!$AH$92,E148*'Reference Standards'!$AF$91+'Reference Standards'!$AF$92))),2),IF('Quantification Tool R5'!$B$12="71f",ROUND(IF(E148&gt;=3,0,IF(E148&lt;=0,1,IF(E148&lt;=0.01,0.7,E148^2*'Reference Standards'!$AB$126+E148*'Reference Standards'!$AB$127+'Reference Standards'!$AB$128))),2),IF('Quantification Tool R5'!$B$12="74a",ROUND(IF(E148&gt;=0.14,0,IF(E148&lt;=0.01,1,IF(E148&lt;=0.02,0.7,E148^2*'Reference Standards'!$AC$126+E148*'Reference Standards'!$AC$127+'Reference Standards'!$AC$128))),2),IF(OR('Quantification Tool R5'!$B$12="67fhi",'Quantification Tool R5'!$B$12="67g"),ROUND(IF(E148&gt;=1.9,0,IF(E148&lt;=0.01,1,IF(E148&lt;=0.05,E148*'Reference Standards'!$AF$127+'Reference Standards'!$AF$128,E148^2*'Reference Standards'!$AD$126+E148*'Reference Standards'!$AD$127+'Reference Standards'!$AD$128))),2),IF('Quantification Tool R5'!$B$12="73a",ROUND(IF(E148&gt;=1.44,0,IF(E148&lt;=0.01,1,IF(E148&lt;=0.12,E148*'Reference Standards'!$AG$127+'Reference Standards'!$AG$128,E148^2*'Reference Standards'!$AE$126+E148*'Reference Standards'!$AE$127+'Reference Standards'!$AE$128))),2),IF('Quantification Tool R5'!$B$12="66d",ROUND(IF(E148&gt;=0.46,0,IF(E148&lt;=0.02,1,IF(E148&lt;=0.08,E148*'Reference Standards'!$AF$163+'Reference Standards'!$AF$164,E148^2*'Reference Standards'!$AB$162+E148*'Reference Standards'!$AB$163+'Reference Standards'!$AB$164))),2),IF(OR('Quantification Tool R5'!$B$12="71g",'Quantification Tool R5'!$B$12="71h",'Quantification Tool R5'!$B$12="71i"),ROUND(IF(E148&gt;=3,0,IF(E148&lt;=0.06,1,IF(E148&lt;=0.24,E148*'Reference Standards'!$AG$163+'Reference Standards'!$AG$164,E148^2*'Reference Standards'!$AC$162+E148*'Reference Standards'!$AC$163+'Reference Standards'!$AC$164))),2),IF('Quantification Tool R5'!$B$12="74b",ROUND(IF(E148&gt;=1.3,0,IF(E148&lt;=0.29,1,IF(E148&lt;=0.48,E148*'Reference Standards'!$AH$163+'Reference Standards'!$AH$164,E148^2*'Reference Standards'!$AD$162+E148*'Reference Standards'!$AD$163+'Reference Standards'!$AD$164))),2),IF('Quantification Tool R5'!$B$12="71e",ROUND(IF(E148&gt;=4.3,0,IF(E148&lt;=0.53,1,IF(E148&lt;=0.67,E148*'Reference Standards'!$AI$163+'Reference Standards'!$AI$164,E148^2*'Reference Standards'!$AE$162+E148*'Reference Standards'!$AE$163+'Reference Standards'!$AE$164))),2)))))))))))))),IF('Quantification Tool R5'!$B$13&gt;2.5,IF('Quantification Tool R5'!$B$12="73a",ROUND(IF(E148&gt;=0.55,0,IF(E148&lt;=0,1,E148^2*'Reference Standards'!$AB$232+E148*'Reference Standards'!$AB$233+'Reference Standards'!$AB$234)),2),IF('Quantification Tool R5'!$B$12="68a",ROUND(IF(E148&gt;=0.54,0,IF(E148&lt;=0,1,IF(E148&lt;=0.01,0.85,E148^2*'Reference Standards'!$AC$232+E148*'Reference Standards'!$AC$233+'Reference Standards'!$AC$234))),2),IF('Quantification Tool R5'!$B$12="74a",ROUND(IF(E148&gt;=0.47,0,IF(E148&lt;=0.01,1,IF(E148&lt;=0.02,0.7,E148^2*'Reference Standards'!$AD$232+E148*'Reference Standards'!$AD$233+'Reference Standards'!$AD$234))),2),IF('Quantification Tool R5'!$B$12="69de",ROUND(IF(E148&gt;=0.26,0,IF(E148&lt;=0.01,1,IF(E148&lt;=0.02,0.85,E148^2*'Reference Standards'!$AE$232+E148*'Reference Standards'!$AE$233+'Reference Standards'!$AE$234))),2),IF('Quantification Tool R5'!$B$12="71f",ROUND(IF(E148&gt;=0.87,0,IF(E148&lt;=0.01,1,IF(E148&lt;=0.04,E148*'Reference Standards'!$AF$269+'Reference Standards'!$AF$270,E148^2*'Reference Standards'!$AB$268+E148*'Reference Standards'!$AB$269+'Reference Standards'!$AB$270))),2),IF('Quantification Tool R5'!$B$12="65abei",ROUND(IF(E148&gt;=0.82,0,IF(E148&lt;=0.01,1,IF(E148&lt;=0.06,E148*'Reference Standards'!$AG$269+'Reference Standards'!$AG$270,E148^2*'Reference Standards'!$AC$268+E148*'Reference Standards'!$AC$269+'Reference Standards'!$AC$270))),2),IF('Quantification Tool R5'!$B$12="65j",ROUND(IF(E148&gt;=0.33,0,IF(E148&lt;=0.03,1,IF(E148&lt;=0.09,E148*'Reference Standards'!$AH$269+'Reference Standards'!$AH$270,E148^2*'Reference Standards'!$AD$268+E148*'Reference Standards'!$AD$269+'Reference Standards'!$AD$270))),2),IF('Quantification Tool R5'!$B$12="68c",ROUND(IF(E148&gt;=0.7,0,IF(E148&lt;=0.07,1,IF(E148&lt;=0.12,E148*'Reference Standards'!$AI$269+'Reference Standards'!$AI$270,E148^2*'Reference Standards'!$AE$268+E148*'Reference Standards'!$AE$269+'Reference Standards'!$AE$270))),2),IF(OR('Quantification Tool R5'!$B$12="67fhi",'Quantification Tool R5'!$B$12="67g"),ROUND(IF(E148&gt;=1.8,0,IF(E148&lt;=0.08,1,IF(E148&lt;=0.2,E148*'Reference Standards'!$AF$306+'Reference Standards'!$AF$307,E148^2*'Reference Standards'!$AB$305+E148*'Reference Standards'!$AB$306+'Reference Standards'!$AB$307))),2),IF('Quantification Tool R5'!$B$12="74b",ROUND(IF(E148&gt;=0.96,0,IF(E148&lt;=0.12,1,IF(E148&lt;=0.16,E148*'Reference Standards'!$AG$306+'Reference Standards'!$AG$307,E148^2*'Reference Standards'!$AC$305+E148*'Reference Standards'!$AC$306+'Reference Standards'!$AC$307))),2),IF('Quantification Tool R5'!$B$12="66d",ROUND(IF(E148&gt;=0.75,0,IF(E148&lt;=0.13,1,IF(E148&lt;=0.2,E148*'Reference Standards'!$AH$306+'Reference Standards'!$AH$307,E148^2*'Reference Standards'!$AD$305+E148*'Reference Standards'!$AD$306+'Reference Standards'!$AD$307))),2),IF(OR('Quantification Tool R5'!$B$12="71g",'Quantification Tool R5'!$B$12="71h",'Quantification Tool R5'!$B$12="71i"),ROUND(IF(E148&gt;=1.68,0,IF(E148&lt;=0.08,1,IF(E148&lt;=0.23,E148*'Reference Standards'!$AI$306+'Reference Standards'!$AI$307,E148^2*'Reference Standards'!$AE$305+E148*'Reference Standards'!$AE$306+'Reference Standards'!$AE$307))),2),IF('Quantification Tool R5'!$B$12="71e",ROUND(IF(E148&gt;=5.3,0,IF(E148&lt;=0.94,1,IF(E148&lt;=1.4,E148*'Reference Standards'!$AF$310+'Reference Standards'!$AF$311,E148^2*'Reference Standards'!$AB$309+E148*'Reference Standards'!$AB$310+'Reference Standards'!$AB$311))),2))))))))))))))))))))</f>
        <v/>
      </c>
      <c r="G148" s="86" t="str">
        <f>IFERROR(AVERAGE(F148),"")</f>
        <v/>
      </c>
      <c r="H148" s="548"/>
      <c r="I148" s="535"/>
      <c r="J148" s="559"/>
      <c r="K148" s="555"/>
      <c r="L148" s="21"/>
    </row>
    <row r="149" spans="1:12" ht="15.6" x14ac:dyDescent="0.3">
      <c r="A149" s="539"/>
      <c r="B149" s="298" t="s">
        <v>82</v>
      </c>
      <c r="C149" s="66" t="s">
        <v>280</v>
      </c>
      <c r="D149" s="66"/>
      <c r="E149" s="136"/>
      <c r="F149" s="343" t="str">
        <f>IF(E149="","", IF(ISNUMBER('Quantification Tool R5'!$B$13),IF('Quantification Tool R5'!$B$13&gt;2.5,IF(OR('Quantification Tool R5'!$B$12="71h",'Quantification Tool R5'!$B$12="71i",'Quantification Tool R5'!$B$12="73a",'Quantification Tool R5'!$B$12="74a"),IF(E149&lt;=0.01,1,IF(OR('Quantification Tool R5'!$B$12="71h",'Quantification Tool R5'!$B$12="71i"),IF(E149&gt;0.37,0,ROUND(IF(E149&gt;0.03,'Reference Standards'!$AB$425*E149^2+'Reference Standards'!$AB$426*E149+'Reference Standards'!$AB$427,'Reference Standards'!$AF$426*E149+'Reference Standards'!$AF$427),2)),  IF('Quantification Tool R5'!$B$12="73a",IF(E149&gt;0.405,0,ROUND(IF(E149&gt;0.046,'Reference Standards'!$AC$425*E149^2+'Reference Standards'!$AC$426*E149+'Reference Standards'!$AC$427,'Reference Standards'!$AG$426*E149+'Reference Standards'!$AG$427),2)),IF('Quantification Tool R5'!$B$12="74a",IF(E149&gt;0.3,0,ROUND(IF(E149&gt;0.052,'Reference Standards'!$AD$425*E149^2+'Reference Standards'!$AD$426*E149+'Reference Standards'!$AD$427,'Reference Standards'!$AH$426*E149+'Reference Standards'!$AH$427),2)))))),   IF(E149&lt;=0.002,1,IF(OR('Quantification Tool R5'!$B$12="66d",'Quantification Tool R5'!$B$12="66e",'Quantification Tool R5'!$B$12="66g"),IF(E149&gt;0.053,0,ROUND(E149^2*'Reference Standards'!$AB$347+E149*'Reference Standards'!$AB$348+'Reference Standards'!$AB$349,2)), IF('Quantification Tool R5'!$B$12="68b",IF(E149&gt;0.05,0,ROUND(E149^2*'Reference Standards'!$AC$347+E149*'Reference Standards'!$AC$348+'Reference Standards'!$AC$349,2)),  IF(OR('Quantification Tool R5'!$B$12="68a",'Quantification Tool R5'!$B$12="68c"),IF(E149&gt;0.07,0,ROUND(E149^2*'Reference Standards'!$AD$347+E149*'Reference Standards'!$AD$348+'Reference Standards'!$AD$349,2)), IF(OR('Quantification Tool R5'!$B$12="71f",'Quantification Tool R5'!$B$12="71g"),IF(E149&gt;0.13,0,ROUND(IF(E149&gt;0.042,E149*'Reference Standards'!$AE$348+'Reference Standards'!$AE$349,E149*'Reference Standards'!$AF$348+'Reference Standards'!$AF$349),2)), IF('Quantification Tool R5'!$B$12="67fhi",IF(E149&gt;0.16,0,ROUND(E149^2*'Reference Standards'!$AG$347+E149*'Reference Standards'!$AG$348+'Reference Standards'!$AG$349,2)),  IF('Quantification Tool R5'!$B$12="65j",IF(E149&gt;0.035,0,ROUND(IF(E149&lt;=0.003,0.7,E149^2*'Reference Standards'!$AB$387+E149*'Reference Standards'!$AB$388+'Reference Standards'!$AB$389),2)),IF('Quantification Tool R5'!$B$12="69de",IF(E149&gt;0.037,0,ROUND(IF(E149&lt;=0.003,0.7,E149^2*'Reference Standards'!$AC$387+E149*'Reference Standards'!$AC$388+'Reference Standards'!$AC$389),2)),IF('Quantification Tool R5'!$B$12="71e",IF(E149&gt;0.23,0,ROUND(IF(E149&lt;=0.003,0.7,E149^2*'Reference Standards'!$AD$387+E149*'Reference Standards'!$AD$388+'Reference Standards'!$AD$389),2)),IF('Quantification Tool R5'!$B$12="66f",IF(E149&gt;0.06,0,ROUND(IF(E149&lt;=0.003,0.85,IF(E149&lt;=0.004,0.7,E149^2*'Reference Standards'!$AE$387+E149*'Reference Standards'!$AE$388+'Reference Standards'!$AE$389)),2)),IF('Quantification Tool R5'!$B$12="67g",IF(E149&gt;0.11,0,ROUND(IF(E149&lt;=0.01,E149*'Reference Standards'!$AH$388+'Reference Standards'!$AH$389, E149^2*'Reference Standards'!$AF$387+E149*'Reference Standards'!$AF$388+'Reference Standards'!$AF$389),2)),IF('Quantification Tool R5'!$B$12="74b",IF(E149&gt;0.49,0,ROUND(IF(E149&lt;=0.01,E149*'Reference Standards'!$AH$388+'Reference Standards'!$AH$389, E149^2*'Reference Standards'!$AG$387+E149*'Reference Standards'!$AG$388+'Reference Standards'!$AG$389),2)),IF('Quantification Tool R5'!$B$12="65abei",IF(E149&gt;0.199,0,ROUND(IF(E149&lt;=0.01,E149*'Reference Standards'!$AI$426+'Reference Standards'!$AI$427, E149^2*'Reference Standards'!$AE$425+E149*'Reference Standards'!$AE$426+'Reference Standards'!$AE$427),2))    )))))))))))))),      IF('Quantification Tool R5'!$B$13&lt;=2.5, IF(OR('Quantification Tool R5'!$B$12="66d",'Quantification Tool R5'!$B$12="66e",'Quantification Tool R5'!$B$12="66g"),IF(E149&gt;0.05,0,ROUND(IF(E149&lt;=0.002,1,IF(E149&lt;=0.005,E149*'Reference Standards'!$AF$464+'Reference Standards'!$AF$465, E149^2*'Reference Standards'!$AB$463+E149*'Reference Standards'!$AB$464+'Reference Standards'!$AB$465)),2)), IF('Quantification Tool R5'!$B$12="67fhi",IF(E149&gt;0.1,0,ROUND(IF(E149&lt;=0.002,1,IF(E149&lt;=0.006,E149*'Reference Standards'!$AG$464+'Reference Standards'!$AG$465, E149^2*'Reference Standards'!$AC$463+E149*'Reference Standards'!$AC$464+'Reference Standards'!$AC$465)),2)), IF('Quantification Tool R5'!$B$12="65abei",IF(E149&gt;0.13,0,ROUND(IF(E149&lt;=0.003,1,IF(E149&lt;=0.008,E149*'Reference Standards'!$AH$464+'Reference Standards'!$AH$465, E149^2*'Reference Standards'!$AD$463+E149*'Reference Standards'!$AD$464+'Reference Standards'!$AD$465)),2)), IF('Quantification Tool R5'!$B$12="68b",IF(E149&gt;0.043,0,ROUND(IF(E149&lt;=0.004,1, IF(E149&lt;=0.005,0.7, E149^2*'Reference Standards'!$AE$463+E149*'Reference Standards'!$AE$464+'Reference Standards'!$AE$465)),2)), IF('Quantification Tool R5'!$B$12="69de",IF(E149&gt;=0.034,0,ROUND(IF(E149&lt;=0.003,1, IF(E149&lt;=0.006,E149*'Reference Standards'!$AG$500+'Reference Standards'!$AG$501, E149*'Reference Standards'!$AB$500+'Reference Standards'!$AB$501)),2)), IF(OR('Quantification Tool R5'!$B$12="68a",'Quantification Tool R5'!$B$12="68c"),IF(E149&gt;0.202,0,ROUND(IF(E149&lt;=0.003,1, IF(E149&lt;=0.006,E149*'Reference Standards'!$AG$500+'Reference Standards'!$AG$501, IF(E149&gt;=0.04,E149*'Reference Standards'!$AC$500+'Reference Standards'!$AC$501,E149*'Reference Standards'!$AE$500+'Reference Standards'!$AE$501))),2)), IF(OR('Quantification Tool R5'!$B$12="71f",'Quantification Tool R5'!$B$12="71g"),IF(E149&gt;0.631,0,ROUND(IF(E149&lt;=0.003,1, IF(E149&lt;=0.006,E149*'Reference Standards'!$AG$500+'Reference Standards'!$AG$501, IF(E149&gt;=0.17,E149*'Reference Standards'!$AD$500+'Reference Standards'!$AD$501,E149*'Reference Standards'!$AF$500+'Reference Standards'!$AF$501))),2)),   IF('Quantification Tool R5'!$B$12="71e",IF(E149&gt;1.23,0,ROUND(IF(E149&lt;=0.004,1,IF(E149&lt;=0.006,E149*'Reference Standards'!$AF$538+'Reference Standards'!$AF$539, E149^2*'Reference Standards'!$AB$537+E149*'Reference Standards'!$AB$538+'Reference Standards'!$AB$539)),2)), IF('Quantification Tool R5'!$B$12="67g",IF(E149&gt;0.11,0,ROUND(IF(E149&lt;=0.006,1,IF(E149&lt;=0.011,E149*'Reference Standards'!$AG$538+'Reference Standards'!$AG$539, E149^2*'Reference Standards'!$AC$537+E149*'Reference Standards'!$AC$538+'Reference Standards'!$AC$539)),2)), IF('Quantification Tool R5'!$B$12="65j",IF(E149&gt;0.046,0,ROUND(IF(E149&lt;=0.007,1,IF(E149&lt;=0.012,E149*'Reference Standards'!$AH$538+'Reference Standards'!$AH$539, E149^2*'Reference Standards'!$AD$537+E149*'Reference Standards'!$AD$538+'Reference Standards'!$AD$539)),2)), IF('Quantification Tool R5'!$B$12="66f",IF(E149&gt;0.081,0,ROUND(IF(E149&lt;=0.008,1,IF(E149&lt;=0.011,E149*'Reference Standards'!$AI$538+'Reference Standards'!$AI$539, E149^2*'Reference Standards'!$AE$537+E149*'Reference Standards'!$AE$538+'Reference Standards'!$AE$539)),2)), IF(OR('Quantification Tool R5'!$B$12="71h",'Quantification Tool R5'!$B$12="71i"),IF(E149&gt;0.37,0,ROUND(IF(E149&lt;=0.013,1,IF(E149&lt;=0.032,E149*'Reference Standards'!$AH$576+'Reference Standards'!$AH$577, IF(E149&lt;=0.3,E149*'Reference Standards'!$AF$576+'Reference Standards'!$AF$577,E149*'Reference Standards'!$AB$576+'Reference Standards'!$AB$577))),2)), IF('Quantification Tool R5'!$B$12="73a",IF(E149&gt;0.448,0,ROUND(IF(E149&lt;=0.071,1,IF(E149&lt;=0.086,E149*'Reference Standards'!$AJ$576+'Reference Standards'!$AJ$577, IF(E149&lt;=0.165,E149*'Reference Standards'!$AG$576+'Reference Standards'!$AG$577,E149*'Reference Standards'!$AE$576+'Reference Standards'!$AE$577))),2)),  IF('Quantification Tool R5'!$B$12="74b",IF(E149&gt;0.43,0,ROUND(IF(E149&lt;=0.018,1,IF(E149&lt;=0.019,0.85, IF(E149&lt;=0.02,0.7, E149^2*'Reference Standards'!$AC$575+E149*'Reference Standards'!$AC$576+'Reference Standards'!$AC$577))),2)), IF('Quantification Tool R5'!$B$12="74a",IF(E149&gt;0.217,0,ROUND(IF(E149&lt;=0.02,1,IF(E149&lt;=0.033,E149*'Reference Standards'!$AI$576+'Reference Standards'!$AI$577, E149^2*'Reference Standards'!$AD$575+E149*'Reference Standards'!$AD$576+'Reference Standards'!$AD$577)),2))     )))))))))))))))))))</f>
        <v/>
      </c>
      <c r="G149" s="87" t="str">
        <f>IFERROR(AVERAGE(F149),"")</f>
        <v/>
      </c>
      <c r="H149" s="549"/>
      <c r="I149" s="536"/>
      <c r="J149" s="559"/>
      <c r="K149" s="555"/>
      <c r="L149" s="21"/>
    </row>
    <row r="150" spans="1:12" ht="15.6" x14ac:dyDescent="0.3">
      <c r="A150" s="550" t="s">
        <v>59</v>
      </c>
      <c r="B150" s="560" t="s">
        <v>340</v>
      </c>
      <c r="C150" s="125" t="s">
        <v>331</v>
      </c>
      <c r="D150" s="126"/>
      <c r="E150" s="166"/>
      <c r="F150" s="345" t="str">
        <f>IF(E150="","",IF(OR('Quantification Tool R5'!B$12="73a",'Quantification Tool R5'!B$12="73b"),IF(E150&lt;1,0,IF(E150&gt;=30,1,ROUND(IF(E150&lt;22,'Reference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531" t="str">
        <f>IFERROR(AVERAGE(F150:F153),"")</f>
        <v/>
      </c>
      <c r="H150" s="568" t="str">
        <f>IFERROR(ROUND(AVERAGE(G150:G155),2),"")</f>
        <v/>
      </c>
      <c r="I150" s="519" t="str">
        <f>IF(H150="","",IF(H150&gt;0.69,"Functioning",IF(H150&gt;0.29,"Functioning At Risk",IF(H150&gt;-1,"Not Functioning"))))</f>
        <v/>
      </c>
      <c r="J150" s="559"/>
      <c r="K150" s="555"/>
      <c r="L150" s="21"/>
    </row>
    <row r="151" spans="1:12" ht="15.6" x14ac:dyDescent="0.3">
      <c r="A151" s="556"/>
      <c r="B151" s="561"/>
      <c r="C151" s="174" t="s">
        <v>335</v>
      </c>
      <c r="D151" s="175"/>
      <c r="E151" s="165"/>
      <c r="F151" s="346" t="str">
        <f>IF(E151="","",IF(AND('Quantification Tool R5'!$B$12="74b",'Quantification Tool R5'!$B$13&lt;=2),IF(E151&lt;0,0,IF(E151&gt;15.6,0.69,ROUND('Reference Standards'!$AL$54*E151^2+'Reference Standards'!$AL$55*E151+'Reference Standards'!$AL$56,2))),IF(AND('Quantification Tool R5'!$B$12="65abei",'Quantification Tool R5'!$B$13&lt;=2),IF(E151&lt;0,0,IF(E151&gt;=20,0.69,ROUND('Reference Standards'!$AM$54*E151^2+'Reference Standards'!$AM$55*E151+'Reference Standards'!$AM$56,2))),IF(OR(AND('Quantification Tool R5'!$B$12="74a",'Quantification Tool R5'!$B$13&gt;2,'Quantification Tool R5'!$B$19="January - June"),AND('Quantification Tool R5'!$B$12="71i",'Quantification Tool R5'!$B$13&gt;2,'Quantification Tool R5'!$B$20="SQBANK")),IF(E151&lt;0,0,IF(E151&gt;24.7,0.69,ROUND('Reference Standards'!$AN$54*E151^2+'Reference Standards'!$AN$55*E151+'Reference Standards'!$AN$56,2))),IF(OR('Quantification Tool R5'!$B$12="74b",'Quantification Tool R5'!$B$12="65abei"),IF(E151&lt;0,0,IF(E151&gt;32.7,0.69,ROUND('Reference Standards'!$AO$54*E151^2+'Reference Standards'!$AO$55*E151+'Reference Standards'!$AO$56,2))),IF(AND('Quantification Tool R5'!$B$12="68b",'Quantification Tool R5'!$B$13&gt;2),IF(E151&lt;0,0,IF(E151&gt;41.2,0.69,ROUND('Reference Standards'!$AP$54*E151^2+'Reference Standards'!$AP$55*E151+'Reference Standards'!$AP$56,2))),IF(OR(AND('Quantification Tool R5'!$B$12="71i",'Quantification Tool R5'!$B$13&lt;=2),AND(OR('Quantification Tool R5'!$B$12="68c",'Quantification Tool R5'!$B$12="68d"),'Quantification Tool R5'!$B$19="January - June")),IF(E151&lt;0,0,IF(E151&gt;49.2,0.69,ROUND('Reference Standards'!$AL$94*E151^2+'Reference Standards'!$AL$95*E151+'Reference Standards'!$AL$96,2))),IF(OR(AND('Quantification Tool R5'!$B$12="68a",'Quantification Tool R5'!$B$19="January - June"),AND(OR('Quantification Tool R5'!$B$12="68c",'Quantification Tool R5'!$B$12="68d"),'Quantification Tool R5'!$B$19="July - December")),IF(E151&lt;0,0,IF(E151&gt;53.4,0.69,ROUND('Reference Standards'!$AM$94*E151^2+'Reference Standards'!$AM$95*E151+'Reference Standards'!$AM$96,2))),IF(OR(AND('Quantification Tool R5'!$B$12="71i",'Quantification Tool R5'!$B$13&gt;2,'Quantification Tool R5'!$B$20="SQKICK"),AND(OR('Quantification Tool R5'!$B$12="67fhi",'Quantification Tool R5'!$B$12="67g"),'Quantification Tool R5'!$B$13&lt;=2),'Quantification Tool R5'!$B$12="65j"),IF(E151&lt;0,0,IF(E151&gt;57.8,0.69,ROUND('Reference Standards'!$AN$94*E151^2+'Reference Standards'!$AN$95*E151+'Reference Standards'!$AN$96,2))),IF(OR(AND('Quantification Tool R5'!$B$12="74a",'Quantification Tool R5'!$B$13&gt;2,'Quantification Tool R5'!$B$19="July - December"),AND(OR('Quantification Tool R5'!$B$12="67fhi",'Quantification Tool R5'!$B$12="67g"),'Quantification Tool R5'!$B$13&gt;2),'Quantification Tool R5'!$B$12="69de"),IF(E151&lt;0,0,IF(E151&gt;62.5,0.69,ROUND('Reference Standards'!$AO$94*E151^2+'Reference Standards'!$AO$95*E151+'Reference Standards'!$AO$96,2))),  IF(OR('Quantification Tool R5'!$B$12="66d",'Quantification Tool R5'!$B$12="66e",'Quantification Tool R5'!$B$12="66ik",'Quantification Tool R5'!$B$12="71e",'Quantification Tool R5'!$B$12="71f",'Quantification Tool R5'!$B$12="71g",'Quantification Tool R5'!$B$12="71h"),IF(E151&lt;0,0,IF(E151&gt;66.5,0.69,ROUND('Reference Standards'!$AP$94*E151^2+'Reference Standards'!$AP$95*E151+'Reference Standards'!$AP$96,2))),IF(OR('Quantification Tool R5'!$B$12="66f",'Quantification Tool R5'!$B$12="66g",'Quantification Tool R5'!$B$12="66j",AND('Quantification Tool R5'!$B$12="68a",'Quantification Tool R5'!$B$19="July - December")), IF(E151&lt;0,0,IF(E151&gt;69,0.69,ROUND('Reference Standards'!$AQ$94*E151^2+'Reference Standards'!$AQ$95*E151+'Reference Standards'!$AQ$96,2))))   )))))))))))</f>
        <v/>
      </c>
      <c r="G151" s="531"/>
      <c r="H151" s="568"/>
      <c r="I151" s="519"/>
      <c r="J151" s="559"/>
      <c r="K151" s="555"/>
      <c r="L151" s="21"/>
    </row>
    <row r="152" spans="1:12" ht="15.6" x14ac:dyDescent="0.3">
      <c r="A152" s="556"/>
      <c r="B152" s="561"/>
      <c r="C152" s="174" t="s">
        <v>339</v>
      </c>
      <c r="D152" s="175"/>
      <c r="E152" s="165"/>
      <c r="F152" s="346" t="str">
        <f>IF(E152="","",IF(AND('Quantification Tool R5'!$B$12="74b",'Quantification Tool R5'!$B$13&lt;=2),IF(E152&lt;0,0,IF(E152&gt;8.1,0.69,ROUND('Reference Standards'!$AL$131*E152^2+'Reference Standards'!$AL$132*E152+'Reference Standards'!$AL$133,2))),IF(OR('Quantification Tool R5'!$B$12="73a",'Quantification Tool R5'!$B$12="73b"),IF(E152&lt;0,0,IF(E152&gt;=28,0.69,ROUND('Reference Standards'!$AM$131*E152^2+'Reference Standards'!$AM$132*E152+'Reference Standards'!$AM$133,2))),IF(AND('Quantification Tool R5'!$B$12="74a",'Quantification Tool R5'!$B$13&gt;2,'Quantification Tool R5'!$B$19="January - June"),IF(E152&lt;0,0,IF(E152&gt;=32.5,0.69,ROUND('Reference Standards'!$AN$131*E152^2+'Reference Standards'!$AN$132*E152+'Reference Standards'!$AN$133,2))),IF(AND('Quantification Tool R5'!$B$12="71i",'Quantification Tool R5'!$B$13&gt;2,'Quantification Tool R5'!$B$20="SQBANK"),IF(E152&lt;0,0,IF(E152&gt;=37,0.69,ROUND('Reference Standards'!$AO$131*E152^2+'Reference Standards'!$AO$132*E152+'Reference Standards'!$AO$133,2))),IF(OR(AND(OR('Quantification Tool R5'!$B$12="65abei",'Quantification Tool R5'!$B$12="74b"),'Quantification Tool R5'!$B$13&gt;2),AND('Quantification Tool R5'!$B$12="71i",'Quantification Tool R5'!$B$13&gt;2,'Quantification Tool R5'!$B$20="SQKICK")),IF(E152&lt;0,0,IF(E152&gt;42.6,0.69,ROUND('Reference Standards'!$AP$131*E152^2+'Reference Standards'!$AP$132*E152+'Reference Standards'!$AP$133,2))),     IF(OR(AND('Quantification Tool R5'!$B$12="65abei",'Quantification Tool R5'!$B$13&lt;=2),AND(OR('Quantification Tool R5'!$B$12="68c",'Quantification Tool R5'!$B$12="68d"),'Quantification Tool R5'!$B$19="July - December"),'Quantification Tool R5'!$B$12="71e"),IF(E152&lt;0,0,IF(E152&gt;=48,0.69,ROUND('Reference Standards'!$AL$171*E152^2+'Reference Standards'!$AL$172*E152+'Reference Standards'!$AL$173,2))),IF(OR('Quantification Tool R5'!$B$12="65j",'Quantification Tool R5'!$B$12="67fhi",'Quantification Tool R5'!$B$12="67g",AND('Quantification Tool R5'!$B$12="74a",'Quantification Tool R5'!$B$19="July - December",'Quantification Tool R5'!$B$13&gt;2),AND('Quantification Tool R5'!$B$12="71i",'Quantification Tool R5'!$B$13&lt;=2)),IF(E152&lt;0,0,IF(E152&gt;=53,0.69,ROUND('Reference Standards'!$AM$171*E152^2+'Reference Standards'!$AM$172*E152+'Reference Standards'!$AM$173,2))),IF(OR(AND(OR('Quantification Tool R5'!$B$12="68b",'Quantification Tool R5'!$B$12="71f",'Quantification Tool R5'!$B$12="71g",'Quantification Tool R5'!$B$12="71h"),'Quantification Tool R5'!$B$13&gt;2),'Quantification Tool R5'!$B$12="68a"),IF(E152&lt;0,0,IF(E152&gt;=57,0.69,ROUND('Reference Standards'!$AN$171*E152^2+'Reference Standards'!$AN$172*E152+'Reference Standards'!$AN$173,2))),IF(OR('Quantification Tool R5'!$B$12="66f",'Quantification Tool R5'!$B$12="66g",'Quantification Tool R5'!$B$12="66j",AND(OR('Quantification Tool R5'!$B$12="71f",'Quantification Tool R5'!$B$12="71g",'Quantification Tool R5'!$B$12="71h"),'Quantification Tool R5'!$B$13&lt;=2)),IF(E152&lt;0,0,IF(E152&gt;=60,0.69,ROUND('Reference Standards'!$AO$171*E152^2+'Reference Standards'!$AO$172*E152+'Reference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December")),IF(E152&lt;0,0,IF(E152&gt;=67.5,0.69,ROUND('Reference Standards'!$AP$171*E152^2+'Reference Standards'!$AP$172*E152+'Reference Standards'!$AP$173,2))),IF(AND('Quantification Tool R5'!$B$12="69de",'Quantification Tool R5'!$B$19="January - June"), IF(E152&lt;0,0,IF(E152&gt;=72,0.69,ROUND('Reference Standards'!$AQ$171*E152^2+'Reference Standards'!$AQ$172*E152+'Reference Standards'!$AQ$173,2))))   )))))))))))</f>
        <v/>
      </c>
      <c r="G152" s="531"/>
      <c r="H152" s="568"/>
      <c r="I152" s="519"/>
      <c r="J152" s="559"/>
      <c r="K152" s="555"/>
      <c r="L152" s="21"/>
    </row>
    <row r="153" spans="1:12" ht="15.6" x14ac:dyDescent="0.3">
      <c r="A153" s="556"/>
      <c r="B153" s="562"/>
      <c r="C153" s="127" t="s">
        <v>336</v>
      </c>
      <c r="D153" s="71"/>
      <c r="E153" s="167"/>
      <c r="F153" s="346" t="str">
        <f>IF(E153="","",IF(OR('Quantification Tool R5'!$B$12="67fhi",'Quantification Tool R5'!$B$12="67g",'Quantification Tool R5'!$B$12="71e",'Quantification Tool R5'!$B$12="73a",'Quantification Tool R5'!$B$12="73b",AND(OR('Quantification Tool R5'!$B$12="71f",'Quantification Tool R5'!$B$12="71g",'Quantification Tool R5'!$B$12="71h"),'Quantification Tool R5'!$B$13&gt;2)),IF(E153&gt;100,0,IF(E153&lt;15,0.69,ROUND('Reference Standards'!$AL$208*E153^2+'Reference Standards'!$AL$209*E153+'Reference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),IF(E153&gt;100,0,IF(E153&lt;19,0.69,ROUND('Reference Standards'!$AM$208*E153^2+'Reference Standards'!$AM$209*E153+'Reference Standards'!$AM$210,2))),    IF(OR(AND('Quantification Tool R5'!$B$12="69de",'Quantification Tool R5'!$B$19="January - June"),AND('Quantification Tool R5'!$B$12="71i",'Quantification Tool R5'!$B$13&gt;2,'Quantification Tool R5'!$B$20="SQKICK" )),IF(E153&gt;100,0,IF(E153&lt;22,0.69,ROUND('Reference Standards'!$AN$208*E153^2+'Reference Standards'!$AN$209*E153+'Reference Standards'!$AN$210,2))),    IF(OR('Quantification Tool R5'!$B$12="65j",AND('Quantification Tool R5'!$B$12="68b",'Quantification Tool R5'!$B$13&gt;2)),IF(E153&gt;100,0,IF(E153&lt;24,0.69,ROUND('Reference Standards'!$AO$208*E153^2+'Reference Standards'!$AO$209*E153+'Reference Standards'!$AO$210,2))),    IF(AND(OR('Quantification Tool R5'!$B$12="65abei",'Quantification Tool R5'!$B$12="71f",'Quantification Tool R5'!$B$12="71g",'Quantification Tool R5'!$B$12="71h"),'Quantification Tool R5'!$B$13&lt;=2),IF(E153&gt;95,0,IF(E153&lt;33,0.69,ROUND('Reference Standards'!$AL$246*E153^2+'Reference Standards'!$AL$247*E153+'Reference Standards'!$AL$248,2))),   IF(AND(OR('Quantification Tool R5'!$B$12="65abei",'Quantification Tool R5'!$B$12="74b"),'Quantification Tool R5'!$B$13&gt;2),IF(E153&gt;97,0,IF(E153&lt;36,0.69,ROUND('Reference Standards'!$AM$246*E153^2+'Reference Standards'!$AM$247*E153+'Reference Standards'!$AM$248,2))),  IF(AND('Quantification Tool R5'!$B$12="74a",'Quantification Tool R5'!$B$19="January - June",'Quantification Tool R5'!$B$13&gt;2),IF(E153&gt;93,0,IF(E153&lt;52,0.69,ROUND('Reference Standards'!$AN$246*E153^2+'Reference Standards'!$AN$247*E153+'Reference Standards'!$AN$248,2))),   IF(AND('Quantification Tool R5'!$B$12="74b",'Quantification Tool R5'!$B$13&lt;=2),IF(E153&gt;97,0,IF(E153&lt;62,0.69,ROUND('Reference Standards'!$AO$246*E153^2+'Reference Standards'!$AO$247*E153+'Reference Standards'!$AO$248,2)))  )))))))))</f>
        <v/>
      </c>
      <c r="G153" s="531"/>
      <c r="H153" s="568"/>
      <c r="I153" s="519"/>
      <c r="J153" s="559"/>
      <c r="K153" s="555"/>
      <c r="L153" s="21"/>
    </row>
    <row r="154" spans="1:12" ht="15.6" x14ac:dyDescent="0.3">
      <c r="A154" s="556"/>
      <c r="B154" s="563" t="s">
        <v>74</v>
      </c>
      <c r="C154" s="125" t="s">
        <v>211</v>
      </c>
      <c r="D154" s="126"/>
      <c r="E154" s="166"/>
      <c r="F154" s="345" t="str">
        <f>IF(E154="","",IF(E154=1,0.15,IF(E154=3,0.5,IF(E154=5,0.85,0))))</f>
        <v/>
      </c>
      <c r="G154" s="564" t="str">
        <f>IFERROR(AVERAGE(F154:F155),"")</f>
        <v/>
      </c>
      <c r="H154" s="568"/>
      <c r="I154" s="519"/>
      <c r="J154" s="559"/>
      <c r="K154" s="555"/>
      <c r="L154" s="21"/>
    </row>
    <row r="155" spans="1:12" ht="15.6" x14ac:dyDescent="0.3">
      <c r="A155" s="551"/>
      <c r="B155" s="563"/>
      <c r="C155" s="127" t="s">
        <v>332</v>
      </c>
      <c r="D155" s="71"/>
      <c r="E155" s="167"/>
      <c r="F155" s="347" t="str">
        <f>IF(E155="","",IF(E155=1,0.15,IF(E155=3,0.5,IF(E155=5,0.85,0))))</f>
        <v/>
      </c>
      <c r="G155" s="565"/>
      <c r="H155" s="568"/>
      <c r="I155" s="519"/>
      <c r="J155" s="559"/>
      <c r="K155" s="555"/>
      <c r="L155" s="21"/>
    </row>
    <row r="156" spans="1:12" x14ac:dyDescent="0.3">
      <c r="L156" s="21"/>
    </row>
    <row r="157" spans="1:12" ht="21" x14ac:dyDescent="0.4">
      <c r="A157" s="148" t="s">
        <v>135</v>
      </c>
      <c r="B157" s="246"/>
      <c r="C157" s="249" t="s">
        <v>324</v>
      </c>
      <c r="D157" s="246"/>
      <c r="E157" s="247"/>
      <c r="F157" s="248"/>
      <c r="G157" s="544" t="s">
        <v>18</v>
      </c>
      <c r="H157" s="545"/>
      <c r="I157" s="545"/>
      <c r="J157" s="545"/>
      <c r="K157" s="546"/>
      <c r="L157" s="21"/>
    </row>
    <row r="158" spans="1:12" ht="15.6" x14ac:dyDescent="0.3">
      <c r="A158" s="158" t="s">
        <v>1</v>
      </c>
      <c r="B158" s="158" t="s">
        <v>2</v>
      </c>
      <c r="C158" s="542" t="s">
        <v>3</v>
      </c>
      <c r="D158" s="644"/>
      <c r="E158" s="158" t="s">
        <v>15</v>
      </c>
      <c r="F158" s="158" t="s">
        <v>16</v>
      </c>
      <c r="G158" s="158" t="s">
        <v>19</v>
      </c>
      <c r="H158" s="158" t="s">
        <v>20</v>
      </c>
      <c r="I158" s="314" t="s">
        <v>20</v>
      </c>
      <c r="J158" s="158" t="s">
        <v>21</v>
      </c>
      <c r="K158" s="315" t="s">
        <v>21</v>
      </c>
    </row>
    <row r="159" spans="1:12" ht="15.6" x14ac:dyDescent="0.3">
      <c r="A159" s="540" t="s">
        <v>60</v>
      </c>
      <c r="B159" s="299" t="s">
        <v>86</v>
      </c>
      <c r="C159" s="52" t="s">
        <v>388</v>
      </c>
      <c r="D159" s="52"/>
      <c r="E159" s="162"/>
      <c r="F159" s="338" t="str">
        <f>IF(E159="","",IF(E159&lt;=0,0,IF(E159&gt;=0.95,1,ROUND('Reference Standards'!C$14*E159+'Reference Standards'!C$15,2))))</f>
        <v/>
      </c>
      <c r="G159" s="83" t="str">
        <f>IFERROR(AVERAGE(F159),"")</f>
        <v/>
      </c>
      <c r="H159" s="522" t="str">
        <f>IFERROR(ROUND(AVERAGE(G159:G160),2),"")</f>
        <v/>
      </c>
      <c r="I159" s="519" t="str">
        <f>IF(H159="","",IF(H159&gt;0.69,"Functioning",IF(H159&gt;0.29,"Functioning At Risk",IF(H159&gt;-1,"Not Functioning"))))</f>
        <v/>
      </c>
      <c r="J159" s="559" t="str">
        <f>IF(AND(H159="",H161="",H163="",H185="",H189=""),"",ROUND((IF(H159="",0,H159)*0.2)+(IF(H161="",0,H161)*0.2)+(IF(H163="",0,H163)*0.2)+(IF(H185="",0,H185)*0.2)+(IF(H189="",0,H189)*0.2),2))</f>
        <v/>
      </c>
      <c r="K159" s="555" t="str">
        <f>IF(J159="","",IF(J159&lt;0.3, "Not Functioning",IF(OR(H159&lt;0.7,H161&lt;0.7,H163&lt;0.7,H185&lt;0.7,H189&lt;0.7),"Functioning At Risk",IF(J159&lt;0.7,"Functioning At Risk","Functioning"))))</f>
        <v/>
      </c>
    </row>
    <row r="160" spans="1:12" ht="15.6" x14ac:dyDescent="0.3">
      <c r="A160" s="541"/>
      <c r="B160" s="371" t="s">
        <v>128</v>
      </c>
      <c r="C160" s="373" t="s">
        <v>161</v>
      </c>
      <c r="D160" s="374"/>
      <c r="E160" s="43"/>
      <c r="F160" s="372" t="str">
        <f>IF(E160="","",IF(E160&gt;=1,1,IF(E160&lt;=0,0,ROUND(E160,2))))</f>
        <v/>
      </c>
      <c r="G160" s="367" t="str">
        <f>IFERROR(AVERAGE(F160:F160),"")</f>
        <v/>
      </c>
      <c r="H160" s="523"/>
      <c r="I160" s="519"/>
      <c r="J160" s="559"/>
      <c r="K160" s="555"/>
    </row>
    <row r="161" spans="1:11" ht="15.6" x14ac:dyDescent="0.3">
      <c r="A161" s="524" t="s">
        <v>6</v>
      </c>
      <c r="B161" s="572" t="s">
        <v>7</v>
      </c>
      <c r="C161" s="54" t="s">
        <v>8</v>
      </c>
      <c r="D161" s="54"/>
      <c r="E161" s="162"/>
      <c r="F161" s="339" t="str">
        <f>IF(E161="","",ROUND(IF(E161&gt;1.6,0,IF(E161&lt;=1,1,E161^2*'Reference Standards'!K$14+E161*'Reference Standards'!K$15+'Reference Standards'!K$16)),2))</f>
        <v/>
      </c>
      <c r="G161" s="579" t="str">
        <f>IFERROR(AVERAGE(F161:F162),"")</f>
        <v/>
      </c>
      <c r="H161" s="579" t="str">
        <f>IFERROR(ROUND(AVERAGE(G161),2),"")</f>
        <v/>
      </c>
      <c r="I161" s="569" t="str">
        <f>IF(H161="","",IF(H161&gt;0.69,"Functioning",IF(H161&gt;0.29,"Functioning At Risk",IF(H161&gt;-1,"Not Functioning"))))</f>
        <v/>
      </c>
      <c r="J161" s="559"/>
      <c r="K161" s="555"/>
    </row>
    <row r="162" spans="1:11" ht="15.6" x14ac:dyDescent="0.3">
      <c r="A162" s="525"/>
      <c r="B162" s="572"/>
      <c r="C162" s="54" t="s">
        <v>9</v>
      </c>
      <c r="D162" s="54"/>
      <c r="E162" s="163"/>
      <c r="F162" s="339" t="str">
        <f>IF(E162="","",(IF(OR('Quantification Tool R5'!B$11="A",'Quantification Tool R5'!B$11="B",'Quantification Tool R5'!$B$11="Bc"),IF(E162&lt;1.2,0,IF(E162&gt;=2.2,1,ROUND(IF(E162&lt;1.4,E162*'Reference Standards'!$K$84+'Reference Standards'!$K$85,E162*'Reference Standards'!$L$84+'Reference Standards'!$L$85),2))),IF(OR('Quantification Tool R5'!B$11="C",'Quantification Tool R5'!B$11="E"),IF(E162&lt;2,0,IF(E162&gt;=5,1,ROUND(IF(E162&lt;2.4,E162*'Reference Standards'!$L$49+'Reference Standards'!$L$50,E162*'Reference Standards'!$K$49+'Reference Standards'!$K$50),2)))))))</f>
        <v/>
      </c>
      <c r="G162" s="581"/>
      <c r="H162" s="580"/>
      <c r="I162" s="570"/>
      <c r="J162" s="559"/>
      <c r="K162" s="555"/>
    </row>
    <row r="163" spans="1:11" ht="15.6" x14ac:dyDescent="0.3">
      <c r="A163" s="526" t="s">
        <v>26</v>
      </c>
      <c r="B163" s="557" t="s">
        <v>27</v>
      </c>
      <c r="C163" s="60" t="s">
        <v>333</v>
      </c>
      <c r="D163" s="244"/>
      <c r="E163" s="61"/>
      <c r="F163" s="340" t="str">
        <f>IF(E163="","",IF(OR(LEFT('Quantification Tool R5'!$B$12,2)="65",LEFT('Quantification Tool R5'!$B$12,2)="66",LEFT('Quantification Tool R5'!$B$12,2)="71"),IF(E163&gt;=850,1,IF(E163&lt;250,ROUND('Reference Standards'!$S$17*(E163)+'Reference Standards'!$S$18,2),ROUND('Reference Standards'!$T$17*E163+'Reference Standards'!$T$18,2))),  IF(E163&gt;=345,1,IF(E163&lt;=180,ROUND('Reference Standards'!$U$17*(E163)+'Reference Standards'!$U$18,2),ROUND('Reference Standards'!$V$17*E163+'Reference Standards'!$V$18,2))))    )</f>
        <v/>
      </c>
      <c r="G163" s="528" t="str">
        <f>IFERROR(AVERAGE(F163:F164),"")</f>
        <v/>
      </c>
      <c r="H163" s="566" t="str">
        <f>IFERROR(ROUND(AVERAGE(G163:G184),2),"")</f>
        <v/>
      </c>
      <c r="I163" s="555" t="str">
        <f>IF(H163="","",IF(H163&gt;0.69,"Functioning",IF(H163&gt;0.29,"Functioning At Risk",IF(H163&gt;-1,"Not Functioning"))))</f>
        <v/>
      </c>
      <c r="J163" s="559"/>
      <c r="K163" s="555"/>
    </row>
    <row r="164" spans="1:11" ht="15.6" x14ac:dyDescent="0.3">
      <c r="A164" s="520"/>
      <c r="B164" s="558"/>
      <c r="C164" s="63" t="s">
        <v>323</v>
      </c>
      <c r="D164" s="245"/>
      <c r="E164" s="53"/>
      <c r="F164" s="341" t="str">
        <f>IF(E164="","",IF(OR(LEFT('Quantification Tool R5'!$B$12,2)="65",LEFT('Quantification Tool R5'!$B$12,2)="66",LEFT('Quantification Tool R5'!$B$12,2)="71"),IF(E164&gt;=30,1,IF(E164&lt;13,ROUND('Reference Standards'!$S$53*(E164)+'Reference Standards'!$S$54,2),ROUND('Reference Standards'!$T$53*E164+'Reference Standards'!$T$54,2))),  IF(E164&gt;=16,1,IF(E164&lt;=9,ROUND('Reference Standards'!$U$53*(E164)+'Reference Standards'!$U$54,2),ROUND('Reference Standards'!$V$53*E164+'Reference Standards'!$V$54,2))))    )</f>
        <v/>
      </c>
      <c r="G164" s="530"/>
      <c r="H164" s="566"/>
      <c r="I164" s="555"/>
      <c r="J164" s="559"/>
      <c r="K164" s="555"/>
    </row>
    <row r="165" spans="1:11" ht="15.6" x14ac:dyDescent="0.3">
      <c r="A165" s="520"/>
      <c r="B165" s="520" t="s">
        <v>395</v>
      </c>
      <c r="C165" s="58" t="s">
        <v>80</v>
      </c>
      <c r="D165" s="58"/>
      <c r="E165" s="165"/>
      <c r="F165" s="340" t="str">
        <f>IF(E165="","",ROUND(IF(E165&gt;0.7,0,IF(E165&lt;=0.1,1,E165^3*'Reference Standards'!S$87+E165^2*'Reference Standards'!S$88+E165*'Reference Standards'!S$89+'Reference Standards'!S$90)),2))</f>
        <v/>
      </c>
      <c r="G165" s="552" t="str">
        <f>IFERROR(ROUND(AVERAGE(F165:F168),2),"")</f>
        <v/>
      </c>
      <c r="H165" s="567"/>
      <c r="I165" s="555"/>
      <c r="J165" s="559"/>
      <c r="K165" s="555"/>
    </row>
    <row r="166" spans="1:11" ht="15.6" x14ac:dyDescent="0.3">
      <c r="A166" s="520"/>
      <c r="B166" s="520"/>
      <c r="C166" s="58" t="s">
        <v>49</v>
      </c>
      <c r="D166" s="58"/>
      <c r="E166" s="165"/>
      <c r="F166" s="84"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553"/>
      <c r="H166" s="567"/>
      <c r="I166" s="555"/>
      <c r="J166" s="559"/>
      <c r="K166" s="555"/>
    </row>
    <row r="167" spans="1:11" ht="15.6" x14ac:dyDescent="0.3">
      <c r="A167" s="520"/>
      <c r="B167" s="520"/>
      <c r="C167" s="58" t="s">
        <v>87</v>
      </c>
      <c r="D167" s="58"/>
      <c r="E167" s="165"/>
      <c r="F167" s="84" t="str">
        <f>IF(E167="","",ROUND(IF(E167&gt;40,0,IF(E167&lt;5,1,E167^3*'Reference Standards'!S$122+E167^2*'Reference Standards'!S$123+E167*'Reference Standards'!S$124+'Reference Standards'!S$125)),2))</f>
        <v/>
      </c>
      <c r="G167" s="553"/>
      <c r="H167" s="567"/>
      <c r="I167" s="555"/>
      <c r="J167" s="559"/>
      <c r="K167" s="555"/>
    </row>
    <row r="168" spans="1:11" ht="15.6" x14ac:dyDescent="0.3">
      <c r="A168" s="520"/>
      <c r="B168" s="521"/>
      <c r="C168" s="59" t="s">
        <v>394</v>
      </c>
      <c r="D168" s="59"/>
      <c r="E168" s="167"/>
      <c r="F168" s="341" t="str">
        <f>IF(E168="","",ROUND(IF(E168&gt;=30,0,IF(E168&lt;=0,1,E168*'Reference Standards'!S$156+'Reference Standards'!S$157)),2))</f>
        <v/>
      </c>
      <c r="G168" s="554"/>
      <c r="H168" s="567"/>
      <c r="I168" s="555"/>
      <c r="J168" s="559"/>
      <c r="K168" s="555"/>
    </row>
    <row r="169" spans="1:11" ht="15.6" x14ac:dyDescent="0.3">
      <c r="A169" s="520"/>
      <c r="B169" s="520" t="s">
        <v>50</v>
      </c>
      <c r="C169" s="60" t="s">
        <v>377</v>
      </c>
      <c r="D169" s="64"/>
      <c r="E169" s="136"/>
      <c r="F169" s="294" t="str">
        <f>IF(E169="","",ROUND(IF(E169&gt;9.2,1,E169*'Reference Standards'!$S$189+'Reference Standards'!$S$190),2))</f>
        <v/>
      </c>
      <c r="G169" s="552" t="str">
        <f>IFERROR(ROUND(AVERAGE(F169:F178),2),"")</f>
        <v/>
      </c>
      <c r="H169" s="567"/>
      <c r="I169" s="555"/>
      <c r="J169" s="559"/>
      <c r="K169" s="555"/>
    </row>
    <row r="170" spans="1:11" ht="15.6" x14ac:dyDescent="0.3">
      <c r="A170" s="520"/>
      <c r="B170" s="520"/>
      <c r="C170" s="62" t="s">
        <v>378</v>
      </c>
      <c r="D170" s="58"/>
      <c r="E170" s="162"/>
      <c r="F170" s="294" t="str">
        <f>IF(E170="","",ROUND(IF(E170&gt;9.2,1,E170*'Reference Standards'!$S$189+'Reference Standards'!$S$190),2))</f>
        <v/>
      </c>
      <c r="G170" s="553"/>
      <c r="H170" s="567"/>
      <c r="I170" s="555"/>
      <c r="J170" s="559"/>
      <c r="K170" s="555"/>
    </row>
    <row r="171" spans="1:11" ht="15.6" x14ac:dyDescent="0.3">
      <c r="A171" s="520"/>
      <c r="B171" s="520"/>
      <c r="C171" s="62" t="s">
        <v>379</v>
      </c>
      <c r="D171" s="58"/>
      <c r="E171" s="162"/>
      <c r="F171" s="294" t="str">
        <f>IF(E171="","",ROUND( IF(E171&gt;=200,1,IF(E171&lt;50, E171^2*'Reference Standards'!S$224+E171*'Reference Standards'!S$225+'Reference Standards'!S$226, E171*'Reference Standards'!T$224+'Reference Standards'!T$225)),2))</f>
        <v/>
      </c>
      <c r="G171" s="553"/>
      <c r="H171" s="567"/>
      <c r="I171" s="555"/>
      <c r="J171" s="559"/>
      <c r="K171" s="555"/>
    </row>
    <row r="172" spans="1:11" ht="15.6" x14ac:dyDescent="0.3">
      <c r="A172" s="520"/>
      <c r="B172" s="520"/>
      <c r="C172" s="62" t="s">
        <v>380</v>
      </c>
      <c r="D172" s="58"/>
      <c r="E172" s="162"/>
      <c r="F172" s="294" t="str">
        <f>IF(E172="","",ROUND( IF(E172&gt;=200,1,IF(E172&lt;50, E172^2*'Reference Standards'!S$224+E172*'Reference Standards'!S$225+'Reference Standards'!S$226, E172*'Reference Standards'!T$224+'Reference Standards'!T$225)),2))</f>
        <v/>
      </c>
      <c r="G172" s="553"/>
      <c r="H172" s="567"/>
      <c r="I172" s="555"/>
      <c r="J172" s="559"/>
      <c r="K172" s="555"/>
    </row>
    <row r="173" spans="1:11" ht="15.6" x14ac:dyDescent="0.3">
      <c r="A173" s="520"/>
      <c r="B173" s="520"/>
      <c r="C173" s="58" t="s">
        <v>381</v>
      </c>
      <c r="D173" s="58"/>
      <c r="E173" s="162"/>
      <c r="F173" s="294" t="str">
        <f>IF(E173="","",ROUND(IF(AND(E173&gt;=135,E173&lt;=262),1,IF(  E173&gt;=366,0.5, IF(E173&lt;135,E173*'Reference Standards'!S$259+'Reference Standards'!S$260, E173*'Reference Standards'!T$259+'Reference Standards'!T$260))),2))</f>
        <v/>
      </c>
      <c r="G173" s="553"/>
      <c r="H173" s="567"/>
      <c r="I173" s="555"/>
      <c r="J173" s="559"/>
      <c r="K173" s="555"/>
    </row>
    <row r="174" spans="1:11" ht="15.6" x14ac:dyDescent="0.3">
      <c r="A174" s="520"/>
      <c r="B174" s="520"/>
      <c r="C174" s="58" t="s">
        <v>382</v>
      </c>
      <c r="D174" s="58"/>
      <c r="E174" s="162"/>
      <c r="F174" s="294" t="str">
        <f>IF(E174="","",ROUND(IF(AND(E174&gt;=135,E174&lt;=262),1,IF(  E174&gt;=366,0.5, IF(E174&lt;135,E174*'Reference Standards'!S$259+'Reference Standards'!S$260, E174*'Reference Standards'!T$259+'Reference Standards'!T$260))),2))</f>
        <v/>
      </c>
      <c r="G174" s="553"/>
      <c r="H174" s="567"/>
      <c r="I174" s="555"/>
      <c r="J174" s="559"/>
      <c r="K174" s="555"/>
    </row>
    <row r="175" spans="1:11" ht="15.6" x14ac:dyDescent="0.3">
      <c r="A175" s="520"/>
      <c r="B175" s="520"/>
      <c r="C175" s="58" t="s">
        <v>383</v>
      </c>
      <c r="D175" s="58"/>
      <c r="E175" s="162"/>
      <c r="F175" s="84" t="str">
        <f>IF(E175="","",ROUND(IF(E175&gt;=75,1,IF(E175&lt;=0,0,E175*'Reference Standards'!S$330)),2))</f>
        <v/>
      </c>
      <c r="G175" s="553"/>
      <c r="H175" s="567"/>
      <c r="I175" s="555"/>
      <c r="J175" s="559"/>
      <c r="K175" s="555"/>
    </row>
    <row r="176" spans="1:11" ht="15.6" x14ac:dyDescent="0.3">
      <c r="A176" s="520"/>
      <c r="B176" s="520"/>
      <c r="C176" s="58" t="s">
        <v>384</v>
      </c>
      <c r="D176" s="58"/>
      <c r="E176" s="162"/>
      <c r="F176" s="84" t="str">
        <f>IF(E176="","",ROUND(IF(E176&gt;=75,1,IF(E176&lt;=0,0,E176*'Reference Standards'!S$330)),2))</f>
        <v/>
      </c>
      <c r="G176" s="553"/>
      <c r="H176" s="567"/>
      <c r="I176" s="555"/>
      <c r="J176" s="559"/>
      <c r="K176" s="555"/>
    </row>
    <row r="177" spans="1:13" ht="15.6" x14ac:dyDescent="0.3">
      <c r="A177" s="520"/>
      <c r="B177" s="520"/>
      <c r="C177" s="58" t="s">
        <v>385</v>
      </c>
      <c r="D177" s="58"/>
      <c r="E177" s="162"/>
      <c r="F177" s="294" t="str">
        <f>IF(E177="","",ROUND(IF(AND(E177&gt;=36.3,E177&lt;=68),1,IF(E177&gt;100,0,IF(E177&lt;36.3,(('Reference Standards'!S$297*(E177^2))+('Reference Standards'!S$298*E177)+'Reference Standards'!S$299),IF(E177&gt;68,(('Reference Standards'!T$297*(E177^2))+('Reference Standards'!T$298*E177)+'Reference Standards'!T$299))))),2))</f>
        <v/>
      </c>
      <c r="G177" s="553"/>
      <c r="H177" s="567"/>
      <c r="I177" s="555"/>
      <c r="J177" s="559"/>
      <c r="K177" s="555"/>
      <c r="M177" s="21"/>
    </row>
    <row r="178" spans="1:13" ht="15.6" x14ac:dyDescent="0.3">
      <c r="A178" s="520"/>
      <c r="B178" s="521"/>
      <c r="C178" s="58" t="s">
        <v>386</v>
      </c>
      <c r="D178" s="65"/>
      <c r="E178" s="162"/>
      <c r="F178" s="294" t="str">
        <f>IF(E178="","",ROUND(IF(AND(E178&gt;=36.3,E178&lt;=68),1,IF(E178&gt;100,0,IF(E178&lt;36.3,(('Reference Standards'!S$297*(E178^2))+('Reference Standards'!S$298*E178)+'Reference Standards'!S$299),IF(E178&gt;68,(('Reference Standards'!T$297*(E178^2))+('Reference Standards'!T$298*E178)+'Reference Standards'!T$299))))),2))</f>
        <v/>
      </c>
      <c r="G178" s="554"/>
      <c r="H178" s="567"/>
      <c r="I178" s="555"/>
      <c r="J178" s="559"/>
      <c r="K178" s="555"/>
    </row>
    <row r="179" spans="1:13" ht="15.6" x14ac:dyDescent="0.3">
      <c r="A179" s="520"/>
      <c r="B179" s="56" t="s">
        <v>108</v>
      </c>
      <c r="C179" s="72" t="s">
        <v>130</v>
      </c>
      <c r="D179" s="58"/>
      <c r="E179" s="43"/>
      <c r="F179" s="82" t="str">
        <f>IF(E179="","",IF(OR('Quantification Tool R5'!B$14="Gravel",'Quantification Tool R5'!B$14="Cobble"),IF(E179&gt;0.1,1,IF(E179&lt;=0.01,0,ROUND(E179*'Reference Standards'!$S$362+'Reference Standards'!$S$363,2)))))</f>
        <v/>
      </c>
      <c r="G179" s="82" t="str">
        <f>IFERROR(AVERAGE(F179),"")</f>
        <v/>
      </c>
      <c r="H179" s="567"/>
      <c r="I179" s="555"/>
      <c r="J179" s="559"/>
      <c r="K179" s="555"/>
    </row>
    <row r="180" spans="1:13" ht="15.6" x14ac:dyDescent="0.3">
      <c r="A180" s="520"/>
      <c r="B180" s="526" t="s">
        <v>51</v>
      </c>
      <c r="C180" s="64" t="s">
        <v>52</v>
      </c>
      <c r="D180" s="64"/>
      <c r="E180" s="166"/>
      <c r="F180" s="337" t="str">
        <f>IF(E180="","", IF(ISNUMBER('Quantification Tool R5'!$B$17), IF('Quantification Tool R5'!$B$17&lt;=2,   IF(AND(E180&gt;=3,E180&lt;=5),1, IF(OR(E180&lt;=1,E180&gt;=7), 0, ROUND( IF(E180&lt;3, E180*'Reference Standards'!S$398+'Reference Standards'!S$399,E180*'Reference Standards'!T$398+'Reference Standards'!T$399),2) ) ),   IF(E180&lt;=2.5,1, IF(E180&gt;=5.8,0, ROUND(E180*'Reference Standards'!S$430+'Reference Standards'!S$431,2))))   ))</f>
        <v/>
      </c>
      <c r="G180" s="528" t="str">
        <f>IFERROR(AVERAGE(F180:F183),"")</f>
        <v/>
      </c>
      <c r="H180" s="567"/>
      <c r="I180" s="555"/>
      <c r="J180" s="559"/>
      <c r="K180" s="555"/>
    </row>
    <row r="181" spans="1:13" ht="15.6" x14ac:dyDescent="0.3">
      <c r="A181" s="520"/>
      <c r="B181" s="520"/>
      <c r="C181" s="58" t="s">
        <v>53</v>
      </c>
      <c r="D181" s="58"/>
      <c r="E181" s="165"/>
      <c r="F181" s="84" t="str">
        <f>IF(E181="","", IF( E181&gt;=2.4,1, IF(E181&lt;=1,0,  ROUND(IF(E181&lt;2.4, E181*'Reference Standards'!$S$464+'Reference Standards'!$S$465 ),2))))</f>
        <v/>
      </c>
      <c r="G181" s="529"/>
      <c r="H181" s="567"/>
      <c r="I181" s="555"/>
      <c r="J181" s="559"/>
      <c r="K181" s="555"/>
    </row>
    <row r="182" spans="1:13" ht="15.6" x14ac:dyDescent="0.3">
      <c r="A182" s="520"/>
      <c r="B182" s="520"/>
      <c r="C182" s="58" t="s">
        <v>334</v>
      </c>
      <c r="D182" s="58"/>
      <c r="E182" s="165"/>
      <c r="F182" s="390" t="str">
        <f>IF(E182="","", IF(LEFT('Quantification Tool R5'!$B$12,2)="67",  IF( AND(E182&gt;=45,E182&lt;=65),1, IF(OR(E182&lt;=20,E182&gt;=90),0, ROUND(  IF(E182&lt;45, E182*'Reference Standards'!$S$498+'Reference Standards'!$S$499,E182*'Reference Standards'!$T$498+'Reference Standards'!$T$499),2))), IF(OR(  LEFT('Quantification Tool R5'!$B$12,2)="68", LEFT('Quantification Tool R5'!$B$12,2)="69",LEFT('Quantification Tool R5'!$B$12,2)="71"),  IF( AND(E182&gt;=30,E182&lt;=50),1, IF(OR(E182&lt;=10,E182&gt;=70),0, ROUND(  IF(E182&lt;30, E182*'Reference Standards'!$S$533+'Reference Standards'!$S$534,E182*'Reference Standards'!$T$533+'Reference Standards'!$T$534),2))), IF(LEFT('Quantification Tool R5'!$B$12,2)="66",  IF( AND(E182&gt;=20,E182&lt;=45),1, IF(OR(E182&lt;=0,E182&gt;=90),0, ROUND(  IF(E182&lt;20, E182*'Reference Standards'!$S$567+'Reference Standards'!$S$568,E182*'Reference Standards'!$T$567+'Reference Standards'!$T$568),2))), IF(OR(  LEFT('Quantification Tool R5'!$B$12,2)="65", LEFT('Quantification Tool R5'!$B$12,2)="74", LEFT('Quantification Tool R5'!$B$12,2)="73"),  IF( AND(E182&gt;=20,E182&lt;=30),1, IF(OR(E182&lt;=0,E182&gt;=50),0, ROUND(  IF(E182&lt;20, E182*'Reference Standards'!$S$601+'Reference Standards'!$S$602,E182*'Reference Standards'!$T$601+'Reference Standards'!$T$602),2))))))))</f>
        <v/>
      </c>
      <c r="G182" s="529"/>
      <c r="H182" s="567"/>
      <c r="I182" s="555"/>
      <c r="J182" s="559"/>
      <c r="K182" s="555"/>
    </row>
    <row r="183" spans="1:13" ht="15.6" x14ac:dyDescent="0.3">
      <c r="A183" s="520"/>
      <c r="B183" s="521"/>
      <c r="C183" s="62" t="s">
        <v>210</v>
      </c>
      <c r="D183" s="58"/>
      <c r="E183" s="167"/>
      <c r="F183" s="391" t="str">
        <f>IF(E183="","",IF(E183&gt;=1.6,0,IF(E183&lt;=1,1,ROUND('Reference Standards'!$S$633*E183^3+'Reference Standards'!$S$634*E183^2+'Reference Standards'!$S$635*E183+'Reference Standards'!$S$636,2))))</f>
        <v/>
      </c>
      <c r="G183" s="530"/>
      <c r="H183" s="567"/>
      <c r="I183" s="555"/>
      <c r="J183" s="559"/>
      <c r="K183" s="555"/>
      <c r="L183" s="13"/>
    </row>
    <row r="184" spans="1:13" ht="15.6" x14ac:dyDescent="0.3">
      <c r="A184" s="521"/>
      <c r="B184" s="296" t="s">
        <v>55</v>
      </c>
      <c r="C184" s="242" t="s">
        <v>54</v>
      </c>
      <c r="D184" s="243"/>
      <c r="E184" s="163"/>
      <c r="F184" s="342" t="str">
        <f>IF(E184="","",IF(AND('Quantification Tool R5'!B$11="E",'Quantification Tool R5'!$B$14="Sand",'Quantification Tool R5'!$B$21="Unconfined Alluvial"),ROUND(IF(OR(E184&gt;1.8,E184&lt;1.3),0,IF(E184&lt;=1.6,1,E184*'Reference Standards'!S$667+'Reference Standards'!S$668)),2),    IF('Quantification Tool R5'!$B$21="Unconfined Alluvial",ROUND(IF(OR(E184&lt;1.2, E184&gt;1.5),0,IF(E184&lt;=1.4,1,E184*'Reference Standards'!$S$700+'Reference Standards'!$S$701)),2), IF('Quantification Tool R5'!$B$21="Confined Alluvial",ROUND(IF(E184&lt;1.15,0,IF(E184&lt;=1.4,E184*'Reference Standards'!$S$729+'Reference Standards'!$S$730,1)),2),  IF('Quantification Tool R5'!$B$21="Colluvial",ROUND(IF(E184&gt;1.3,0,IF(E184&gt;1.2,E184*'Reference Standards'!$S$760+'Reference Standards'!$S$761,1)),2) )))))</f>
        <v/>
      </c>
      <c r="G184" s="84" t="str">
        <f>IFERROR(AVERAGE(F184),"")</f>
        <v/>
      </c>
      <c r="H184" s="567"/>
      <c r="I184" s="555"/>
      <c r="J184" s="559"/>
      <c r="K184" s="555"/>
      <c r="L184" s="13"/>
    </row>
    <row r="185" spans="1:13" ht="15.6" x14ac:dyDescent="0.3">
      <c r="A185" s="537" t="s">
        <v>58</v>
      </c>
      <c r="B185" s="67" t="s">
        <v>88</v>
      </c>
      <c r="C185" s="70" t="s">
        <v>338</v>
      </c>
      <c r="D185" s="70"/>
      <c r="E185" s="43"/>
      <c r="F185" s="343" t="str">
        <f>IF(E185="","",ROUND(IF(E185&gt;=942,0,IF(E185&lt;=487,E185*'Reference Standards'!AB$15+'Reference Standards'!AB$16,E185*'Reference Standards'!$AC$15+'Reference Standards'!$AC$16)),2))</f>
        <v/>
      </c>
      <c r="G185" s="85" t="str">
        <f>IFERROR(AVERAGE(F185),"")</f>
        <v/>
      </c>
      <c r="H185" s="547" t="str">
        <f>IFERROR(ROUND(AVERAGE(G185:G188),2),"")</f>
        <v/>
      </c>
      <c r="I185" s="534" t="str">
        <f>IF(H185="","",IF(H185&gt;0.69,"Functioning",IF(H185&gt;0.29,"Functioning At Risk",IF(H185&gt;-1,"Not Functioning"))))</f>
        <v/>
      </c>
      <c r="J185" s="559"/>
      <c r="K185" s="555"/>
      <c r="L185" s="21"/>
    </row>
    <row r="186" spans="1:13" ht="15.6" x14ac:dyDescent="0.3">
      <c r="A186" s="538"/>
      <c r="B186" s="297" t="s">
        <v>362</v>
      </c>
      <c r="C186" s="66" t="s">
        <v>354</v>
      </c>
      <c r="D186" s="66"/>
      <c r="E186" s="163"/>
      <c r="F186" s="344" t="str">
        <f>IF(E186="","",IF(OR('Quantification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June")),IF(E186&gt;93,0,IF(E186&lt;13,1,ROUND('Reference Standards'!$AB$53*E186^2+'Reference Standards'!$AB$54*E186+'Reference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R5'!$B$12="73b"),IF(E186&gt;94,0,IF(E186&lt;17,1,ROUND('Reference Standards'!$AC$53*E186^2+'Reference Standards'!$AC$54*E186+'Reference Standards'!$AC$55,2))),    IF(OR(AND(OR('Quantification Tool R5'!$B$12="68b",'Quantification Tool R5'!$B$12="71i"),'Quantification Tool R5'!$B$13&gt;2), 'Quantification Tool R5'!$B$12="71e"),IF(E186&gt;91,0,IF(E186&lt;24,1,ROUND('Reference Standards'!$AD$53*E186^2+'Reference Standards'!$AD$54*E186+'Reference Standards'!$AD$55,2))),  IF(OR(AND(OR('Quantification Tool R5'!$B$12="71f",'Quantification Tool R5'!$B$12="71g",'Quantification Tool R5'!$B$12="71h",'Quantification Tool R5'!$B$12="71i"),'Quantification Tool R5'!$B$13&lt;=2), AND('Quantification Tool R5'!$B$12="74a",'Quantification Tool R5'!$B$13&gt;2)),IF(E186&gt;95,0,IF(E186&lt;=36,1,ROUND('Reference Standards'!$AE$53*E186^2+'Reference Standards'!$AE$54*E186+'Reference Standards'!$AE$55,2))))))))</f>
        <v/>
      </c>
      <c r="G186" s="236" t="str">
        <f>IFERROR(AVERAGE(F186:F186),"")</f>
        <v/>
      </c>
      <c r="H186" s="548"/>
      <c r="I186" s="535"/>
      <c r="J186" s="559"/>
      <c r="K186" s="555"/>
      <c r="L186" s="21"/>
    </row>
    <row r="187" spans="1:13" ht="15.6" x14ac:dyDescent="0.3">
      <c r="A187" s="538"/>
      <c r="B187" s="67" t="s">
        <v>81</v>
      </c>
      <c r="C187" s="68" t="s">
        <v>281</v>
      </c>
      <c r="D187" s="68"/>
      <c r="E187" s="162"/>
      <c r="F187" s="344" t="str">
        <f>IF(E187="","",IF(ISNUMBER('Quantification Tool R5'!$B$13),IF(OR('Quantification Tool R5'!$B$12="66e",'Quantification Tool R5'!$B$12="66f",'Quantification Tool R5'!$B$12="66g"),ROUND(IF(E187&gt;=0.61,0,IF(E187&lt;=0.01,1,IF(E187&lt;=0.06,E187*'Reference Standards'!$AD$197+'Reference Standards'!$AD$198,E187^2*'Reference Standards'!$AB$196+E187*'Reference Standards'!$AB$197+'Reference Standards'!$AB$198))),2),IF('Quantification Tool R5'!$B$12="68b",ROUND(IF(E187&gt;=1.1,0,IF(E187&lt;=0.17,1,IF(E187&lt;=0.22,E187*'Reference Standards'!$AE$197+'Reference Standards'!$AE$198,E187^2*'Reference Standards'!$AC$196+E187*'Reference Standards'!$AC$197+'Reference Standards'!$AC$198))),2),IF('Quantification Tool R5'!$B$13&lt;=2.5,IF('Quantification Tool R5'!$B$12="69de",ROUND(IF(E187&gt;=0.22,0,IF(E187&lt;=0.01,1,E187^2*'Reference Standards'!$AB$90+E187*'Reference Standards'!$AB$91+'Reference Standards'!$AB$92)),2),IF('Quantification Tool R5'!$B$12="68c",ROUND(IF(E187&gt;=0.87,0,IF(E187&lt;=0.01,1,E187^2*'Reference Standards'!$AC$90+E187*'Reference Standards'!$AC$91+'Reference Standards'!$AC$92)),2),IF('Quantification Tool R5'!$B$12="68a",ROUND(IF(E187&gt;=0.81,0,IF(E187&lt;=0.01,1,E187^2*'Reference Standards'!$AD$90+E187*'Reference Standards'!$AD$91+'Reference Standards'!$AD$92)),2),IF('Quantification Tool R5'!$B$12="65abei",ROUND(IF(E187&gt;=0.67,0,IF(E187&lt;=0.01,1,IF(E187&lt;=0.18,E187*'Reference Standards'!$AG$91+'Reference Standards'!$AG$92,E187*'Reference Standards'!$AE$91+'Reference Standards'!$AE$92))),2),IF('Quantification Tool R5'!$B$12="65j",ROUND(IF(E187&gt;=0.32,0,IF(E187&lt;=0.01,1,IF(E187&lt;=0.25,E187*'Reference Standards'!$AH$91+'Reference Standards'!$AH$92,E187*'Reference Standards'!$AF$91+'Reference Standards'!$AF$92))),2),IF('Quantification Tool R5'!$B$12="71f",ROUND(IF(E187&gt;=3,0,IF(E187&lt;=0,1,IF(E187&lt;=0.01,0.7,E187^2*'Reference Standards'!$AB$126+E187*'Reference Standards'!$AB$127+'Reference Standards'!$AB$128))),2),IF('Quantification Tool R5'!$B$12="74a",ROUND(IF(E187&gt;=0.14,0,IF(E187&lt;=0.01,1,IF(E187&lt;=0.02,0.7,E187^2*'Reference Standards'!$AC$126+E187*'Reference Standards'!$AC$127+'Reference Standards'!$AC$128))),2),IF(OR('Quantification Tool R5'!$B$12="67fhi",'Quantification Tool R5'!$B$12="67g"),ROUND(IF(E187&gt;=1.9,0,IF(E187&lt;=0.01,1,IF(E187&lt;=0.05,E187*'Reference Standards'!$AF$127+'Reference Standards'!$AF$128,E187^2*'Reference Standards'!$AD$126+E187*'Reference Standards'!$AD$127+'Reference Standards'!$AD$128))),2),IF('Quantification Tool R5'!$B$12="73a",ROUND(IF(E187&gt;=1.44,0,IF(E187&lt;=0.01,1,IF(E187&lt;=0.12,E187*'Reference Standards'!$AG$127+'Reference Standards'!$AG$128,E187^2*'Reference Standards'!$AE$126+E187*'Reference Standards'!$AE$127+'Reference Standards'!$AE$128))),2),IF('Quantification Tool R5'!$B$12="66d",ROUND(IF(E187&gt;=0.46,0,IF(E187&lt;=0.02,1,IF(E187&lt;=0.08,E187*'Reference Standards'!$AF$163+'Reference Standards'!$AF$164,E187^2*'Reference Standards'!$AB$162+E187*'Reference Standards'!$AB$163+'Reference Standards'!$AB$164))),2),IF(OR('Quantification Tool R5'!$B$12="71g",'Quantification Tool R5'!$B$12="71h",'Quantification Tool R5'!$B$12="71i"),ROUND(IF(E187&gt;=3,0,IF(E187&lt;=0.06,1,IF(E187&lt;=0.24,E187*'Reference Standards'!$AG$163+'Reference Standards'!$AG$164,E187^2*'Reference Standards'!$AC$162+E187*'Reference Standards'!$AC$163+'Reference Standards'!$AC$164))),2),IF('Quantification Tool R5'!$B$12="74b",ROUND(IF(E187&gt;=1.3,0,IF(E187&lt;=0.29,1,IF(E187&lt;=0.48,E187*'Reference Standards'!$AH$163+'Reference Standards'!$AH$164,E187^2*'Reference Standards'!$AD$162+E187*'Reference Standards'!$AD$163+'Reference Standards'!$AD$164))),2),IF('Quantification Tool R5'!$B$12="71e",ROUND(IF(E187&gt;=4.3,0,IF(E187&lt;=0.53,1,IF(E187&lt;=0.67,E187*'Reference Standards'!$AI$163+'Reference Standards'!$AI$164,E187^2*'Reference Standards'!$AE$162+E187*'Reference Standards'!$AE$163+'Reference Standards'!$AE$164))),2)))))))))))))),IF('Quantification Tool R5'!$B$13&gt;2.5,IF('Quantification Tool R5'!$B$12="73a",ROUND(IF(E187&gt;=0.55,0,IF(E187&lt;=0,1,E187^2*'Reference Standards'!$AB$232+E187*'Reference Standards'!$AB$233+'Reference Standards'!$AB$234)),2),IF('Quantification Tool R5'!$B$12="68a",ROUND(IF(E187&gt;=0.54,0,IF(E187&lt;=0,1,IF(E187&lt;=0.01,0.85,E187^2*'Reference Standards'!$AC$232+E187*'Reference Standards'!$AC$233+'Reference Standards'!$AC$234))),2),IF('Quantification Tool R5'!$B$12="74a",ROUND(IF(E187&gt;=0.47,0,IF(E187&lt;=0.01,1,IF(E187&lt;=0.02,0.7,E187^2*'Reference Standards'!$AD$232+E187*'Reference Standards'!$AD$233+'Reference Standards'!$AD$234))),2),IF('Quantification Tool R5'!$B$12="69de",ROUND(IF(E187&gt;=0.26,0,IF(E187&lt;=0.01,1,IF(E187&lt;=0.02,0.85,E187^2*'Reference Standards'!$AE$232+E187*'Reference Standards'!$AE$233+'Reference Standards'!$AE$234))),2),IF('Quantification Tool R5'!$B$12="71f",ROUND(IF(E187&gt;=0.87,0,IF(E187&lt;=0.01,1,IF(E187&lt;=0.04,E187*'Reference Standards'!$AF$269+'Reference Standards'!$AF$270,E187^2*'Reference Standards'!$AB$268+E187*'Reference Standards'!$AB$269+'Reference Standards'!$AB$270))),2),IF('Quantification Tool R5'!$B$12="65abei",ROUND(IF(E187&gt;=0.82,0,IF(E187&lt;=0.01,1,IF(E187&lt;=0.06,E187*'Reference Standards'!$AG$269+'Reference Standards'!$AG$270,E187^2*'Reference Standards'!$AC$268+E187*'Reference Standards'!$AC$269+'Reference Standards'!$AC$270))),2),IF('Quantification Tool R5'!$B$12="65j",ROUND(IF(E187&gt;=0.33,0,IF(E187&lt;=0.03,1,IF(E187&lt;=0.09,E187*'Reference Standards'!$AH$269+'Reference Standards'!$AH$270,E187^2*'Reference Standards'!$AD$268+E187*'Reference Standards'!$AD$269+'Reference Standards'!$AD$270))),2),IF('Quantification Tool R5'!$B$12="68c",ROUND(IF(E187&gt;=0.7,0,IF(E187&lt;=0.07,1,IF(E187&lt;=0.12,E187*'Reference Standards'!$AI$269+'Reference Standards'!$AI$270,E187^2*'Reference Standards'!$AE$268+E187*'Reference Standards'!$AE$269+'Reference Standards'!$AE$270))),2),IF(OR('Quantification Tool R5'!$B$12="67fhi",'Quantification Tool R5'!$B$12="67g"),ROUND(IF(E187&gt;=1.8,0,IF(E187&lt;=0.08,1,IF(E187&lt;=0.2,E187*'Reference Standards'!$AF$306+'Reference Standards'!$AF$307,E187^2*'Reference Standards'!$AB$305+E187*'Reference Standards'!$AB$306+'Reference Standards'!$AB$307))),2),IF('Quantification Tool R5'!$B$12="74b",ROUND(IF(E187&gt;=0.96,0,IF(E187&lt;=0.12,1,IF(E187&lt;=0.16,E187*'Reference Standards'!$AG$306+'Reference Standards'!$AG$307,E187^2*'Reference Standards'!$AC$305+E187*'Reference Standards'!$AC$306+'Reference Standards'!$AC$307))),2),IF('Quantification Tool R5'!$B$12="66d",ROUND(IF(E187&gt;=0.75,0,IF(E187&lt;=0.13,1,IF(E187&lt;=0.2,E187*'Reference Standards'!$AH$306+'Reference Standards'!$AH$307,E187^2*'Reference Standards'!$AD$305+E187*'Reference Standards'!$AD$306+'Reference Standards'!$AD$307))),2),IF(OR('Quantification Tool R5'!$B$12="71g",'Quantification Tool R5'!$B$12="71h",'Quantification Tool R5'!$B$12="71i"),ROUND(IF(E187&gt;=1.68,0,IF(E187&lt;=0.08,1,IF(E187&lt;=0.23,E187*'Reference Standards'!$AI$306+'Reference Standards'!$AI$307,E187^2*'Reference Standards'!$AE$305+E187*'Reference Standards'!$AE$306+'Reference Standards'!$AE$307))),2),IF('Quantification Tool R5'!$B$12="71e",ROUND(IF(E187&gt;=5.3,0,IF(E187&lt;=0.94,1,IF(E187&lt;=1.4,E187*'Reference Standards'!$AF$310+'Reference Standards'!$AF$311,E187^2*'Reference Standards'!$AB$309+E187*'Reference Standards'!$AB$310+'Reference Standards'!$AB$311))),2))))))))))))))))))))</f>
        <v/>
      </c>
      <c r="G187" s="86" t="str">
        <f>IFERROR(AVERAGE(F187),"")</f>
        <v/>
      </c>
      <c r="H187" s="548"/>
      <c r="I187" s="535"/>
      <c r="J187" s="559"/>
      <c r="K187" s="555"/>
      <c r="L187" s="21"/>
    </row>
    <row r="188" spans="1:13" ht="15.6" x14ac:dyDescent="0.3">
      <c r="A188" s="539"/>
      <c r="B188" s="298" t="s">
        <v>82</v>
      </c>
      <c r="C188" s="66" t="s">
        <v>280</v>
      </c>
      <c r="D188" s="66"/>
      <c r="E188" s="136"/>
      <c r="F188" s="343" t="str">
        <f>IF(E188="","", IF(ISNUMBER('Quantification Tool R5'!$B$13),IF('Quantification Tool R5'!$B$13&gt;2.5,IF(OR('Quantification Tool R5'!$B$12="71h",'Quantification Tool R5'!$B$12="71i",'Quantification Tool R5'!$B$12="73a",'Quantification Tool R5'!$B$12="74a"),IF(E188&lt;=0.01,1,IF(OR('Quantification Tool R5'!$B$12="71h",'Quantification Tool R5'!$B$12="71i"),IF(E188&gt;0.37,0,ROUND(IF(E188&gt;0.03,'Reference Standards'!$AB$425*E188^2+'Reference Standards'!$AB$426*E188+'Reference Standards'!$AB$427,'Reference Standards'!$AF$426*E188+'Reference Standards'!$AF$427),2)),  IF('Quantification Tool R5'!$B$12="73a",IF(E188&gt;0.405,0,ROUND(IF(E188&gt;0.046,'Reference Standards'!$AC$425*E188^2+'Reference Standards'!$AC$426*E188+'Reference Standards'!$AC$427,'Reference Standards'!$AG$426*E188+'Reference Standards'!$AG$427),2)),IF('Quantification Tool R5'!$B$12="74a",IF(E188&gt;0.3,0,ROUND(IF(E188&gt;0.052,'Reference Standards'!$AD$425*E188^2+'Reference Standards'!$AD$426*E188+'Reference Standards'!$AD$427,'Reference Standards'!$AH$426*E188+'Reference Standards'!$AH$427),2)))))),   IF(E188&lt;=0.002,1,IF(OR('Quantification Tool R5'!$B$12="66d",'Quantification Tool R5'!$B$12="66e",'Quantification Tool R5'!$B$12="66g"),IF(E188&gt;0.053,0,ROUND(E188^2*'Reference Standards'!$AB$347+E188*'Reference Standards'!$AB$348+'Reference Standards'!$AB$349,2)), IF('Quantification Tool R5'!$B$12="68b",IF(E188&gt;0.05,0,ROUND(E188^2*'Reference Standards'!$AC$347+E188*'Reference Standards'!$AC$348+'Reference Standards'!$AC$349,2)),  IF(OR('Quantification Tool R5'!$B$12="68a",'Quantification Tool R5'!$B$12="68c"),IF(E188&gt;0.07,0,ROUND(E188^2*'Reference Standards'!$AD$347+E188*'Reference Standards'!$AD$348+'Reference Standards'!$AD$349,2)), IF(OR('Quantification Tool R5'!$B$12="71f",'Quantification Tool R5'!$B$12="71g"),IF(E188&gt;0.13,0,ROUND(IF(E188&gt;0.042,E188*'Reference Standards'!$AE$348+'Reference Standards'!$AE$349,E188*'Reference Standards'!$AF$348+'Reference Standards'!$AF$349),2)), IF('Quantification Tool R5'!$B$12="67fhi",IF(E188&gt;0.16,0,ROUND(E188^2*'Reference Standards'!$AG$347+E188*'Reference Standards'!$AG$348+'Reference Standards'!$AG$349,2)),  IF('Quantification Tool R5'!$B$12="65j",IF(E188&gt;0.035,0,ROUND(IF(E188&lt;=0.003,0.7,E188^2*'Reference Standards'!$AB$387+E188*'Reference Standards'!$AB$388+'Reference Standards'!$AB$389),2)),IF('Quantification Tool R5'!$B$12="69de",IF(E188&gt;0.037,0,ROUND(IF(E188&lt;=0.003,0.7,E188^2*'Reference Standards'!$AC$387+E188*'Reference Standards'!$AC$388+'Reference Standards'!$AC$389),2)),IF('Quantification Tool R5'!$B$12="71e",IF(E188&gt;0.23,0,ROUND(IF(E188&lt;=0.003,0.7,E188^2*'Reference Standards'!$AD$387+E188*'Reference Standards'!$AD$388+'Reference Standards'!$AD$389),2)),IF('Quantification Tool R5'!$B$12="66f",IF(E188&gt;0.06,0,ROUND(IF(E188&lt;=0.003,0.85,IF(E188&lt;=0.004,0.7,E188^2*'Reference Standards'!$AE$387+E188*'Reference Standards'!$AE$388+'Reference Standards'!$AE$389)),2)),IF('Quantification Tool R5'!$B$12="67g",IF(E188&gt;0.11,0,ROUND(IF(E188&lt;=0.01,E188*'Reference Standards'!$AH$388+'Reference Standards'!$AH$389, E188^2*'Reference Standards'!$AF$387+E188*'Reference Standards'!$AF$388+'Reference Standards'!$AF$389),2)),IF('Quantification Tool R5'!$B$12="74b",IF(E188&gt;0.49,0,ROUND(IF(E188&lt;=0.01,E188*'Reference Standards'!$AH$388+'Reference Standards'!$AH$389, E188^2*'Reference Standards'!$AG$387+E188*'Reference Standards'!$AG$388+'Reference Standards'!$AG$389),2)),IF('Quantification Tool R5'!$B$12="65abei",IF(E188&gt;0.199,0,ROUND(IF(E188&lt;=0.01,E188*'Reference Standards'!$AI$426+'Reference Standards'!$AI$427, E188^2*'Reference Standards'!$AE$425+E188*'Reference Standards'!$AE$426+'Reference Standards'!$AE$427),2))    )))))))))))))),      IF('Quantification Tool R5'!$B$13&lt;=2.5, IF(OR('Quantification Tool R5'!$B$12="66d",'Quantification Tool R5'!$B$12="66e",'Quantification Tool R5'!$B$12="66g"),IF(E188&gt;0.05,0,ROUND(IF(E188&lt;=0.002,1,IF(E188&lt;=0.005,E188*'Reference Standards'!$AF$464+'Reference Standards'!$AF$465, E188^2*'Reference Standards'!$AB$463+E188*'Reference Standards'!$AB$464+'Reference Standards'!$AB$465)),2)), IF('Quantification Tool R5'!$B$12="67fhi",IF(E188&gt;0.1,0,ROUND(IF(E188&lt;=0.002,1,IF(E188&lt;=0.006,E188*'Reference Standards'!$AG$464+'Reference Standards'!$AG$465, E188^2*'Reference Standards'!$AC$463+E188*'Reference Standards'!$AC$464+'Reference Standards'!$AC$465)),2)), IF('Quantification Tool R5'!$B$12="65abei",IF(E188&gt;0.13,0,ROUND(IF(E188&lt;=0.003,1,IF(E188&lt;=0.008,E188*'Reference Standards'!$AH$464+'Reference Standards'!$AH$465, E188^2*'Reference Standards'!$AD$463+E188*'Reference Standards'!$AD$464+'Reference Standards'!$AD$465)),2)), IF('Quantification Tool R5'!$B$12="68b",IF(E188&gt;0.043,0,ROUND(IF(E188&lt;=0.004,1, IF(E188&lt;=0.005,0.7, E188^2*'Reference Standards'!$AE$463+E188*'Reference Standards'!$AE$464+'Reference Standards'!$AE$465)),2)), IF('Quantification Tool R5'!$B$12="69de",IF(E188&gt;=0.034,0,ROUND(IF(E188&lt;=0.003,1, IF(E188&lt;=0.006,E188*'Reference Standards'!$AG$500+'Reference Standards'!$AG$501, E188*'Reference Standards'!$AB$500+'Reference Standards'!$AB$501)),2)), IF(OR('Quantification Tool R5'!$B$12="68a",'Quantification Tool R5'!$B$12="68c"),IF(E188&gt;0.202,0,ROUND(IF(E188&lt;=0.003,1, IF(E188&lt;=0.006,E188*'Reference Standards'!$AG$500+'Reference Standards'!$AG$501, IF(E188&gt;=0.04,E188*'Reference Standards'!$AC$500+'Reference Standards'!$AC$501,E188*'Reference Standards'!$AE$500+'Reference Standards'!$AE$501))),2)), IF(OR('Quantification Tool R5'!$B$12="71f",'Quantification Tool R5'!$B$12="71g"),IF(E188&gt;0.631,0,ROUND(IF(E188&lt;=0.003,1, IF(E188&lt;=0.006,E188*'Reference Standards'!$AG$500+'Reference Standards'!$AG$501, IF(E188&gt;=0.17,E188*'Reference Standards'!$AD$500+'Reference Standards'!$AD$501,E188*'Reference Standards'!$AF$500+'Reference Standards'!$AF$501))),2)),   IF('Quantification Tool R5'!$B$12="71e",IF(E188&gt;1.23,0,ROUND(IF(E188&lt;=0.004,1,IF(E188&lt;=0.006,E188*'Reference Standards'!$AF$538+'Reference Standards'!$AF$539, E188^2*'Reference Standards'!$AB$537+E188*'Reference Standards'!$AB$538+'Reference Standards'!$AB$539)),2)), IF('Quantification Tool R5'!$B$12="67g",IF(E188&gt;0.11,0,ROUND(IF(E188&lt;=0.006,1,IF(E188&lt;=0.011,E188*'Reference Standards'!$AG$538+'Reference Standards'!$AG$539, E188^2*'Reference Standards'!$AC$537+E188*'Reference Standards'!$AC$538+'Reference Standards'!$AC$539)),2)), IF('Quantification Tool R5'!$B$12="65j",IF(E188&gt;0.046,0,ROUND(IF(E188&lt;=0.007,1,IF(E188&lt;=0.012,E188*'Reference Standards'!$AH$538+'Reference Standards'!$AH$539, E188^2*'Reference Standards'!$AD$537+E188*'Reference Standards'!$AD$538+'Reference Standards'!$AD$539)),2)), IF('Quantification Tool R5'!$B$12="66f",IF(E188&gt;0.081,0,ROUND(IF(E188&lt;=0.008,1,IF(E188&lt;=0.011,E188*'Reference Standards'!$AI$538+'Reference Standards'!$AI$539, E188^2*'Reference Standards'!$AE$537+E188*'Reference Standards'!$AE$538+'Reference Standards'!$AE$539)),2)), IF(OR('Quantification Tool R5'!$B$12="71h",'Quantification Tool R5'!$B$12="71i"),IF(E188&gt;0.37,0,ROUND(IF(E188&lt;=0.013,1,IF(E188&lt;=0.032,E188*'Reference Standards'!$AH$576+'Reference Standards'!$AH$577, IF(E188&lt;=0.3,E188*'Reference Standards'!$AF$576+'Reference Standards'!$AF$577,E188*'Reference Standards'!$AB$576+'Reference Standards'!$AB$577))),2)), IF('Quantification Tool R5'!$B$12="73a",IF(E188&gt;0.448,0,ROUND(IF(E188&lt;=0.071,1,IF(E188&lt;=0.086,E188*'Reference Standards'!$AJ$576+'Reference Standards'!$AJ$577, IF(E188&lt;=0.165,E188*'Reference Standards'!$AG$576+'Reference Standards'!$AG$577,E188*'Reference Standards'!$AE$576+'Reference Standards'!$AE$577))),2)),  IF('Quantification Tool R5'!$B$12="74b",IF(E188&gt;0.43,0,ROUND(IF(E188&lt;=0.018,1,IF(E188&lt;=0.019,0.85, IF(E188&lt;=0.02,0.7, E188^2*'Reference Standards'!$AC$575+E188*'Reference Standards'!$AC$576+'Reference Standards'!$AC$577))),2)), IF('Quantification Tool R5'!$B$12="74a",IF(E188&gt;0.217,0,ROUND(IF(E188&lt;=0.02,1,IF(E188&lt;=0.033,E188*'Reference Standards'!$AI$576+'Reference Standards'!$AI$577, E188^2*'Reference Standards'!$AD$575+E188*'Reference Standards'!$AD$576+'Reference Standards'!$AD$577)),2))     )))))))))))))))))))</f>
        <v/>
      </c>
      <c r="G188" s="87" t="str">
        <f>IFERROR(AVERAGE(F188),"")</f>
        <v/>
      </c>
      <c r="H188" s="549"/>
      <c r="I188" s="536"/>
      <c r="J188" s="559"/>
      <c r="K188" s="555"/>
      <c r="L188" s="21"/>
    </row>
    <row r="189" spans="1:13" ht="15.6" x14ac:dyDescent="0.3">
      <c r="A189" s="550" t="s">
        <v>59</v>
      </c>
      <c r="B189" s="560" t="s">
        <v>340</v>
      </c>
      <c r="C189" s="125" t="s">
        <v>331</v>
      </c>
      <c r="D189" s="126"/>
      <c r="E189" s="166"/>
      <c r="F189" s="345" t="str">
        <f>IF(E189="","",IF(OR('Quantification Tool R5'!B$12="73a",'Quantification Tool R5'!B$12="73b"),IF(E189&lt;1,0,IF(E189&gt;=30,1,ROUND(IF(E189&lt;22,'Reference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531" t="str">
        <f>IFERROR(AVERAGE(F189:F192),"")</f>
        <v/>
      </c>
      <c r="H189" s="568" t="str">
        <f>IFERROR(ROUND(AVERAGE(G189:G194),2),"")</f>
        <v/>
      </c>
      <c r="I189" s="519" t="str">
        <f>IF(H189="","",IF(H189&gt;0.69,"Functioning",IF(H189&gt;0.29,"Functioning At Risk",IF(H189&gt;-1,"Not Functioning"))))</f>
        <v/>
      </c>
      <c r="J189" s="559"/>
      <c r="K189" s="555"/>
      <c r="L189" s="21"/>
    </row>
    <row r="190" spans="1:13" ht="15.6" x14ac:dyDescent="0.3">
      <c r="A190" s="556"/>
      <c r="B190" s="561"/>
      <c r="C190" s="174" t="s">
        <v>335</v>
      </c>
      <c r="D190" s="175"/>
      <c r="E190" s="165"/>
      <c r="F190" s="346" t="str">
        <f>IF(E190="","",IF(AND('Quantification Tool R5'!$B$12="74b",'Quantification Tool R5'!$B$13&lt;=2),IF(E190&lt;0,0,IF(E190&gt;15.6,0.69,ROUND('Reference Standards'!$AL$54*E190^2+'Reference Standards'!$AL$55*E190+'Reference Standards'!$AL$56,2))),IF(AND('Quantification Tool R5'!$B$12="65abei",'Quantification Tool R5'!$B$13&lt;=2),IF(E190&lt;0,0,IF(E190&gt;=20,0.69,ROUND('Reference Standards'!$AM$54*E190^2+'Reference Standards'!$AM$55*E190+'Reference Standards'!$AM$56,2))),IF(OR(AND('Quantification Tool R5'!$B$12="74a",'Quantification Tool R5'!$B$13&gt;2,'Quantification Tool R5'!$B$19="January - June"),AND('Quantification Tool R5'!$B$12="71i",'Quantification Tool R5'!$B$13&gt;2,'Quantification Tool R5'!$B$20="SQBANK")),IF(E190&lt;0,0,IF(E190&gt;24.7,0.69,ROUND('Reference Standards'!$AN$54*E190^2+'Reference Standards'!$AN$55*E190+'Reference Standards'!$AN$56,2))),IF(OR('Quantification Tool R5'!$B$12="74b",'Quantification Tool R5'!$B$12="65abei"),IF(E190&lt;0,0,IF(E190&gt;32.7,0.69,ROUND('Reference Standards'!$AO$54*E190^2+'Reference Standards'!$AO$55*E190+'Reference Standards'!$AO$56,2))),IF(AND('Quantification Tool R5'!$B$12="68b",'Quantification Tool R5'!$B$13&gt;2),IF(E190&lt;0,0,IF(E190&gt;41.2,0.69,ROUND('Reference Standards'!$AP$54*E190^2+'Reference Standards'!$AP$55*E190+'Reference Standards'!$AP$56,2))),IF(OR(AND('Quantification Tool R5'!$B$12="71i",'Quantification Tool R5'!$B$13&lt;=2),AND(OR('Quantification Tool R5'!$B$12="68c",'Quantification Tool R5'!$B$12="68d"),'Quantification Tool R5'!$B$19="January - June")),IF(E190&lt;0,0,IF(E190&gt;49.2,0.69,ROUND('Reference Standards'!$AL$94*E190^2+'Reference Standards'!$AL$95*E190+'Reference Standards'!$AL$96,2))),IF(OR(AND('Quantification Tool R5'!$B$12="68a",'Quantification Tool R5'!$B$19="January - June"),AND(OR('Quantification Tool R5'!$B$12="68c",'Quantification Tool R5'!$B$12="68d"),'Quantification Tool R5'!$B$19="July - December")),IF(E190&lt;0,0,IF(E190&gt;53.4,0.69,ROUND('Reference Standards'!$AM$94*E190^2+'Reference Standards'!$AM$95*E190+'Reference Standards'!$AM$96,2))),IF(OR(AND('Quantification Tool R5'!$B$12="71i",'Quantification Tool R5'!$B$13&gt;2,'Quantification Tool R5'!$B$20="SQKICK"),AND(OR('Quantification Tool R5'!$B$12="67fhi",'Quantification Tool R5'!$B$12="67g"),'Quantification Tool R5'!$B$13&lt;=2),'Quantification Tool R5'!$B$12="65j"),IF(E190&lt;0,0,IF(E190&gt;57.8,0.69,ROUND('Reference Standards'!$AN$94*E190^2+'Reference Standards'!$AN$95*E190+'Reference Standards'!$AN$96,2))),IF(OR(AND('Quantification Tool R5'!$B$12="74a",'Quantification Tool R5'!$B$13&gt;2,'Quantification Tool R5'!$B$19="July - December"),AND(OR('Quantification Tool R5'!$B$12="67fhi",'Quantification Tool R5'!$B$12="67g"),'Quantification Tool R5'!$B$13&gt;2),'Quantification Tool R5'!$B$12="69de"),IF(E190&lt;0,0,IF(E190&gt;62.5,0.69,ROUND('Reference Standards'!$AO$94*E190^2+'Reference Standards'!$AO$95*E190+'Reference Standards'!$AO$96,2))),  IF(OR('Quantification Tool R5'!$B$12="66d",'Quantification Tool R5'!$B$12="66e",'Quantification Tool R5'!$B$12="66ik",'Quantification Tool R5'!$B$12="71e",'Quantification Tool R5'!$B$12="71f",'Quantification Tool R5'!$B$12="71g",'Quantification Tool R5'!$B$12="71h"),IF(E190&lt;0,0,IF(E190&gt;66.5,0.69,ROUND('Reference Standards'!$AP$94*E190^2+'Reference Standards'!$AP$95*E190+'Reference Standards'!$AP$96,2))),IF(OR('Quantification Tool R5'!$B$12="66f",'Quantification Tool R5'!$B$12="66g",'Quantification Tool R5'!$B$12="66j",AND('Quantification Tool R5'!$B$12="68a",'Quantification Tool R5'!$B$19="July - December")), IF(E190&lt;0,0,IF(E190&gt;69,0.69,ROUND('Reference Standards'!$AQ$94*E190^2+'Reference Standards'!$AQ$95*E190+'Reference Standards'!$AQ$96,2))))   )))))))))))</f>
        <v/>
      </c>
      <c r="G190" s="531"/>
      <c r="H190" s="568"/>
      <c r="I190" s="519"/>
      <c r="J190" s="559"/>
      <c r="K190" s="555"/>
      <c r="L190" s="21"/>
    </row>
    <row r="191" spans="1:13" ht="15.6" x14ac:dyDescent="0.3">
      <c r="A191" s="556"/>
      <c r="B191" s="561"/>
      <c r="C191" s="174" t="s">
        <v>339</v>
      </c>
      <c r="D191" s="175"/>
      <c r="E191" s="165"/>
      <c r="F191" s="346" t="str">
        <f>IF(E191="","",IF(AND('Quantification Tool R5'!$B$12="74b",'Quantification Tool R5'!$B$13&lt;=2),IF(E191&lt;0,0,IF(E191&gt;8.1,0.69,ROUND('Reference Standards'!$AL$131*E191^2+'Reference Standards'!$AL$132*E191+'Reference Standards'!$AL$133,2))),IF(OR('Quantification Tool R5'!$B$12="73a",'Quantification Tool R5'!$B$12="73b"),IF(E191&lt;0,0,IF(E191&gt;=28,0.69,ROUND('Reference Standards'!$AM$131*E191^2+'Reference Standards'!$AM$132*E191+'Reference Standards'!$AM$133,2))),IF(AND('Quantification Tool R5'!$B$12="74a",'Quantification Tool R5'!$B$13&gt;2,'Quantification Tool R5'!$B$19="January - June"),IF(E191&lt;0,0,IF(E191&gt;=32.5,0.69,ROUND('Reference Standards'!$AN$131*E191^2+'Reference Standards'!$AN$132*E191+'Reference Standards'!$AN$133,2))),IF(AND('Quantification Tool R5'!$B$12="71i",'Quantification Tool R5'!$B$13&gt;2,'Quantification Tool R5'!$B$20="SQBANK"),IF(E191&lt;0,0,IF(E191&gt;=37,0.69,ROUND('Reference Standards'!$AO$131*E191^2+'Reference Standards'!$AO$132*E191+'Reference Standards'!$AO$133,2))),IF(OR(AND(OR('Quantification Tool R5'!$B$12="65abei",'Quantification Tool R5'!$B$12="74b"),'Quantification Tool R5'!$B$13&gt;2),AND('Quantification Tool R5'!$B$12="71i",'Quantification Tool R5'!$B$13&gt;2,'Quantification Tool R5'!$B$20="SQKICK")),IF(E191&lt;0,0,IF(E191&gt;42.6,0.69,ROUND('Reference Standards'!$AP$131*E191^2+'Reference Standards'!$AP$132*E191+'Reference Standards'!$AP$133,2))),     IF(OR(AND('Quantification Tool R5'!$B$12="65abei",'Quantification Tool R5'!$B$13&lt;=2),AND(OR('Quantification Tool R5'!$B$12="68c",'Quantification Tool R5'!$B$12="68d"),'Quantification Tool R5'!$B$19="July - December"),'Quantification Tool R5'!$B$12="71e"),IF(E191&lt;0,0,IF(E191&gt;=48,0.69,ROUND('Reference Standards'!$AL$171*E191^2+'Reference Standards'!$AL$172*E191+'Reference Standards'!$AL$173,2))),IF(OR('Quantification Tool R5'!$B$12="65j",'Quantification Tool R5'!$B$12="67fhi",'Quantification Tool R5'!$B$12="67g",AND('Quantification Tool R5'!$B$12="74a",'Quantification Tool R5'!$B$19="July - December",'Quantification Tool R5'!$B$13&gt;2),AND('Quantification Tool R5'!$B$12="71i",'Quantification Tool R5'!$B$13&lt;=2)),IF(E191&lt;0,0,IF(E191&gt;=53,0.69,ROUND('Reference Standards'!$AM$171*E191^2+'Reference Standards'!$AM$172*E191+'Reference Standards'!$AM$173,2))),IF(OR(AND(OR('Quantification Tool R5'!$B$12="68b",'Quantification Tool R5'!$B$12="71f",'Quantification Tool R5'!$B$12="71g",'Quantification Tool R5'!$B$12="71h"),'Quantification Tool R5'!$B$13&gt;2),'Quantification Tool R5'!$B$12="68a"),IF(E191&lt;0,0,IF(E191&gt;=57,0.69,ROUND('Reference Standards'!$AN$171*E191^2+'Reference Standards'!$AN$172*E191+'Reference Standards'!$AN$173,2))),IF(OR('Quantification Tool R5'!$B$12="66f",'Quantification Tool R5'!$B$12="66g",'Quantification Tool R5'!$B$12="66j",AND(OR('Quantification Tool R5'!$B$12="71f",'Quantification Tool R5'!$B$12="71g",'Quantification Tool R5'!$B$12="71h"),'Quantification Tool R5'!$B$13&lt;=2)),IF(E191&lt;0,0,IF(E191&gt;=60,0.69,ROUND('Reference Standards'!$AO$171*E191^2+'Reference Standards'!$AO$172*E191+'Reference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December")),IF(E191&lt;0,0,IF(E191&gt;=67.5,0.69,ROUND('Reference Standards'!$AP$171*E191^2+'Reference Standards'!$AP$172*E191+'Reference Standards'!$AP$173,2))),IF(AND('Quantification Tool R5'!$B$12="69de",'Quantification Tool R5'!$B$19="January - June"), IF(E191&lt;0,0,IF(E191&gt;=72,0.69,ROUND('Reference Standards'!$AQ$171*E191^2+'Reference Standards'!$AQ$172*E191+'Reference Standards'!$AQ$173,2))))   )))))))))))</f>
        <v/>
      </c>
      <c r="G191" s="531"/>
      <c r="H191" s="568"/>
      <c r="I191" s="519"/>
      <c r="J191" s="559"/>
      <c r="K191" s="555"/>
      <c r="L191" s="21"/>
    </row>
    <row r="192" spans="1:13" ht="15.6" x14ac:dyDescent="0.3">
      <c r="A192" s="556"/>
      <c r="B192" s="562"/>
      <c r="C192" s="127" t="s">
        <v>336</v>
      </c>
      <c r="D192" s="71"/>
      <c r="E192" s="167"/>
      <c r="F192" s="346" t="str">
        <f>IF(E192="","",IF(OR('Quantification Tool R5'!$B$12="67fhi",'Quantification Tool R5'!$B$12="67g",'Quantification Tool R5'!$B$12="71e",'Quantification Tool R5'!$B$12="73a",'Quantification Tool R5'!$B$12="73b",AND(OR('Quantification Tool R5'!$B$12="71f",'Quantification Tool R5'!$B$12="71g",'Quantification Tool R5'!$B$12="71h"),'Quantification Tool R5'!$B$13&gt;2)),IF(E192&gt;100,0,IF(E192&lt;15,0.69,ROUND('Reference Standards'!$AL$208*E192^2+'Reference Standards'!$AL$209*E192+'Reference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),IF(E192&gt;100,0,IF(E192&lt;19,0.69,ROUND('Reference Standards'!$AM$208*E192^2+'Reference Standards'!$AM$209*E192+'Reference Standards'!$AM$210,2))),    IF(OR(AND('Quantification Tool R5'!$B$12="69de",'Quantification Tool R5'!$B$19="January - June"),AND('Quantification Tool R5'!$B$12="71i",'Quantification Tool R5'!$B$13&gt;2,'Quantification Tool R5'!$B$20="SQKICK" )),IF(E192&gt;100,0,IF(E192&lt;22,0.69,ROUND('Reference Standards'!$AN$208*E192^2+'Reference Standards'!$AN$209*E192+'Reference Standards'!$AN$210,2))),    IF(OR('Quantification Tool R5'!$B$12="65j",AND('Quantification Tool R5'!$B$12="68b",'Quantification Tool R5'!$B$13&gt;2)),IF(E192&gt;100,0,IF(E192&lt;24,0.69,ROUND('Reference Standards'!$AO$208*E192^2+'Reference Standards'!$AO$209*E192+'Reference Standards'!$AO$210,2))),    IF(AND(OR('Quantification Tool R5'!$B$12="65abei",'Quantification Tool R5'!$B$12="71f",'Quantification Tool R5'!$B$12="71g",'Quantification Tool R5'!$B$12="71h"),'Quantification Tool R5'!$B$13&lt;=2),IF(E192&gt;95,0,IF(E192&lt;33,0.69,ROUND('Reference Standards'!$AL$246*E192^2+'Reference Standards'!$AL$247*E192+'Reference Standards'!$AL$248,2))),   IF(AND(OR('Quantification Tool R5'!$B$12="65abei",'Quantification Tool R5'!$B$12="74b"),'Quantification Tool R5'!$B$13&gt;2),IF(E192&gt;97,0,IF(E192&lt;36,0.69,ROUND('Reference Standards'!$AM$246*E192^2+'Reference Standards'!$AM$247*E192+'Reference Standards'!$AM$248,2))),  IF(AND('Quantification Tool R5'!$B$12="74a",'Quantification Tool R5'!$B$19="January - June",'Quantification Tool R5'!$B$13&gt;2),IF(E192&gt;93,0,IF(E192&lt;52,0.69,ROUND('Reference Standards'!$AN$246*E192^2+'Reference Standards'!$AN$247*E192+'Reference Standards'!$AN$248,2))),   IF(AND('Quantification Tool R5'!$B$12="74b",'Quantification Tool R5'!$B$13&lt;=2),IF(E192&gt;97,0,IF(E192&lt;62,0.69,ROUND('Reference Standards'!$AO$246*E192^2+'Reference Standards'!$AO$247*E192+'Reference Standards'!$AO$248,2)))  )))))))))</f>
        <v/>
      </c>
      <c r="G192" s="531"/>
      <c r="H192" s="568"/>
      <c r="I192" s="519"/>
      <c r="J192" s="559"/>
      <c r="K192" s="555"/>
      <c r="L192" s="21"/>
    </row>
    <row r="193" spans="1:12" ht="15.6" x14ac:dyDescent="0.3">
      <c r="A193" s="556"/>
      <c r="B193" s="563" t="s">
        <v>74</v>
      </c>
      <c r="C193" s="125" t="s">
        <v>211</v>
      </c>
      <c r="D193" s="126"/>
      <c r="E193" s="166"/>
      <c r="F193" s="345" t="str">
        <f>IF(E193="","",IF(E193=1,0.15,IF(E193=3,0.5,IF(E193=5,0.85,0))))</f>
        <v/>
      </c>
      <c r="G193" s="564" t="str">
        <f>IFERROR(AVERAGE(F193:F194),"")</f>
        <v/>
      </c>
      <c r="H193" s="568"/>
      <c r="I193" s="519"/>
      <c r="J193" s="559"/>
      <c r="K193" s="555"/>
      <c r="L193" s="21"/>
    </row>
    <row r="194" spans="1:12" ht="15.6" x14ac:dyDescent="0.3">
      <c r="A194" s="551"/>
      <c r="B194" s="563"/>
      <c r="C194" s="127" t="s">
        <v>332</v>
      </c>
      <c r="D194" s="71"/>
      <c r="E194" s="167"/>
      <c r="F194" s="347" t="str">
        <f>IF(E194="","",IF(E194=1,0.15,IF(E194=3,0.5,IF(E194=5,0.85,0))))</f>
        <v/>
      </c>
      <c r="G194" s="565"/>
      <c r="H194" s="568"/>
      <c r="I194" s="519"/>
      <c r="J194" s="559"/>
      <c r="K194" s="555"/>
      <c r="L194" s="21"/>
    </row>
    <row r="195" spans="1:12" ht="13.95" customHeight="1" x14ac:dyDescent="0.3">
      <c r="L195" s="21"/>
    </row>
    <row r="196" spans="1:12" ht="21" x14ac:dyDescent="0.4">
      <c r="A196" s="148" t="s">
        <v>135</v>
      </c>
      <c r="B196" s="246"/>
      <c r="C196" s="249" t="s">
        <v>324</v>
      </c>
      <c r="D196" s="246"/>
      <c r="E196" s="247"/>
      <c r="F196" s="248"/>
      <c r="G196" s="544" t="s">
        <v>18</v>
      </c>
      <c r="H196" s="545"/>
      <c r="I196" s="545"/>
      <c r="J196" s="545"/>
      <c r="K196" s="546"/>
      <c r="L196" s="21"/>
    </row>
    <row r="197" spans="1:12" ht="15.6" x14ac:dyDescent="0.3">
      <c r="A197" s="158" t="s">
        <v>1</v>
      </c>
      <c r="B197" s="158" t="s">
        <v>2</v>
      </c>
      <c r="C197" s="542" t="s">
        <v>3</v>
      </c>
      <c r="D197" s="644"/>
      <c r="E197" s="158" t="s">
        <v>15</v>
      </c>
      <c r="F197" s="158" t="s">
        <v>16</v>
      </c>
      <c r="G197" s="158" t="s">
        <v>19</v>
      </c>
      <c r="H197" s="158" t="s">
        <v>20</v>
      </c>
      <c r="I197" s="314" t="s">
        <v>20</v>
      </c>
      <c r="J197" s="158" t="s">
        <v>21</v>
      </c>
      <c r="K197" s="315" t="s">
        <v>21</v>
      </c>
    </row>
    <row r="198" spans="1:12" ht="15.6" x14ac:dyDescent="0.3">
      <c r="A198" s="540" t="s">
        <v>60</v>
      </c>
      <c r="B198" s="299" t="s">
        <v>86</v>
      </c>
      <c r="C198" s="52" t="s">
        <v>388</v>
      </c>
      <c r="D198" s="52"/>
      <c r="E198" s="162"/>
      <c r="F198" s="338" t="str">
        <f>IF(E198="","",IF(E198&lt;=0,0,IF(E198&gt;=0.95,1,ROUND('Reference Standards'!C$14*E198+'Reference Standards'!C$15,2))))</f>
        <v/>
      </c>
      <c r="G198" s="83" t="str">
        <f>IFERROR(AVERAGE(F198),"")</f>
        <v/>
      </c>
      <c r="H198" s="522" t="str">
        <f>IFERROR(ROUND(AVERAGE(G198:G199),2),"")</f>
        <v/>
      </c>
      <c r="I198" s="519" t="str">
        <f>IF(H198="","",IF(H198&gt;0.69,"Functioning",IF(H198&gt;0.29,"Functioning At Risk",IF(H198&gt;-1,"Not Functioning"))))</f>
        <v/>
      </c>
      <c r="J198" s="559" t="str">
        <f>IF(AND(H198="",H200="",H202="",H224="",H228=""),"",ROUND((IF(H198="",0,H198)*0.2)+(IF(H200="",0,H200)*0.2)+(IF(H202="",0,H202)*0.2)+(IF(H224="",0,H224)*0.2)+(IF(H228="",0,H228)*0.2),2))</f>
        <v/>
      </c>
      <c r="K198" s="555" t="str">
        <f>IF(J198="","",IF(J198&lt;0.3, "Not Functioning",IF(OR(H198&lt;0.7,H200&lt;0.7,H202&lt;0.7,H224&lt;0.7,H228&lt;0.7),"Functioning At Risk",IF(J198&lt;0.7,"Functioning At Risk","Functioning"))))</f>
        <v/>
      </c>
    </row>
    <row r="199" spans="1:12" ht="15.6" x14ac:dyDescent="0.3">
      <c r="A199" s="541"/>
      <c r="B199" s="371" t="s">
        <v>128</v>
      </c>
      <c r="C199" s="373" t="s">
        <v>161</v>
      </c>
      <c r="D199" s="374"/>
      <c r="E199" s="43"/>
      <c r="F199" s="372" t="str">
        <f>IF(E199="","",IF(E199&gt;=1,1,IF(E199&lt;=0,0,ROUND(E199,2))))</f>
        <v/>
      </c>
      <c r="G199" s="367" t="str">
        <f>IFERROR(AVERAGE(F199:F199),"")</f>
        <v/>
      </c>
      <c r="H199" s="523"/>
      <c r="I199" s="519"/>
      <c r="J199" s="559"/>
      <c r="K199" s="555"/>
    </row>
    <row r="200" spans="1:12" ht="15.6" x14ac:dyDescent="0.3">
      <c r="A200" s="524" t="s">
        <v>6</v>
      </c>
      <c r="B200" s="572" t="s">
        <v>7</v>
      </c>
      <c r="C200" s="54" t="s">
        <v>8</v>
      </c>
      <c r="D200" s="54"/>
      <c r="E200" s="162"/>
      <c r="F200" s="339" t="str">
        <f>IF(E200="","",ROUND(IF(E200&gt;1.6,0,IF(E200&lt;=1,1,E200^2*'Reference Standards'!K$14+E200*'Reference Standards'!K$15+'Reference Standards'!K$16)),2))</f>
        <v/>
      </c>
      <c r="G200" s="579" t="str">
        <f>IFERROR(AVERAGE(F200:F201),"")</f>
        <v/>
      </c>
      <c r="H200" s="579" t="str">
        <f>IFERROR(ROUND(AVERAGE(G200),2),"")</f>
        <v/>
      </c>
      <c r="I200" s="569" t="str">
        <f>IF(H200="","",IF(H200&gt;0.69,"Functioning",IF(H200&gt;0.29,"Functioning At Risk",IF(H200&gt;-1,"Not Functioning"))))</f>
        <v/>
      </c>
      <c r="J200" s="559"/>
      <c r="K200" s="555"/>
    </row>
    <row r="201" spans="1:12" ht="15.6" x14ac:dyDescent="0.3">
      <c r="A201" s="525"/>
      <c r="B201" s="572"/>
      <c r="C201" s="54" t="s">
        <v>9</v>
      </c>
      <c r="D201" s="54"/>
      <c r="E201" s="163"/>
      <c r="F201" s="339" t="str">
        <f>IF(E201="","",(IF(OR('Quantification Tool R5'!B$11="A",'Quantification Tool R5'!B$11="B",'Quantification Tool R5'!$B$11="Bc"),IF(E201&lt;1.2,0,IF(E201&gt;=2.2,1,ROUND(IF(E201&lt;1.4,E201*'Reference Standards'!$K$84+'Reference Standards'!$K$85,E201*'Reference Standards'!$L$84+'Reference Standards'!$L$85),2))),IF(OR('Quantification Tool R5'!B$11="C",'Quantification Tool R5'!B$11="E"),IF(E201&lt;2,0,IF(E201&gt;=5,1,ROUND(IF(E201&lt;2.4,E201*'Reference Standards'!$L$49+'Reference Standards'!$L$50,E201*'Reference Standards'!$K$49+'Reference Standards'!$K$50),2)))))))</f>
        <v/>
      </c>
      <c r="G201" s="581"/>
      <c r="H201" s="580"/>
      <c r="I201" s="570"/>
      <c r="J201" s="559"/>
      <c r="K201" s="555"/>
    </row>
    <row r="202" spans="1:12" ht="15.6" x14ac:dyDescent="0.3">
      <c r="A202" s="526" t="s">
        <v>26</v>
      </c>
      <c r="B202" s="557" t="s">
        <v>27</v>
      </c>
      <c r="C202" s="60" t="s">
        <v>333</v>
      </c>
      <c r="D202" s="244"/>
      <c r="E202" s="61"/>
      <c r="F202" s="340" t="str">
        <f>IF(E202="","",IF(OR(LEFT('Quantification Tool R5'!$B$12,2)="65",LEFT('Quantification Tool R5'!$B$12,2)="66",LEFT('Quantification Tool R5'!$B$12,2)="71"),IF(E202&gt;=850,1,IF(E202&lt;250,ROUND('Reference Standards'!$S$17*(E202)+'Reference Standards'!$S$18,2),ROUND('Reference Standards'!$T$17*E202+'Reference Standards'!$T$18,2))),  IF(E202&gt;=345,1,IF(E202&lt;=180,ROUND('Reference Standards'!$U$17*(E202)+'Reference Standards'!$U$18,2),ROUND('Reference Standards'!$V$17*E202+'Reference Standards'!$V$18,2))))    )</f>
        <v/>
      </c>
      <c r="G202" s="528" t="str">
        <f>IFERROR(AVERAGE(F202:F203),"")</f>
        <v/>
      </c>
      <c r="H202" s="566" t="str">
        <f>IFERROR(ROUND(AVERAGE(G202:G223),2),"")</f>
        <v/>
      </c>
      <c r="I202" s="555" t="str">
        <f>IF(H202="","",IF(H202&gt;0.69,"Functioning",IF(H202&gt;0.29,"Functioning At Risk",IF(H202&gt;-1,"Not Functioning"))))</f>
        <v/>
      </c>
      <c r="J202" s="559"/>
      <c r="K202" s="555"/>
    </row>
    <row r="203" spans="1:12" ht="15.6" x14ac:dyDescent="0.3">
      <c r="A203" s="520"/>
      <c r="B203" s="558"/>
      <c r="C203" s="63" t="s">
        <v>323</v>
      </c>
      <c r="D203" s="245"/>
      <c r="E203" s="53"/>
      <c r="F203" s="341" t="str">
        <f>IF(E203="","",IF(OR(LEFT('Quantification Tool R5'!$B$12,2)="65",LEFT('Quantification Tool R5'!$B$12,2)="66",LEFT('Quantification Tool R5'!$B$12,2)="71"),IF(E203&gt;=30,1,IF(E203&lt;13,ROUND('Reference Standards'!$S$53*(E203)+'Reference Standards'!$S$54,2),ROUND('Reference Standards'!$T$53*E203+'Reference Standards'!$T$54,2))),  IF(E203&gt;=16,1,IF(E203&lt;=9,ROUND('Reference Standards'!$U$53*(E203)+'Reference Standards'!$U$54,2),ROUND('Reference Standards'!$V$53*E203+'Reference Standards'!$V$54,2))))    )</f>
        <v/>
      </c>
      <c r="G203" s="530"/>
      <c r="H203" s="566"/>
      <c r="I203" s="555"/>
      <c r="J203" s="559"/>
      <c r="K203" s="555"/>
    </row>
    <row r="204" spans="1:12" ht="15.6" x14ac:dyDescent="0.3">
      <c r="A204" s="520"/>
      <c r="B204" s="520" t="s">
        <v>395</v>
      </c>
      <c r="C204" s="58" t="s">
        <v>80</v>
      </c>
      <c r="D204" s="58"/>
      <c r="E204" s="165"/>
      <c r="F204" s="340" t="str">
        <f>IF(E204="","",ROUND(IF(E204&gt;0.7,0,IF(E204&lt;=0.1,1,E204^3*'Reference Standards'!S$87+E204^2*'Reference Standards'!S$88+E204*'Reference Standards'!S$89+'Reference Standards'!S$90)),2))</f>
        <v/>
      </c>
      <c r="G204" s="552" t="str">
        <f>IFERROR(ROUND(AVERAGE(F204:F207),2),"")</f>
        <v/>
      </c>
      <c r="H204" s="567"/>
      <c r="I204" s="555"/>
      <c r="J204" s="559"/>
      <c r="K204" s="555"/>
    </row>
    <row r="205" spans="1:12" ht="15.6" x14ac:dyDescent="0.3">
      <c r="A205" s="520"/>
      <c r="B205" s="520"/>
      <c r="C205" s="58" t="s">
        <v>49</v>
      </c>
      <c r="D205" s="58"/>
      <c r="E205" s="165"/>
      <c r="F205" s="84"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553"/>
      <c r="H205" s="567"/>
      <c r="I205" s="555"/>
      <c r="J205" s="559"/>
      <c r="K205" s="555"/>
    </row>
    <row r="206" spans="1:12" ht="15.6" x14ac:dyDescent="0.3">
      <c r="A206" s="520"/>
      <c r="B206" s="520"/>
      <c r="C206" s="58" t="s">
        <v>87</v>
      </c>
      <c r="D206" s="58"/>
      <c r="E206" s="165"/>
      <c r="F206" s="84" t="str">
        <f>IF(E206="","",ROUND(IF(E206&gt;40,0,IF(E206&lt;5,1,E206^3*'Reference Standards'!S$122+E206^2*'Reference Standards'!S$123+E206*'Reference Standards'!S$124+'Reference Standards'!S$125)),2))</f>
        <v/>
      </c>
      <c r="G206" s="553"/>
      <c r="H206" s="567"/>
      <c r="I206" s="555"/>
      <c r="J206" s="559"/>
      <c r="K206" s="555"/>
    </row>
    <row r="207" spans="1:12" ht="15.6" x14ac:dyDescent="0.3">
      <c r="A207" s="520"/>
      <c r="B207" s="521"/>
      <c r="C207" s="59" t="s">
        <v>394</v>
      </c>
      <c r="D207" s="59"/>
      <c r="E207" s="167"/>
      <c r="F207" s="341" t="str">
        <f>IF(E207="","",ROUND(IF(E207&gt;=30,0,IF(E207&lt;=0,1,E207*'Reference Standards'!S$156+'Reference Standards'!S$157)),2))</f>
        <v/>
      </c>
      <c r="G207" s="554"/>
      <c r="H207" s="567"/>
      <c r="I207" s="555"/>
      <c r="J207" s="559"/>
      <c r="K207" s="555"/>
    </row>
    <row r="208" spans="1:12" ht="15.6" x14ac:dyDescent="0.3">
      <c r="A208" s="520"/>
      <c r="B208" s="520" t="s">
        <v>50</v>
      </c>
      <c r="C208" s="60" t="s">
        <v>377</v>
      </c>
      <c r="D208" s="64"/>
      <c r="E208" s="136"/>
      <c r="F208" s="294" t="str">
        <f>IF(E208="","",ROUND(IF(E208&gt;9.2,1,E208*'Reference Standards'!$S$189+'Reference Standards'!$S$190),2))</f>
        <v/>
      </c>
      <c r="G208" s="552" t="str">
        <f>IFERROR(ROUND(AVERAGE(F208:F217),2),"")</f>
        <v/>
      </c>
      <c r="H208" s="567"/>
      <c r="I208" s="555"/>
      <c r="J208" s="559"/>
      <c r="K208" s="555"/>
    </row>
    <row r="209" spans="1:13" ht="15.6" x14ac:dyDescent="0.3">
      <c r="A209" s="520"/>
      <c r="B209" s="520"/>
      <c r="C209" s="62" t="s">
        <v>378</v>
      </c>
      <c r="D209" s="58"/>
      <c r="E209" s="162"/>
      <c r="F209" s="294" t="str">
        <f>IF(E209="","",ROUND(IF(E209&gt;9.2,1,E209*'Reference Standards'!$S$189+'Reference Standards'!$S$190),2))</f>
        <v/>
      </c>
      <c r="G209" s="553"/>
      <c r="H209" s="567"/>
      <c r="I209" s="555"/>
      <c r="J209" s="559"/>
      <c r="K209" s="555"/>
    </row>
    <row r="210" spans="1:13" ht="15.6" x14ac:dyDescent="0.3">
      <c r="A210" s="520"/>
      <c r="B210" s="520"/>
      <c r="C210" s="62" t="s">
        <v>379</v>
      </c>
      <c r="D210" s="58"/>
      <c r="E210" s="162"/>
      <c r="F210" s="294" t="str">
        <f>IF(E210="","",ROUND( IF(E210&gt;=200,1,IF(E210&lt;50, E210^2*'Reference Standards'!S$224+E210*'Reference Standards'!S$225+'Reference Standards'!S$226, E210*'Reference Standards'!T$224+'Reference Standards'!T$225)),2))</f>
        <v/>
      </c>
      <c r="G210" s="553"/>
      <c r="H210" s="567"/>
      <c r="I210" s="555"/>
      <c r="J210" s="559"/>
      <c r="K210" s="555"/>
    </row>
    <row r="211" spans="1:13" ht="15.6" x14ac:dyDescent="0.3">
      <c r="A211" s="520"/>
      <c r="B211" s="520"/>
      <c r="C211" s="62" t="s">
        <v>380</v>
      </c>
      <c r="D211" s="58"/>
      <c r="E211" s="162"/>
      <c r="F211" s="294" t="str">
        <f>IF(E211="","",ROUND( IF(E211&gt;=200,1,IF(E211&lt;50, E211^2*'Reference Standards'!S$224+E211*'Reference Standards'!S$225+'Reference Standards'!S$226, E211*'Reference Standards'!T$224+'Reference Standards'!T$225)),2))</f>
        <v/>
      </c>
      <c r="G211" s="553"/>
      <c r="H211" s="567"/>
      <c r="I211" s="555"/>
      <c r="J211" s="559"/>
      <c r="K211" s="555"/>
    </row>
    <row r="212" spans="1:13" ht="15.6" x14ac:dyDescent="0.3">
      <c r="A212" s="520"/>
      <c r="B212" s="520"/>
      <c r="C212" s="58" t="s">
        <v>381</v>
      </c>
      <c r="D212" s="58"/>
      <c r="E212" s="162"/>
      <c r="F212" s="294" t="str">
        <f>IF(E212="","",ROUND(IF(AND(E212&gt;=135,E212&lt;=262),1,IF(  E212&gt;=366,0.5, IF(E212&lt;135,E212*'Reference Standards'!S$259+'Reference Standards'!S$260, E212*'Reference Standards'!T$259+'Reference Standards'!T$260))),2))</f>
        <v/>
      </c>
      <c r="G212" s="553"/>
      <c r="H212" s="567"/>
      <c r="I212" s="555"/>
      <c r="J212" s="559"/>
      <c r="K212" s="555"/>
    </row>
    <row r="213" spans="1:13" ht="15.6" x14ac:dyDescent="0.3">
      <c r="A213" s="520"/>
      <c r="B213" s="520"/>
      <c r="C213" s="58" t="s">
        <v>382</v>
      </c>
      <c r="D213" s="58"/>
      <c r="E213" s="162"/>
      <c r="F213" s="294" t="str">
        <f>IF(E213="","",ROUND(IF(AND(E213&gt;=135,E213&lt;=262),1,IF(  E213&gt;=366,0.5, IF(E213&lt;135,E213*'Reference Standards'!S$259+'Reference Standards'!S$260, E213*'Reference Standards'!T$259+'Reference Standards'!T$260))),2))</f>
        <v/>
      </c>
      <c r="G213" s="553"/>
      <c r="H213" s="567"/>
      <c r="I213" s="555"/>
      <c r="J213" s="559"/>
      <c r="K213" s="555"/>
    </row>
    <row r="214" spans="1:13" ht="15.6" x14ac:dyDescent="0.3">
      <c r="A214" s="520"/>
      <c r="B214" s="520"/>
      <c r="C214" s="58" t="s">
        <v>383</v>
      </c>
      <c r="D214" s="58"/>
      <c r="E214" s="162"/>
      <c r="F214" s="84" t="str">
        <f>IF(E214="","",ROUND(IF(E214&gt;=75,1,IF(E214&lt;=0,0,E214*'Reference Standards'!S$330)),2))</f>
        <v/>
      </c>
      <c r="G214" s="553"/>
      <c r="H214" s="567"/>
      <c r="I214" s="555"/>
      <c r="J214" s="559"/>
      <c r="K214" s="555"/>
    </row>
    <row r="215" spans="1:13" ht="15.6" x14ac:dyDescent="0.3">
      <c r="A215" s="520"/>
      <c r="B215" s="520"/>
      <c r="C215" s="58" t="s">
        <v>384</v>
      </c>
      <c r="D215" s="58"/>
      <c r="E215" s="162"/>
      <c r="F215" s="84" t="str">
        <f>IF(E215="","",ROUND(IF(E215&gt;=75,1,IF(E215&lt;=0,0,E215*'Reference Standards'!S$330)),2))</f>
        <v/>
      </c>
      <c r="G215" s="553"/>
      <c r="H215" s="567"/>
      <c r="I215" s="555"/>
      <c r="J215" s="559"/>
      <c r="K215" s="555"/>
    </row>
    <row r="216" spans="1:13" ht="15.6" x14ac:dyDescent="0.3">
      <c r="A216" s="520"/>
      <c r="B216" s="520"/>
      <c r="C216" s="58" t="s">
        <v>385</v>
      </c>
      <c r="D216" s="58"/>
      <c r="E216" s="162"/>
      <c r="F216" s="294" t="str">
        <f>IF(E216="","",ROUND(IF(AND(E216&gt;=36.3,E216&lt;=68),1,IF(E216&gt;100,0,IF(E216&lt;36.3,(('Reference Standards'!S$297*(E216^2))+('Reference Standards'!S$298*E216)+'Reference Standards'!S$299),IF(E216&gt;68,(('Reference Standards'!T$297*(E216^2))+('Reference Standards'!T$298*E216)+'Reference Standards'!T$299))))),2))</f>
        <v/>
      </c>
      <c r="G216" s="553"/>
      <c r="H216" s="567"/>
      <c r="I216" s="555"/>
      <c r="J216" s="559"/>
      <c r="K216" s="555"/>
      <c r="M216" s="21"/>
    </row>
    <row r="217" spans="1:13" ht="15.6" x14ac:dyDescent="0.3">
      <c r="A217" s="520"/>
      <c r="B217" s="521"/>
      <c r="C217" s="58" t="s">
        <v>386</v>
      </c>
      <c r="D217" s="65"/>
      <c r="E217" s="162"/>
      <c r="F217" s="294" t="str">
        <f>IF(E217="","",ROUND(IF(AND(E217&gt;=36.3,E217&lt;=68),1,IF(E217&gt;100,0,IF(E217&lt;36.3,(('Reference Standards'!S$297*(E217^2))+('Reference Standards'!S$298*E217)+'Reference Standards'!S$299),IF(E217&gt;68,(('Reference Standards'!T$297*(E217^2))+('Reference Standards'!T$298*E217)+'Reference Standards'!T$299))))),2))</f>
        <v/>
      </c>
      <c r="G217" s="554"/>
      <c r="H217" s="567"/>
      <c r="I217" s="555"/>
      <c r="J217" s="559"/>
      <c r="K217" s="555"/>
    </row>
    <row r="218" spans="1:13" ht="15.6" x14ac:dyDescent="0.3">
      <c r="A218" s="520"/>
      <c r="B218" s="56" t="s">
        <v>108</v>
      </c>
      <c r="C218" s="72" t="s">
        <v>130</v>
      </c>
      <c r="D218" s="58"/>
      <c r="E218" s="43"/>
      <c r="F218" s="82" t="str">
        <f>IF(E218="","",IF(OR('Quantification Tool R5'!B$14="Gravel",'Quantification Tool R5'!B$14="Cobble"),IF(E218&gt;0.1,1,IF(E218&lt;=0.01,0,ROUND(E218*'Reference Standards'!$S$362+'Reference Standards'!$S$363,2)))))</f>
        <v/>
      </c>
      <c r="G218" s="82" t="str">
        <f>IFERROR(AVERAGE(F218),"")</f>
        <v/>
      </c>
      <c r="H218" s="567"/>
      <c r="I218" s="555"/>
      <c r="J218" s="559"/>
      <c r="K218" s="555"/>
    </row>
    <row r="219" spans="1:13" ht="15.6" x14ac:dyDescent="0.3">
      <c r="A219" s="520"/>
      <c r="B219" s="526" t="s">
        <v>51</v>
      </c>
      <c r="C219" s="64" t="s">
        <v>52</v>
      </c>
      <c r="D219" s="64"/>
      <c r="E219" s="166"/>
      <c r="F219" s="337" t="str">
        <f>IF(E219="","", IF(ISNUMBER('Quantification Tool R5'!$B$17), IF('Quantification Tool R5'!$B$17&lt;=2,   IF(AND(E219&gt;=3,E219&lt;=5),1, IF(OR(E219&lt;=1,E219&gt;=7), 0, ROUND( IF(E219&lt;3, E219*'Reference Standards'!S$398+'Reference Standards'!S$399,E219*'Reference Standards'!T$398+'Reference Standards'!T$399),2) ) ),   IF(E219&lt;=2.5,1, IF(E219&gt;=5.8,0, ROUND(E219*'Reference Standards'!S$430+'Reference Standards'!S$431,2))))   ))</f>
        <v/>
      </c>
      <c r="G219" s="528" t="str">
        <f>IFERROR(AVERAGE(F219:F222),"")</f>
        <v/>
      </c>
      <c r="H219" s="567"/>
      <c r="I219" s="555"/>
      <c r="J219" s="559"/>
      <c r="K219" s="555"/>
    </row>
    <row r="220" spans="1:13" ht="15.6" x14ac:dyDescent="0.3">
      <c r="A220" s="520"/>
      <c r="B220" s="520"/>
      <c r="C220" s="58" t="s">
        <v>53</v>
      </c>
      <c r="D220" s="58"/>
      <c r="E220" s="165"/>
      <c r="F220" s="84" t="str">
        <f>IF(E220="","", IF( E220&gt;=2.4,1, IF(E220&lt;=1,0,  ROUND(IF(E220&lt;2.4, E220*'Reference Standards'!$S$464+'Reference Standards'!$S$465 ),2))))</f>
        <v/>
      </c>
      <c r="G220" s="529"/>
      <c r="H220" s="567"/>
      <c r="I220" s="555"/>
      <c r="J220" s="559"/>
      <c r="K220" s="555"/>
    </row>
    <row r="221" spans="1:13" ht="15.6" x14ac:dyDescent="0.3">
      <c r="A221" s="520"/>
      <c r="B221" s="520"/>
      <c r="C221" s="58" t="s">
        <v>334</v>
      </c>
      <c r="D221" s="58"/>
      <c r="E221" s="165"/>
      <c r="F221" s="390" t="str">
        <f>IF(E221="","", IF(LEFT('Quantification Tool R5'!$B$12,2)="67",  IF( AND(E221&gt;=45,E221&lt;=65),1, IF(OR(E221&lt;=20,E221&gt;=90),0, ROUND(  IF(E221&lt;45, E221*'Reference Standards'!$S$498+'Reference Standards'!$S$499,E221*'Reference Standards'!$T$498+'Reference Standards'!$T$499),2))), IF(OR(  LEFT('Quantification Tool R5'!$B$12,2)="68", LEFT('Quantification Tool R5'!$B$12,2)="69",LEFT('Quantification Tool R5'!$B$12,2)="71"),  IF( AND(E221&gt;=30,E221&lt;=50),1, IF(OR(E221&lt;=10,E221&gt;=70),0, ROUND(  IF(E221&lt;30, E221*'Reference Standards'!$S$533+'Reference Standards'!$S$534,E221*'Reference Standards'!$T$533+'Reference Standards'!$T$534),2))), IF(LEFT('Quantification Tool R5'!$B$12,2)="66",  IF( AND(E221&gt;=20,E221&lt;=45),1, IF(OR(E221&lt;=0,E221&gt;=90),0, ROUND(  IF(E221&lt;20, E221*'Reference Standards'!$S$567+'Reference Standards'!$S$568,E221*'Reference Standards'!$T$567+'Reference Standards'!$T$568),2))), IF(OR(  LEFT('Quantification Tool R5'!$B$12,2)="65", LEFT('Quantification Tool R5'!$B$12,2)="74", LEFT('Quantification Tool R5'!$B$12,2)="73"),  IF( AND(E221&gt;=20,E221&lt;=30),1, IF(OR(E221&lt;=0,E221&gt;=50),0, ROUND(  IF(E221&lt;20, E221*'Reference Standards'!$S$601+'Reference Standards'!$S$602,E221*'Reference Standards'!$T$601+'Reference Standards'!$T$602),2))))))))</f>
        <v/>
      </c>
      <c r="G221" s="529"/>
      <c r="H221" s="567"/>
      <c r="I221" s="555"/>
      <c r="J221" s="559"/>
      <c r="K221" s="555"/>
    </row>
    <row r="222" spans="1:13" ht="15.6" x14ac:dyDescent="0.3">
      <c r="A222" s="520"/>
      <c r="B222" s="521"/>
      <c r="C222" s="62" t="s">
        <v>210</v>
      </c>
      <c r="D222" s="58"/>
      <c r="E222" s="167"/>
      <c r="F222" s="391" t="str">
        <f>IF(E222="","",IF(E222&gt;=1.6,0,IF(E222&lt;=1,1,ROUND('Reference Standards'!$S$633*E222^3+'Reference Standards'!$S$634*E222^2+'Reference Standards'!$S$635*E222+'Reference Standards'!$S$636,2))))</f>
        <v/>
      </c>
      <c r="G222" s="530"/>
      <c r="H222" s="567"/>
      <c r="I222" s="555"/>
      <c r="J222" s="559"/>
      <c r="K222" s="555"/>
    </row>
    <row r="223" spans="1:13" ht="15.6" x14ac:dyDescent="0.3">
      <c r="A223" s="521"/>
      <c r="B223" s="296" t="s">
        <v>55</v>
      </c>
      <c r="C223" s="242" t="s">
        <v>54</v>
      </c>
      <c r="D223" s="243"/>
      <c r="E223" s="163"/>
      <c r="F223" s="342" t="str">
        <f>IF(E223="","",IF(AND('Quantification Tool R5'!B$11="E",'Quantification Tool R5'!$B$14="Sand",'Quantification Tool R5'!$B$21="Unconfined Alluvial"),ROUND(IF(OR(E223&gt;1.8,E223&lt;1.3),0,IF(E223&lt;=1.6,1,E223*'Reference Standards'!S$667+'Reference Standards'!S$668)),2),    IF('Quantification Tool R5'!$B$21="Unconfined Alluvial",ROUND(IF(OR(E223&lt;1.2, E223&gt;1.5),0,IF(E223&lt;=1.4,1,E223*'Reference Standards'!$S$700+'Reference Standards'!$S$701)),2), IF('Quantification Tool R5'!$B$21="Confined Alluvial",ROUND(IF(E223&lt;1.15,0,IF(E223&lt;=1.4,E223*'Reference Standards'!$S$729+'Reference Standards'!$S$730,1)),2),  IF('Quantification Tool R5'!$B$21="Colluvial",ROUND(IF(E223&gt;1.3,0,IF(E223&gt;1.2,E223*'Reference Standards'!$S$760+'Reference Standards'!$S$761,1)),2) )))))</f>
        <v/>
      </c>
      <c r="G223" s="84" t="str">
        <f>IFERROR(AVERAGE(F223),"")</f>
        <v/>
      </c>
      <c r="H223" s="567"/>
      <c r="I223" s="555"/>
      <c r="J223" s="559"/>
      <c r="K223" s="555"/>
      <c r="L223" s="13"/>
    </row>
    <row r="224" spans="1:13" ht="15.6" x14ac:dyDescent="0.3">
      <c r="A224" s="537" t="s">
        <v>58</v>
      </c>
      <c r="B224" s="67" t="s">
        <v>88</v>
      </c>
      <c r="C224" s="70" t="s">
        <v>338</v>
      </c>
      <c r="D224" s="70"/>
      <c r="E224" s="43"/>
      <c r="F224" s="343" t="str">
        <f>IF(E224="","",ROUND(IF(E224&gt;=942,0,IF(E224&lt;=487,E224*'Reference Standards'!AB$15+'Reference Standards'!AB$16,E224*'Reference Standards'!$AC$15+'Reference Standards'!$AC$16)),2))</f>
        <v/>
      </c>
      <c r="G224" s="85" t="str">
        <f>IFERROR(AVERAGE(F224),"")</f>
        <v/>
      </c>
      <c r="H224" s="547" t="str">
        <f>IFERROR(ROUND(AVERAGE(G224:G227),2),"")</f>
        <v/>
      </c>
      <c r="I224" s="534" t="str">
        <f>IF(H224="","",IF(H224&gt;0.69,"Functioning",IF(H224&gt;0.29,"Functioning At Risk",IF(H224&gt;-1,"Not Functioning"))))</f>
        <v/>
      </c>
      <c r="J224" s="559"/>
      <c r="K224" s="555"/>
      <c r="L224" s="13"/>
    </row>
    <row r="225" spans="1:12" ht="15.6" x14ac:dyDescent="0.3">
      <c r="A225" s="538"/>
      <c r="B225" s="297" t="s">
        <v>362</v>
      </c>
      <c r="C225" s="66" t="s">
        <v>354</v>
      </c>
      <c r="D225" s="66"/>
      <c r="E225" s="163"/>
      <c r="F225" s="344" t="str">
        <f>IF(E225="","",IF(OR('Quantification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June")),IF(E225&gt;93,0,IF(E225&lt;13,1,ROUND('Reference Standards'!$AB$53*E225^2+'Reference Standards'!$AB$54*E225+'Reference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R5'!$B$12="73b"),IF(E225&gt;94,0,IF(E225&lt;17,1,ROUND('Reference Standards'!$AC$53*E225^2+'Reference Standards'!$AC$54*E225+'Reference Standards'!$AC$55,2))),    IF(OR(AND(OR('Quantification Tool R5'!$B$12="68b",'Quantification Tool R5'!$B$12="71i"),'Quantification Tool R5'!$B$13&gt;2), 'Quantification Tool R5'!$B$12="71e"),IF(E225&gt;91,0,IF(E225&lt;24,1,ROUND('Reference Standards'!$AD$53*E225^2+'Reference Standards'!$AD$54*E225+'Reference Standards'!$AD$55,2))),  IF(OR(AND(OR('Quantification Tool R5'!$B$12="71f",'Quantification Tool R5'!$B$12="71g",'Quantification Tool R5'!$B$12="71h",'Quantification Tool R5'!$B$12="71i"),'Quantification Tool R5'!$B$13&lt;=2), AND('Quantification Tool R5'!$B$12="74a",'Quantification Tool R5'!$B$13&gt;2)),IF(E225&gt;95,0,IF(E225&lt;=36,1,ROUND('Reference Standards'!$AE$53*E225^2+'Reference Standards'!$AE$54*E225+'Reference Standards'!$AE$55,2))))))))</f>
        <v/>
      </c>
      <c r="G225" s="236" t="str">
        <f>IFERROR(AVERAGE(F225:F225),"")</f>
        <v/>
      </c>
      <c r="H225" s="548"/>
      <c r="I225" s="535"/>
      <c r="J225" s="559"/>
      <c r="K225" s="555"/>
      <c r="L225" s="21"/>
    </row>
    <row r="226" spans="1:12" ht="15.6" x14ac:dyDescent="0.3">
      <c r="A226" s="538"/>
      <c r="B226" s="67" t="s">
        <v>81</v>
      </c>
      <c r="C226" s="68" t="s">
        <v>281</v>
      </c>
      <c r="D226" s="68"/>
      <c r="E226" s="162"/>
      <c r="F226" s="344" t="str">
        <f>IF(E226="","",IF(ISNUMBER('Quantification Tool R5'!$B$13),IF(OR('Quantification Tool R5'!$B$12="66e",'Quantification Tool R5'!$B$12="66f",'Quantification Tool R5'!$B$12="66g"),ROUND(IF(E226&gt;=0.61,0,IF(E226&lt;=0.01,1,IF(E226&lt;=0.06,E226*'Reference Standards'!$AD$197+'Reference Standards'!$AD$198,E226^2*'Reference Standards'!$AB$196+E226*'Reference Standards'!$AB$197+'Reference Standards'!$AB$198))),2),IF('Quantification Tool R5'!$B$12="68b",ROUND(IF(E226&gt;=1.1,0,IF(E226&lt;=0.17,1,IF(E226&lt;=0.22,E226*'Reference Standards'!$AE$197+'Reference Standards'!$AE$198,E226^2*'Reference Standards'!$AC$196+E226*'Reference Standards'!$AC$197+'Reference Standards'!$AC$198))),2),IF('Quantification Tool R5'!$B$13&lt;=2.5,IF('Quantification Tool R5'!$B$12="69de",ROUND(IF(E226&gt;=0.22,0,IF(E226&lt;=0.01,1,E226^2*'Reference Standards'!$AB$90+E226*'Reference Standards'!$AB$91+'Reference Standards'!$AB$92)),2),IF('Quantification Tool R5'!$B$12="68c",ROUND(IF(E226&gt;=0.87,0,IF(E226&lt;=0.01,1,E226^2*'Reference Standards'!$AC$90+E226*'Reference Standards'!$AC$91+'Reference Standards'!$AC$92)),2),IF('Quantification Tool R5'!$B$12="68a",ROUND(IF(E226&gt;=0.81,0,IF(E226&lt;=0.01,1,E226^2*'Reference Standards'!$AD$90+E226*'Reference Standards'!$AD$91+'Reference Standards'!$AD$92)),2),IF('Quantification Tool R5'!$B$12="65abei",ROUND(IF(E226&gt;=0.67,0,IF(E226&lt;=0.01,1,IF(E226&lt;=0.18,E226*'Reference Standards'!$AG$91+'Reference Standards'!$AG$92,E226*'Reference Standards'!$AE$91+'Reference Standards'!$AE$92))),2),IF('Quantification Tool R5'!$B$12="65j",ROUND(IF(E226&gt;=0.32,0,IF(E226&lt;=0.01,1,IF(E226&lt;=0.25,E226*'Reference Standards'!$AH$91+'Reference Standards'!$AH$92,E226*'Reference Standards'!$AF$91+'Reference Standards'!$AF$92))),2),IF('Quantification Tool R5'!$B$12="71f",ROUND(IF(E226&gt;=3,0,IF(E226&lt;=0,1,IF(E226&lt;=0.01,0.7,E226^2*'Reference Standards'!$AB$126+E226*'Reference Standards'!$AB$127+'Reference Standards'!$AB$128))),2),IF('Quantification Tool R5'!$B$12="74a",ROUND(IF(E226&gt;=0.14,0,IF(E226&lt;=0.01,1,IF(E226&lt;=0.02,0.7,E226^2*'Reference Standards'!$AC$126+E226*'Reference Standards'!$AC$127+'Reference Standards'!$AC$128))),2),IF(OR('Quantification Tool R5'!$B$12="67fhi",'Quantification Tool R5'!$B$12="67g"),ROUND(IF(E226&gt;=1.9,0,IF(E226&lt;=0.01,1,IF(E226&lt;=0.05,E226*'Reference Standards'!$AF$127+'Reference Standards'!$AF$128,E226^2*'Reference Standards'!$AD$126+E226*'Reference Standards'!$AD$127+'Reference Standards'!$AD$128))),2),IF('Quantification Tool R5'!$B$12="73a",ROUND(IF(E226&gt;=1.44,0,IF(E226&lt;=0.01,1,IF(E226&lt;=0.12,E226*'Reference Standards'!$AG$127+'Reference Standards'!$AG$128,E226^2*'Reference Standards'!$AE$126+E226*'Reference Standards'!$AE$127+'Reference Standards'!$AE$128))),2),IF('Quantification Tool R5'!$B$12="66d",ROUND(IF(E226&gt;=0.46,0,IF(E226&lt;=0.02,1,IF(E226&lt;=0.08,E226*'Reference Standards'!$AF$163+'Reference Standards'!$AF$164,E226^2*'Reference Standards'!$AB$162+E226*'Reference Standards'!$AB$163+'Reference Standards'!$AB$164))),2),IF(OR('Quantification Tool R5'!$B$12="71g",'Quantification Tool R5'!$B$12="71h",'Quantification Tool R5'!$B$12="71i"),ROUND(IF(E226&gt;=3,0,IF(E226&lt;=0.06,1,IF(E226&lt;=0.24,E226*'Reference Standards'!$AG$163+'Reference Standards'!$AG$164,E226^2*'Reference Standards'!$AC$162+E226*'Reference Standards'!$AC$163+'Reference Standards'!$AC$164))),2),IF('Quantification Tool R5'!$B$12="74b",ROUND(IF(E226&gt;=1.3,0,IF(E226&lt;=0.29,1,IF(E226&lt;=0.48,E226*'Reference Standards'!$AH$163+'Reference Standards'!$AH$164,E226^2*'Reference Standards'!$AD$162+E226*'Reference Standards'!$AD$163+'Reference Standards'!$AD$164))),2),IF('Quantification Tool R5'!$B$12="71e",ROUND(IF(E226&gt;=4.3,0,IF(E226&lt;=0.53,1,IF(E226&lt;=0.67,E226*'Reference Standards'!$AI$163+'Reference Standards'!$AI$164,E226^2*'Reference Standards'!$AE$162+E226*'Reference Standards'!$AE$163+'Reference Standards'!$AE$164))),2)))))))))))))),IF('Quantification Tool R5'!$B$13&gt;2.5,IF('Quantification Tool R5'!$B$12="73a",ROUND(IF(E226&gt;=0.55,0,IF(E226&lt;=0,1,E226^2*'Reference Standards'!$AB$232+E226*'Reference Standards'!$AB$233+'Reference Standards'!$AB$234)),2),IF('Quantification Tool R5'!$B$12="68a",ROUND(IF(E226&gt;=0.54,0,IF(E226&lt;=0,1,IF(E226&lt;=0.01,0.85,E226^2*'Reference Standards'!$AC$232+E226*'Reference Standards'!$AC$233+'Reference Standards'!$AC$234))),2),IF('Quantification Tool R5'!$B$12="74a",ROUND(IF(E226&gt;=0.47,0,IF(E226&lt;=0.01,1,IF(E226&lt;=0.02,0.7,E226^2*'Reference Standards'!$AD$232+E226*'Reference Standards'!$AD$233+'Reference Standards'!$AD$234))),2),IF('Quantification Tool R5'!$B$12="69de",ROUND(IF(E226&gt;=0.26,0,IF(E226&lt;=0.01,1,IF(E226&lt;=0.02,0.85,E226^2*'Reference Standards'!$AE$232+E226*'Reference Standards'!$AE$233+'Reference Standards'!$AE$234))),2),IF('Quantification Tool R5'!$B$12="71f",ROUND(IF(E226&gt;=0.87,0,IF(E226&lt;=0.01,1,IF(E226&lt;=0.04,E226*'Reference Standards'!$AF$269+'Reference Standards'!$AF$270,E226^2*'Reference Standards'!$AB$268+E226*'Reference Standards'!$AB$269+'Reference Standards'!$AB$270))),2),IF('Quantification Tool R5'!$B$12="65abei",ROUND(IF(E226&gt;=0.82,0,IF(E226&lt;=0.01,1,IF(E226&lt;=0.06,E226*'Reference Standards'!$AG$269+'Reference Standards'!$AG$270,E226^2*'Reference Standards'!$AC$268+E226*'Reference Standards'!$AC$269+'Reference Standards'!$AC$270))),2),IF('Quantification Tool R5'!$B$12="65j",ROUND(IF(E226&gt;=0.33,0,IF(E226&lt;=0.03,1,IF(E226&lt;=0.09,E226*'Reference Standards'!$AH$269+'Reference Standards'!$AH$270,E226^2*'Reference Standards'!$AD$268+E226*'Reference Standards'!$AD$269+'Reference Standards'!$AD$270))),2),IF('Quantification Tool R5'!$B$12="68c",ROUND(IF(E226&gt;=0.7,0,IF(E226&lt;=0.07,1,IF(E226&lt;=0.12,E226*'Reference Standards'!$AI$269+'Reference Standards'!$AI$270,E226^2*'Reference Standards'!$AE$268+E226*'Reference Standards'!$AE$269+'Reference Standards'!$AE$270))),2),IF(OR('Quantification Tool R5'!$B$12="67fhi",'Quantification Tool R5'!$B$12="67g"),ROUND(IF(E226&gt;=1.8,0,IF(E226&lt;=0.08,1,IF(E226&lt;=0.2,E226*'Reference Standards'!$AF$306+'Reference Standards'!$AF$307,E226^2*'Reference Standards'!$AB$305+E226*'Reference Standards'!$AB$306+'Reference Standards'!$AB$307))),2),IF('Quantification Tool R5'!$B$12="74b",ROUND(IF(E226&gt;=0.96,0,IF(E226&lt;=0.12,1,IF(E226&lt;=0.16,E226*'Reference Standards'!$AG$306+'Reference Standards'!$AG$307,E226^2*'Reference Standards'!$AC$305+E226*'Reference Standards'!$AC$306+'Reference Standards'!$AC$307))),2),IF('Quantification Tool R5'!$B$12="66d",ROUND(IF(E226&gt;=0.75,0,IF(E226&lt;=0.13,1,IF(E226&lt;=0.2,E226*'Reference Standards'!$AH$306+'Reference Standards'!$AH$307,E226^2*'Reference Standards'!$AD$305+E226*'Reference Standards'!$AD$306+'Reference Standards'!$AD$307))),2),IF(OR('Quantification Tool R5'!$B$12="71g",'Quantification Tool R5'!$B$12="71h",'Quantification Tool R5'!$B$12="71i"),ROUND(IF(E226&gt;=1.68,0,IF(E226&lt;=0.08,1,IF(E226&lt;=0.23,E226*'Reference Standards'!$AI$306+'Reference Standards'!$AI$307,E226^2*'Reference Standards'!$AE$305+E226*'Reference Standards'!$AE$306+'Reference Standards'!$AE$307))),2),IF('Quantification Tool R5'!$B$12="71e",ROUND(IF(E226&gt;=5.3,0,IF(E226&lt;=0.94,1,IF(E226&lt;=1.4,E226*'Reference Standards'!$AF$310+'Reference Standards'!$AF$311,E226^2*'Reference Standards'!$AB$309+E226*'Reference Standards'!$AB$310+'Reference Standards'!$AB$311))),2))))))))))))))))))))</f>
        <v/>
      </c>
      <c r="G226" s="86" t="str">
        <f>IFERROR(AVERAGE(F226),"")</f>
        <v/>
      </c>
      <c r="H226" s="548"/>
      <c r="I226" s="535"/>
      <c r="J226" s="559"/>
      <c r="K226" s="555"/>
      <c r="L226" s="21"/>
    </row>
    <row r="227" spans="1:12" ht="15.6" x14ac:dyDescent="0.3">
      <c r="A227" s="539"/>
      <c r="B227" s="298" t="s">
        <v>82</v>
      </c>
      <c r="C227" s="66" t="s">
        <v>280</v>
      </c>
      <c r="D227" s="66"/>
      <c r="E227" s="136"/>
      <c r="F227" s="343" t="str">
        <f>IF(E227="","", IF(ISNUMBER('Quantification Tool R5'!$B$13),IF('Quantification Tool R5'!$B$13&gt;2.5,IF(OR('Quantification Tool R5'!$B$12="71h",'Quantification Tool R5'!$B$12="71i",'Quantification Tool R5'!$B$12="73a",'Quantification Tool R5'!$B$12="74a"),IF(E227&lt;=0.01,1,IF(OR('Quantification Tool R5'!$B$12="71h",'Quantification Tool R5'!$B$12="71i"),IF(E227&gt;0.37,0,ROUND(IF(E227&gt;0.03,'Reference Standards'!$AB$425*E227^2+'Reference Standards'!$AB$426*E227+'Reference Standards'!$AB$427,'Reference Standards'!$AF$426*E227+'Reference Standards'!$AF$427),2)),  IF('Quantification Tool R5'!$B$12="73a",IF(E227&gt;0.405,0,ROUND(IF(E227&gt;0.046,'Reference Standards'!$AC$425*E227^2+'Reference Standards'!$AC$426*E227+'Reference Standards'!$AC$427,'Reference Standards'!$AG$426*E227+'Reference Standards'!$AG$427),2)),IF('Quantification Tool R5'!$B$12="74a",IF(E227&gt;0.3,0,ROUND(IF(E227&gt;0.052,'Reference Standards'!$AD$425*E227^2+'Reference Standards'!$AD$426*E227+'Reference Standards'!$AD$427,'Reference Standards'!$AH$426*E227+'Reference Standards'!$AH$427),2)))))),   IF(E227&lt;=0.002,1,IF(OR('Quantification Tool R5'!$B$12="66d",'Quantification Tool R5'!$B$12="66e",'Quantification Tool R5'!$B$12="66g"),IF(E227&gt;0.053,0,ROUND(E227^2*'Reference Standards'!$AB$347+E227*'Reference Standards'!$AB$348+'Reference Standards'!$AB$349,2)), IF('Quantification Tool R5'!$B$12="68b",IF(E227&gt;0.05,0,ROUND(E227^2*'Reference Standards'!$AC$347+E227*'Reference Standards'!$AC$348+'Reference Standards'!$AC$349,2)),  IF(OR('Quantification Tool R5'!$B$12="68a",'Quantification Tool R5'!$B$12="68c"),IF(E227&gt;0.07,0,ROUND(E227^2*'Reference Standards'!$AD$347+E227*'Reference Standards'!$AD$348+'Reference Standards'!$AD$349,2)), IF(OR('Quantification Tool R5'!$B$12="71f",'Quantification Tool R5'!$B$12="71g"),IF(E227&gt;0.13,0,ROUND(IF(E227&gt;0.042,E227*'Reference Standards'!$AE$348+'Reference Standards'!$AE$349,E227*'Reference Standards'!$AF$348+'Reference Standards'!$AF$349),2)), IF('Quantification Tool R5'!$B$12="67fhi",IF(E227&gt;0.16,0,ROUND(E227^2*'Reference Standards'!$AG$347+E227*'Reference Standards'!$AG$348+'Reference Standards'!$AG$349,2)),  IF('Quantification Tool R5'!$B$12="65j",IF(E227&gt;0.035,0,ROUND(IF(E227&lt;=0.003,0.7,E227^2*'Reference Standards'!$AB$387+E227*'Reference Standards'!$AB$388+'Reference Standards'!$AB$389),2)),IF('Quantification Tool R5'!$B$12="69de",IF(E227&gt;0.037,0,ROUND(IF(E227&lt;=0.003,0.7,E227^2*'Reference Standards'!$AC$387+E227*'Reference Standards'!$AC$388+'Reference Standards'!$AC$389),2)),IF('Quantification Tool R5'!$B$12="71e",IF(E227&gt;0.23,0,ROUND(IF(E227&lt;=0.003,0.7,E227^2*'Reference Standards'!$AD$387+E227*'Reference Standards'!$AD$388+'Reference Standards'!$AD$389),2)),IF('Quantification Tool R5'!$B$12="66f",IF(E227&gt;0.06,0,ROUND(IF(E227&lt;=0.003,0.85,IF(E227&lt;=0.004,0.7,E227^2*'Reference Standards'!$AE$387+E227*'Reference Standards'!$AE$388+'Reference Standards'!$AE$389)),2)),IF('Quantification Tool R5'!$B$12="67g",IF(E227&gt;0.11,0,ROUND(IF(E227&lt;=0.01,E227*'Reference Standards'!$AH$388+'Reference Standards'!$AH$389, E227^2*'Reference Standards'!$AF$387+E227*'Reference Standards'!$AF$388+'Reference Standards'!$AF$389),2)),IF('Quantification Tool R5'!$B$12="74b",IF(E227&gt;0.49,0,ROUND(IF(E227&lt;=0.01,E227*'Reference Standards'!$AH$388+'Reference Standards'!$AH$389, E227^2*'Reference Standards'!$AG$387+E227*'Reference Standards'!$AG$388+'Reference Standards'!$AG$389),2)),IF('Quantification Tool R5'!$B$12="65abei",IF(E227&gt;0.199,0,ROUND(IF(E227&lt;=0.01,E227*'Reference Standards'!$AI$426+'Reference Standards'!$AI$427, E227^2*'Reference Standards'!$AE$425+E227*'Reference Standards'!$AE$426+'Reference Standards'!$AE$427),2))    )))))))))))))),      IF('Quantification Tool R5'!$B$13&lt;=2.5, IF(OR('Quantification Tool R5'!$B$12="66d",'Quantification Tool R5'!$B$12="66e",'Quantification Tool R5'!$B$12="66g"),IF(E227&gt;0.05,0,ROUND(IF(E227&lt;=0.002,1,IF(E227&lt;=0.005,E227*'Reference Standards'!$AF$464+'Reference Standards'!$AF$465, E227^2*'Reference Standards'!$AB$463+E227*'Reference Standards'!$AB$464+'Reference Standards'!$AB$465)),2)), IF('Quantification Tool R5'!$B$12="67fhi",IF(E227&gt;0.1,0,ROUND(IF(E227&lt;=0.002,1,IF(E227&lt;=0.006,E227*'Reference Standards'!$AG$464+'Reference Standards'!$AG$465, E227^2*'Reference Standards'!$AC$463+E227*'Reference Standards'!$AC$464+'Reference Standards'!$AC$465)),2)), IF('Quantification Tool R5'!$B$12="65abei",IF(E227&gt;0.13,0,ROUND(IF(E227&lt;=0.003,1,IF(E227&lt;=0.008,E227*'Reference Standards'!$AH$464+'Reference Standards'!$AH$465, E227^2*'Reference Standards'!$AD$463+E227*'Reference Standards'!$AD$464+'Reference Standards'!$AD$465)),2)), IF('Quantification Tool R5'!$B$12="68b",IF(E227&gt;0.043,0,ROUND(IF(E227&lt;=0.004,1, IF(E227&lt;=0.005,0.7, E227^2*'Reference Standards'!$AE$463+E227*'Reference Standards'!$AE$464+'Reference Standards'!$AE$465)),2)), IF('Quantification Tool R5'!$B$12="69de",IF(E227&gt;=0.034,0,ROUND(IF(E227&lt;=0.003,1, IF(E227&lt;=0.006,E227*'Reference Standards'!$AG$500+'Reference Standards'!$AG$501, E227*'Reference Standards'!$AB$500+'Reference Standards'!$AB$501)),2)), IF(OR('Quantification Tool R5'!$B$12="68a",'Quantification Tool R5'!$B$12="68c"),IF(E227&gt;0.202,0,ROUND(IF(E227&lt;=0.003,1, IF(E227&lt;=0.006,E227*'Reference Standards'!$AG$500+'Reference Standards'!$AG$501, IF(E227&gt;=0.04,E227*'Reference Standards'!$AC$500+'Reference Standards'!$AC$501,E227*'Reference Standards'!$AE$500+'Reference Standards'!$AE$501))),2)), IF(OR('Quantification Tool R5'!$B$12="71f",'Quantification Tool R5'!$B$12="71g"),IF(E227&gt;0.631,0,ROUND(IF(E227&lt;=0.003,1, IF(E227&lt;=0.006,E227*'Reference Standards'!$AG$500+'Reference Standards'!$AG$501, IF(E227&gt;=0.17,E227*'Reference Standards'!$AD$500+'Reference Standards'!$AD$501,E227*'Reference Standards'!$AF$500+'Reference Standards'!$AF$501))),2)),   IF('Quantification Tool R5'!$B$12="71e",IF(E227&gt;1.23,0,ROUND(IF(E227&lt;=0.004,1,IF(E227&lt;=0.006,E227*'Reference Standards'!$AF$538+'Reference Standards'!$AF$539, E227^2*'Reference Standards'!$AB$537+E227*'Reference Standards'!$AB$538+'Reference Standards'!$AB$539)),2)), IF('Quantification Tool R5'!$B$12="67g",IF(E227&gt;0.11,0,ROUND(IF(E227&lt;=0.006,1,IF(E227&lt;=0.011,E227*'Reference Standards'!$AG$538+'Reference Standards'!$AG$539, E227^2*'Reference Standards'!$AC$537+E227*'Reference Standards'!$AC$538+'Reference Standards'!$AC$539)),2)), IF('Quantification Tool R5'!$B$12="65j",IF(E227&gt;0.046,0,ROUND(IF(E227&lt;=0.007,1,IF(E227&lt;=0.012,E227*'Reference Standards'!$AH$538+'Reference Standards'!$AH$539, E227^2*'Reference Standards'!$AD$537+E227*'Reference Standards'!$AD$538+'Reference Standards'!$AD$539)),2)), IF('Quantification Tool R5'!$B$12="66f",IF(E227&gt;0.081,0,ROUND(IF(E227&lt;=0.008,1,IF(E227&lt;=0.011,E227*'Reference Standards'!$AI$538+'Reference Standards'!$AI$539, E227^2*'Reference Standards'!$AE$537+E227*'Reference Standards'!$AE$538+'Reference Standards'!$AE$539)),2)), IF(OR('Quantification Tool R5'!$B$12="71h",'Quantification Tool R5'!$B$12="71i"),IF(E227&gt;0.37,0,ROUND(IF(E227&lt;=0.013,1,IF(E227&lt;=0.032,E227*'Reference Standards'!$AH$576+'Reference Standards'!$AH$577, IF(E227&lt;=0.3,E227*'Reference Standards'!$AF$576+'Reference Standards'!$AF$577,E227*'Reference Standards'!$AB$576+'Reference Standards'!$AB$577))),2)), IF('Quantification Tool R5'!$B$12="73a",IF(E227&gt;0.448,0,ROUND(IF(E227&lt;=0.071,1,IF(E227&lt;=0.086,E227*'Reference Standards'!$AJ$576+'Reference Standards'!$AJ$577, IF(E227&lt;=0.165,E227*'Reference Standards'!$AG$576+'Reference Standards'!$AG$577,E227*'Reference Standards'!$AE$576+'Reference Standards'!$AE$577))),2)),  IF('Quantification Tool R5'!$B$12="74b",IF(E227&gt;0.43,0,ROUND(IF(E227&lt;=0.018,1,IF(E227&lt;=0.019,0.85, IF(E227&lt;=0.02,0.7, E227^2*'Reference Standards'!$AC$575+E227*'Reference Standards'!$AC$576+'Reference Standards'!$AC$577))),2)), IF('Quantification Tool R5'!$B$12="74a",IF(E227&gt;0.217,0,ROUND(IF(E227&lt;=0.02,1,IF(E227&lt;=0.033,E227*'Reference Standards'!$AI$576+'Reference Standards'!$AI$577, E227^2*'Reference Standards'!$AD$575+E227*'Reference Standards'!$AD$576+'Reference Standards'!$AD$577)),2))     )))))))))))))))))))</f>
        <v/>
      </c>
      <c r="G227" s="87" t="str">
        <f>IFERROR(AVERAGE(F227),"")</f>
        <v/>
      </c>
      <c r="H227" s="549"/>
      <c r="I227" s="536"/>
      <c r="J227" s="559"/>
      <c r="K227" s="555"/>
      <c r="L227" s="21"/>
    </row>
    <row r="228" spans="1:12" ht="15.6" x14ac:dyDescent="0.3">
      <c r="A228" s="550" t="s">
        <v>59</v>
      </c>
      <c r="B228" s="560" t="s">
        <v>340</v>
      </c>
      <c r="C228" s="125" t="s">
        <v>331</v>
      </c>
      <c r="D228" s="126"/>
      <c r="E228" s="166"/>
      <c r="F228" s="345" t="str">
        <f>IF(E228="","",IF(OR('Quantification Tool R5'!B$12="73a",'Quantification Tool R5'!B$12="73b"),IF(E228&lt;1,0,IF(E228&gt;=30,1,ROUND(IF(E228&lt;22,'Reference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531" t="str">
        <f>IFERROR(AVERAGE(F228:F231),"")</f>
        <v/>
      </c>
      <c r="H228" s="568" t="str">
        <f>IFERROR(ROUND(AVERAGE(G228:G233),2),"")</f>
        <v/>
      </c>
      <c r="I228" s="519" t="str">
        <f>IF(H228="","",IF(H228&gt;0.69,"Functioning",IF(H228&gt;0.29,"Functioning At Risk",IF(H228&gt;-1,"Not Functioning"))))</f>
        <v/>
      </c>
      <c r="J228" s="559"/>
      <c r="K228" s="555"/>
      <c r="L228" s="21"/>
    </row>
    <row r="229" spans="1:12" ht="15.6" x14ac:dyDescent="0.3">
      <c r="A229" s="556"/>
      <c r="B229" s="561"/>
      <c r="C229" s="174" t="s">
        <v>335</v>
      </c>
      <c r="D229" s="175"/>
      <c r="E229" s="165"/>
      <c r="F229" s="346" t="str">
        <f>IF(E229="","",IF(AND('Quantification Tool R5'!$B$12="74b",'Quantification Tool R5'!$B$13&lt;=2),IF(E229&lt;0,0,IF(E229&gt;15.6,0.69,ROUND('Reference Standards'!$AL$54*E229^2+'Reference Standards'!$AL$55*E229+'Reference Standards'!$AL$56,2))),IF(AND('Quantification Tool R5'!$B$12="65abei",'Quantification Tool R5'!$B$13&lt;=2),IF(E229&lt;0,0,IF(E229&gt;=20,0.69,ROUND('Reference Standards'!$AM$54*E229^2+'Reference Standards'!$AM$55*E229+'Reference Standards'!$AM$56,2))),IF(OR(AND('Quantification Tool R5'!$B$12="74a",'Quantification Tool R5'!$B$13&gt;2,'Quantification Tool R5'!$B$19="January - June"),AND('Quantification Tool R5'!$B$12="71i",'Quantification Tool R5'!$B$13&gt;2,'Quantification Tool R5'!$B$20="SQBANK")),IF(E229&lt;0,0,IF(E229&gt;24.7,0.69,ROUND('Reference Standards'!$AN$54*E229^2+'Reference Standards'!$AN$55*E229+'Reference Standards'!$AN$56,2))),IF(OR('Quantification Tool R5'!$B$12="74b",'Quantification Tool R5'!$B$12="65abei"),IF(E229&lt;0,0,IF(E229&gt;32.7,0.69,ROUND('Reference Standards'!$AO$54*E229^2+'Reference Standards'!$AO$55*E229+'Reference Standards'!$AO$56,2))),IF(AND('Quantification Tool R5'!$B$12="68b",'Quantification Tool R5'!$B$13&gt;2),IF(E229&lt;0,0,IF(E229&gt;41.2,0.69,ROUND('Reference Standards'!$AP$54*E229^2+'Reference Standards'!$AP$55*E229+'Reference Standards'!$AP$56,2))),IF(OR(AND('Quantification Tool R5'!$B$12="71i",'Quantification Tool R5'!$B$13&lt;=2),AND(OR('Quantification Tool R5'!$B$12="68c",'Quantification Tool R5'!$B$12="68d"),'Quantification Tool R5'!$B$19="January - June")),IF(E229&lt;0,0,IF(E229&gt;49.2,0.69,ROUND('Reference Standards'!$AL$94*E229^2+'Reference Standards'!$AL$95*E229+'Reference Standards'!$AL$96,2))),IF(OR(AND('Quantification Tool R5'!$B$12="68a",'Quantification Tool R5'!$B$19="January - June"),AND(OR('Quantification Tool R5'!$B$12="68c",'Quantification Tool R5'!$B$12="68d"),'Quantification Tool R5'!$B$19="July - December")),IF(E229&lt;0,0,IF(E229&gt;53.4,0.69,ROUND('Reference Standards'!$AM$94*E229^2+'Reference Standards'!$AM$95*E229+'Reference Standards'!$AM$96,2))),IF(OR(AND('Quantification Tool R5'!$B$12="71i",'Quantification Tool R5'!$B$13&gt;2,'Quantification Tool R5'!$B$20="SQKICK"),AND(OR('Quantification Tool R5'!$B$12="67fhi",'Quantification Tool R5'!$B$12="67g"),'Quantification Tool R5'!$B$13&lt;=2),'Quantification Tool R5'!$B$12="65j"),IF(E229&lt;0,0,IF(E229&gt;57.8,0.69,ROUND('Reference Standards'!$AN$94*E229^2+'Reference Standards'!$AN$95*E229+'Reference Standards'!$AN$96,2))),IF(OR(AND('Quantification Tool R5'!$B$12="74a",'Quantification Tool R5'!$B$13&gt;2,'Quantification Tool R5'!$B$19="July - December"),AND(OR('Quantification Tool R5'!$B$12="67fhi",'Quantification Tool R5'!$B$12="67g"),'Quantification Tool R5'!$B$13&gt;2),'Quantification Tool R5'!$B$12="69de"),IF(E229&lt;0,0,IF(E229&gt;62.5,0.69,ROUND('Reference Standards'!$AO$94*E229^2+'Reference Standards'!$AO$95*E229+'Reference Standards'!$AO$96,2))),  IF(OR('Quantification Tool R5'!$B$12="66d",'Quantification Tool R5'!$B$12="66e",'Quantification Tool R5'!$B$12="66ik",'Quantification Tool R5'!$B$12="71e",'Quantification Tool R5'!$B$12="71f",'Quantification Tool R5'!$B$12="71g",'Quantification Tool R5'!$B$12="71h"),IF(E229&lt;0,0,IF(E229&gt;66.5,0.69,ROUND('Reference Standards'!$AP$94*E229^2+'Reference Standards'!$AP$95*E229+'Reference Standards'!$AP$96,2))),IF(OR('Quantification Tool R5'!$B$12="66f",'Quantification Tool R5'!$B$12="66g",'Quantification Tool R5'!$B$12="66j",AND('Quantification Tool R5'!$B$12="68a",'Quantification Tool R5'!$B$19="July - December")), IF(E229&lt;0,0,IF(E229&gt;69,0.69,ROUND('Reference Standards'!$AQ$94*E229^2+'Reference Standards'!$AQ$95*E229+'Reference Standards'!$AQ$96,2))))   )))))))))))</f>
        <v/>
      </c>
      <c r="G229" s="531"/>
      <c r="H229" s="568"/>
      <c r="I229" s="519"/>
      <c r="J229" s="559"/>
      <c r="K229" s="555"/>
      <c r="L229" s="21"/>
    </row>
    <row r="230" spans="1:12" ht="15.6" x14ac:dyDescent="0.3">
      <c r="A230" s="556"/>
      <c r="B230" s="561"/>
      <c r="C230" s="174" t="s">
        <v>339</v>
      </c>
      <c r="D230" s="175"/>
      <c r="E230" s="165"/>
      <c r="F230" s="346" t="str">
        <f>IF(E230="","",IF(AND('Quantification Tool R5'!$B$12="74b",'Quantification Tool R5'!$B$13&lt;=2),IF(E230&lt;0,0,IF(E230&gt;8.1,0.69,ROUND('Reference Standards'!$AL$131*E230^2+'Reference Standards'!$AL$132*E230+'Reference Standards'!$AL$133,2))),IF(OR('Quantification Tool R5'!$B$12="73a",'Quantification Tool R5'!$B$12="73b"),IF(E230&lt;0,0,IF(E230&gt;=28,0.69,ROUND('Reference Standards'!$AM$131*E230^2+'Reference Standards'!$AM$132*E230+'Reference Standards'!$AM$133,2))),IF(AND('Quantification Tool R5'!$B$12="74a",'Quantification Tool R5'!$B$13&gt;2,'Quantification Tool R5'!$B$19="January - June"),IF(E230&lt;0,0,IF(E230&gt;=32.5,0.69,ROUND('Reference Standards'!$AN$131*E230^2+'Reference Standards'!$AN$132*E230+'Reference Standards'!$AN$133,2))),IF(AND('Quantification Tool R5'!$B$12="71i",'Quantification Tool R5'!$B$13&gt;2,'Quantification Tool R5'!$B$20="SQBANK"),IF(E230&lt;0,0,IF(E230&gt;=37,0.69,ROUND('Reference Standards'!$AO$131*E230^2+'Reference Standards'!$AO$132*E230+'Reference Standards'!$AO$133,2))),IF(OR(AND(OR('Quantification Tool R5'!$B$12="65abei",'Quantification Tool R5'!$B$12="74b"),'Quantification Tool R5'!$B$13&gt;2),AND('Quantification Tool R5'!$B$12="71i",'Quantification Tool R5'!$B$13&gt;2,'Quantification Tool R5'!$B$20="SQKICK")),IF(E230&lt;0,0,IF(E230&gt;42.6,0.69,ROUND('Reference Standards'!$AP$131*E230^2+'Reference Standards'!$AP$132*E230+'Reference Standards'!$AP$133,2))),     IF(OR(AND('Quantification Tool R5'!$B$12="65abei",'Quantification Tool R5'!$B$13&lt;=2),AND(OR('Quantification Tool R5'!$B$12="68c",'Quantification Tool R5'!$B$12="68d"),'Quantification Tool R5'!$B$19="July - December"),'Quantification Tool R5'!$B$12="71e"),IF(E230&lt;0,0,IF(E230&gt;=48,0.69,ROUND('Reference Standards'!$AL$171*E230^2+'Reference Standards'!$AL$172*E230+'Reference Standards'!$AL$173,2))),IF(OR('Quantification Tool R5'!$B$12="65j",'Quantification Tool R5'!$B$12="67fhi",'Quantification Tool R5'!$B$12="67g",AND('Quantification Tool R5'!$B$12="74a",'Quantification Tool R5'!$B$19="July - December",'Quantification Tool R5'!$B$13&gt;2),AND('Quantification Tool R5'!$B$12="71i",'Quantification Tool R5'!$B$13&lt;=2)),IF(E230&lt;0,0,IF(E230&gt;=53,0.69,ROUND('Reference Standards'!$AM$171*E230^2+'Reference Standards'!$AM$172*E230+'Reference Standards'!$AM$173,2))),IF(OR(AND(OR('Quantification Tool R5'!$B$12="68b",'Quantification Tool R5'!$B$12="71f",'Quantification Tool R5'!$B$12="71g",'Quantification Tool R5'!$B$12="71h"),'Quantification Tool R5'!$B$13&gt;2),'Quantification Tool R5'!$B$12="68a"),IF(E230&lt;0,0,IF(E230&gt;=57,0.69,ROUND('Reference Standards'!$AN$171*E230^2+'Reference Standards'!$AN$172*E230+'Reference Standards'!$AN$173,2))),IF(OR('Quantification Tool R5'!$B$12="66f",'Quantification Tool R5'!$B$12="66g",'Quantification Tool R5'!$B$12="66j",AND(OR('Quantification Tool R5'!$B$12="71f",'Quantification Tool R5'!$B$12="71g",'Quantification Tool R5'!$B$12="71h"),'Quantification Tool R5'!$B$13&lt;=2)),IF(E230&lt;0,0,IF(E230&gt;=60,0.69,ROUND('Reference Standards'!$AO$171*E230^2+'Reference Standards'!$AO$172*E230+'Reference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December")),IF(E230&lt;0,0,IF(E230&gt;=67.5,0.69,ROUND('Reference Standards'!$AP$171*E230^2+'Reference Standards'!$AP$172*E230+'Reference Standards'!$AP$173,2))),IF(AND('Quantification Tool R5'!$B$12="69de",'Quantification Tool R5'!$B$19="January - June"), IF(E230&lt;0,0,IF(E230&gt;=72,0.69,ROUND('Reference Standards'!$AQ$171*E230^2+'Reference Standards'!$AQ$172*E230+'Reference Standards'!$AQ$173,2))))   )))))))))))</f>
        <v/>
      </c>
      <c r="G230" s="531"/>
      <c r="H230" s="568"/>
      <c r="I230" s="519"/>
      <c r="J230" s="559"/>
      <c r="K230" s="555"/>
      <c r="L230" s="21"/>
    </row>
    <row r="231" spans="1:12" ht="15.6" x14ac:dyDescent="0.3">
      <c r="A231" s="556"/>
      <c r="B231" s="562"/>
      <c r="C231" s="127" t="s">
        <v>336</v>
      </c>
      <c r="D231" s="71"/>
      <c r="E231" s="167"/>
      <c r="F231" s="346" t="str">
        <f>IF(E231="","",IF(OR('Quantification Tool R5'!$B$12="67fhi",'Quantification Tool R5'!$B$12="67g",'Quantification Tool R5'!$B$12="71e",'Quantification Tool R5'!$B$12="73a",'Quantification Tool R5'!$B$12="73b",AND(OR('Quantification Tool R5'!$B$12="71f",'Quantification Tool R5'!$B$12="71g",'Quantification Tool R5'!$B$12="71h"),'Quantification Tool R5'!$B$13&gt;2)),IF(E231&gt;100,0,IF(E231&lt;15,0.69,ROUND('Reference Standards'!$AL$208*E231^2+'Reference Standards'!$AL$209*E231+'Reference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),IF(E231&gt;100,0,IF(E231&lt;19,0.69,ROUND('Reference Standards'!$AM$208*E231^2+'Reference Standards'!$AM$209*E231+'Reference Standards'!$AM$210,2))),    IF(OR(AND('Quantification Tool R5'!$B$12="69de",'Quantification Tool R5'!$B$19="January - June"),AND('Quantification Tool R5'!$B$12="71i",'Quantification Tool R5'!$B$13&gt;2,'Quantification Tool R5'!$B$20="SQKICK" )),IF(E231&gt;100,0,IF(E231&lt;22,0.69,ROUND('Reference Standards'!$AN$208*E231^2+'Reference Standards'!$AN$209*E231+'Reference Standards'!$AN$210,2))),    IF(OR('Quantification Tool R5'!$B$12="65j",AND('Quantification Tool R5'!$B$12="68b",'Quantification Tool R5'!$B$13&gt;2)),IF(E231&gt;100,0,IF(E231&lt;24,0.69,ROUND('Reference Standards'!$AO$208*E231^2+'Reference Standards'!$AO$209*E231+'Reference Standards'!$AO$210,2))),    IF(AND(OR('Quantification Tool R5'!$B$12="65abei",'Quantification Tool R5'!$B$12="71f",'Quantification Tool R5'!$B$12="71g",'Quantification Tool R5'!$B$12="71h"),'Quantification Tool R5'!$B$13&lt;=2),IF(E231&gt;95,0,IF(E231&lt;33,0.69,ROUND('Reference Standards'!$AL$246*E231^2+'Reference Standards'!$AL$247*E231+'Reference Standards'!$AL$248,2))),   IF(AND(OR('Quantification Tool R5'!$B$12="65abei",'Quantification Tool R5'!$B$12="74b"),'Quantification Tool R5'!$B$13&gt;2),IF(E231&gt;97,0,IF(E231&lt;36,0.69,ROUND('Reference Standards'!$AM$246*E231^2+'Reference Standards'!$AM$247*E231+'Reference Standards'!$AM$248,2))),  IF(AND('Quantification Tool R5'!$B$12="74a",'Quantification Tool R5'!$B$19="January - June",'Quantification Tool R5'!$B$13&gt;2),IF(E231&gt;93,0,IF(E231&lt;52,0.69,ROUND('Reference Standards'!$AN$246*E231^2+'Reference Standards'!$AN$247*E231+'Reference Standards'!$AN$248,2))),   IF(AND('Quantification Tool R5'!$B$12="74b",'Quantification Tool R5'!$B$13&lt;=2),IF(E231&gt;97,0,IF(E231&lt;62,0.69,ROUND('Reference Standards'!$AO$246*E231^2+'Reference Standards'!$AO$247*E231+'Reference Standards'!$AO$248,2)))  )))))))))</f>
        <v/>
      </c>
      <c r="G231" s="531"/>
      <c r="H231" s="568"/>
      <c r="I231" s="519"/>
      <c r="J231" s="559"/>
      <c r="K231" s="555"/>
      <c r="L231" s="21"/>
    </row>
    <row r="232" spans="1:12" ht="15.6" x14ac:dyDescent="0.3">
      <c r="A232" s="556"/>
      <c r="B232" s="563" t="s">
        <v>74</v>
      </c>
      <c r="C232" s="125" t="s">
        <v>211</v>
      </c>
      <c r="D232" s="126"/>
      <c r="E232" s="166"/>
      <c r="F232" s="345" t="str">
        <f>IF(E232="","",IF(E232=1,0.15,IF(E232=3,0.5,IF(E232=5,0.85,0))))</f>
        <v/>
      </c>
      <c r="G232" s="564" t="str">
        <f>IFERROR(AVERAGE(F232:F233),"")</f>
        <v/>
      </c>
      <c r="H232" s="568"/>
      <c r="I232" s="519"/>
      <c r="J232" s="559"/>
      <c r="K232" s="555"/>
      <c r="L232" s="21"/>
    </row>
    <row r="233" spans="1:12" ht="15.6" x14ac:dyDescent="0.3">
      <c r="A233" s="551"/>
      <c r="B233" s="563"/>
      <c r="C233" s="127" t="s">
        <v>332</v>
      </c>
      <c r="D233" s="71"/>
      <c r="E233" s="167"/>
      <c r="F233" s="347" t="str">
        <f>IF(E233="","",IF(E233=1,0.15,IF(E233=3,0.5,IF(E233=5,0.85,0))))</f>
        <v/>
      </c>
      <c r="G233" s="565"/>
      <c r="H233" s="568"/>
      <c r="I233" s="519"/>
      <c r="J233" s="559"/>
      <c r="K233" s="555"/>
      <c r="L233" s="21"/>
    </row>
    <row r="234" spans="1:12" x14ac:dyDescent="0.3">
      <c r="L234" s="21"/>
    </row>
    <row r="235" spans="1:12" x14ac:dyDescent="0.3">
      <c r="L235" s="21"/>
    </row>
    <row r="236" spans="1:12" ht="21" x14ac:dyDescent="0.4">
      <c r="A236" s="148" t="s">
        <v>135</v>
      </c>
      <c r="B236" s="246"/>
      <c r="C236" s="249" t="s">
        <v>324</v>
      </c>
      <c r="D236" s="246"/>
      <c r="E236" s="247"/>
      <c r="F236" s="248"/>
      <c r="G236" s="544" t="s">
        <v>18</v>
      </c>
      <c r="H236" s="545"/>
      <c r="I236" s="545"/>
      <c r="J236" s="545"/>
      <c r="K236" s="546"/>
      <c r="L236" s="21"/>
    </row>
    <row r="237" spans="1:12" ht="15.6" x14ac:dyDescent="0.3">
      <c r="A237" s="158" t="s">
        <v>1</v>
      </c>
      <c r="B237" s="158" t="s">
        <v>2</v>
      </c>
      <c r="C237" s="542" t="s">
        <v>3</v>
      </c>
      <c r="D237" s="644"/>
      <c r="E237" s="158" t="s">
        <v>15</v>
      </c>
      <c r="F237" s="158" t="s">
        <v>16</v>
      </c>
      <c r="G237" s="158" t="s">
        <v>19</v>
      </c>
      <c r="H237" s="158" t="s">
        <v>20</v>
      </c>
      <c r="I237" s="314" t="s">
        <v>20</v>
      </c>
      <c r="J237" s="158" t="s">
        <v>21</v>
      </c>
      <c r="K237" s="315" t="s">
        <v>21</v>
      </c>
    </row>
    <row r="238" spans="1:12" ht="15.6" x14ac:dyDescent="0.3">
      <c r="A238" s="540" t="s">
        <v>60</v>
      </c>
      <c r="B238" s="299" t="s">
        <v>86</v>
      </c>
      <c r="C238" s="52" t="s">
        <v>388</v>
      </c>
      <c r="D238" s="52"/>
      <c r="E238" s="162"/>
      <c r="F238" s="338" t="str">
        <f>IF(E238="","",IF(E238&lt;=0,0,IF(E238&gt;=0.95,1,ROUND('Reference Standards'!C$14*E238+'Reference Standards'!C$15,2))))</f>
        <v/>
      </c>
      <c r="G238" s="83" t="str">
        <f>IFERROR(AVERAGE(F238),"")</f>
        <v/>
      </c>
      <c r="H238" s="522" t="str">
        <f>IFERROR(ROUND(AVERAGE(G238:G239),2),"")</f>
        <v/>
      </c>
      <c r="I238" s="519" t="str">
        <f>IF(H238="","",IF(H238&gt;0.69,"Functioning",IF(H238&gt;0.29,"Functioning At Risk",IF(H238&gt;-1,"Not Functioning"))))</f>
        <v/>
      </c>
      <c r="J238" s="559" t="str">
        <f>IF(AND(H238="",H240="",H242="",H264="",H268=""),"",ROUND((IF(H238="",0,H238)*0.2)+(IF(H240="",0,H240)*0.2)+(IF(H242="",0,H242)*0.2)+(IF(H264="",0,H264)*0.2)+(IF(H268="",0,H268)*0.2),2))</f>
        <v/>
      </c>
      <c r="K238" s="555" t="str">
        <f>IF(J238="","",IF(J238&lt;0.3, "Not Functioning",IF(OR(H238&lt;0.7,H240&lt;0.7,H242&lt;0.7,H264&lt;0.7,H268&lt;0.7),"Functioning At Risk",IF(J238&lt;0.7,"Functioning At Risk","Functioning"))))</f>
        <v/>
      </c>
    </row>
    <row r="239" spans="1:12" ht="15.6" x14ac:dyDescent="0.3">
      <c r="A239" s="541"/>
      <c r="B239" s="371" t="s">
        <v>128</v>
      </c>
      <c r="C239" s="373" t="s">
        <v>161</v>
      </c>
      <c r="D239" s="374"/>
      <c r="E239" s="43"/>
      <c r="F239" s="372" t="str">
        <f>IF(E239="","",IF(E239&gt;=1,1,IF(E239&lt;=0,0,ROUND(E239,2))))</f>
        <v/>
      </c>
      <c r="G239" s="367" t="str">
        <f>IFERROR(AVERAGE(F239:F239),"")</f>
        <v/>
      </c>
      <c r="H239" s="523"/>
      <c r="I239" s="519"/>
      <c r="J239" s="559"/>
      <c r="K239" s="555"/>
    </row>
    <row r="240" spans="1:12" ht="15.6" x14ac:dyDescent="0.3">
      <c r="A240" s="524" t="s">
        <v>6</v>
      </c>
      <c r="B240" s="572" t="s">
        <v>7</v>
      </c>
      <c r="C240" s="54" t="s">
        <v>8</v>
      </c>
      <c r="D240" s="54"/>
      <c r="E240" s="162"/>
      <c r="F240" s="339" t="str">
        <f>IF(E240="","",ROUND(IF(E240&gt;1.6,0,IF(E240&lt;=1,1,E240^2*'Reference Standards'!K$14+E240*'Reference Standards'!K$15+'Reference Standards'!K$16)),2))</f>
        <v/>
      </c>
      <c r="G240" s="579" t="str">
        <f>IFERROR(AVERAGE(F240:F241),"")</f>
        <v/>
      </c>
      <c r="H240" s="579" t="str">
        <f>IFERROR(ROUND(AVERAGE(G240),2),"")</f>
        <v/>
      </c>
      <c r="I240" s="569" t="str">
        <f>IF(H240="","",IF(H240&gt;0.69,"Functioning",IF(H240&gt;0.29,"Functioning At Risk",IF(H240&gt;-1,"Not Functioning"))))</f>
        <v/>
      </c>
      <c r="J240" s="559"/>
      <c r="K240" s="555"/>
    </row>
    <row r="241" spans="1:13" ht="15.6" x14ac:dyDescent="0.3">
      <c r="A241" s="525"/>
      <c r="B241" s="572"/>
      <c r="C241" s="54" t="s">
        <v>9</v>
      </c>
      <c r="D241" s="54"/>
      <c r="E241" s="163"/>
      <c r="F241" s="339" t="str">
        <f>IF(E241="","",(IF(OR('Quantification Tool R5'!B$11="A",'Quantification Tool R5'!B$11="B",'Quantification Tool R5'!$B$11="Bc"),IF(E241&lt;1.2,0,IF(E241&gt;=2.2,1,ROUND(IF(E241&lt;1.4,E241*'Reference Standards'!$K$84+'Reference Standards'!$K$85,E241*'Reference Standards'!$L$84+'Reference Standards'!$L$85),2))),IF(OR('Quantification Tool R5'!B$11="C",'Quantification Tool R5'!B$11="E"),IF(E241&lt;2,0,IF(E241&gt;=5,1,ROUND(IF(E241&lt;2.4,E241*'Reference Standards'!$L$49+'Reference Standards'!$L$50,E241*'Reference Standards'!$K$49+'Reference Standards'!$K$50),2)))))))</f>
        <v/>
      </c>
      <c r="G241" s="581"/>
      <c r="H241" s="580"/>
      <c r="I241" s="570"/>
      <c r="J241" s="559"/>
      <c r="K241" s="555"/>
    </row>
    <row r="242" spans="1:13" ht="15.6" x14ac:dyDescent="0.3">
      <c r="A242" s="526" t="s">
        <v>26</v>
      </c>
      <c r="B242" s="557" t="s">
        <v>27</v>
      </c>
      <c r="C242" s="60" t="s">
        <v>333</v>
      </c>
      <c r="D242" s="244"/>
      <c r="E242" s="61"/>
      <c r="F242" s="340" t="str">
        <f>IF(E242="","",IF(OR(LEFT('Quantification Tool R5'!$B$12,2)="65",LEFT('Quantification Tool R5'!$B$12,2)="66",LEFT('Quantification Tool R5'!$B$12,2)="71"),IF(E242&gt;=850,1,IF(E242&lt;250,ROUND('Reference Standards'!$S$17*(E242)+'Reference Standards'!$S$18,2),ROUND('Reference Standards'!$T$17*E242+'Reference Standards'!$T$18,2))),  IF(E242&gt;=345,1,IF(E242&lt;=180,ROUND('Reference Standards'!$U$17*(E242)+'Reference Standards'!$U$18,2),ROUND('Reference Standards'!$V$17*E242+'Reference Standards'!$V$18,2))))    )</f>
        <v/>
      </c>
      <c r="G242" s="528" t="str">
        <f>IFERROR(AVERAGE(F242:F243),"")</f>
        <v/>
      </c>
      <c r="H242" s="566" t="str">
        <f>IFERROR(ROUND(AVERAGE(G242:G263),2),"")</f>
        <v/>
      </c>
      <c r="I242" s="555" t="str">
        <f>IF(H242="","",IF(H242&gt;0.69,"Functioning",IF(H242&gt;0.29,"Functioning At Risk",IF(H242&gt;-1,"Not Functioning"))))</f>
        <v/>
      </c>
      <c r="J242" s="559"/>
      <c r="K242" s="555"/>
    </row>
    <row r="243" spans="1:13" ht="15.6" x14ac:dyDescent="0.3">
      <c r="A243" s="520"/>
      <c r="B243" s="558"/>
      <c r="C243" s="63" t="s">
        <v>323</v>
      </c>
      <c r="D243" s="245"/>
      <c r="E243" s="53"/>
      <c r="F243" s="341" t="str">
        <f>IF(E243="","",IF(OR(LEFT('Quantification Tool R5'!$B$12,2)="65",LEFT('Quantification Tool R5'!$B$12,2)="66",LEFT('Quantification Tool R5'!$B$12,2)="71"),IF(E243&gt;=30,1,IF(E243&lt;13,ROUND('Reference Standards'!$S$53*(E243)+'Reference Standards'!$S$54,2),ROUND('Reference Standards'!$T$53*E243+'Reference Standards'!$T$54,2))),  IF(E243&gt;=16,1,IF(E243&lt;=9,ROUND('Reference Standards'!$U$53*(E243)+'Reference Standards'!$U$54,2),ROUND('Reference Standards'!$V$53*E243+'Reference Standards'!$V$54,2))))    )</f>
        <v/>
      </c>
      <c r="G243" s="530"/>
      <c r="H243" s="566"/>
      <c r="I243" s="555"/>
      <c r="J243" s="559"/>
      <c r="K243" s="555"/>
    </row>
    <row r="244" spans="1:13" ht="15.6" x14ac:dyDescent="0.3">
      <c r="A244" s="520"/>
      <c r="B244" s="520" t="s">
        <v>395</v>
      </c>
      <c r="C244" s="58" t="s">
        <v>80</v>
      </c>
      <c r="D244" s="58"/>
      <c r="E244" s="165"/>
      <c r="F244" s="340" t="str">
        <f>IF(E244="","",ROUND(IF(E244&gt;0.7,0,IF(E244&lt;=0.1,1,E244^3*'Reference Standards'!S$87+E244^2*'Reference Standards'!S$88+E244*'Reference Standards'!S$89+'Reference Standards'!S$90)),2))</f>
        <v/>
      </c>
      <c r="G244" s="552" t="str">
        <f>IFERROR(ROUND(AVERAGE(F244:F247),2),"")</f>
        <v/>
      </c>
      <c r="H244" s="567"/>
      <c r="I244" s="555"/>
      <c r="J244" s="559"/>
      <c r="K244" s="555"/>
    </row>
    <row r="245" spans="1:13" ht="15.6" x14ac:dyDescent="0.3">
      <c r="A245" s="520"/>
      <c r="B245" s="520"/>
      <c r="C245" s="58" t="s">
        <v>49</v>
      </c>
      <c r="D245" s="58"/>
      <c r="E245" s="165"/>
      <c r="F245" s="84"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553"/>
      <c r="H245" s="567"/>
      <c r="I245" s="555"/>
      <c r="J245" s="559"/>
      <c r="K245" s="555"/>
    </row>
    <row r="246" spans="1:13" ht="15.6" x14ac:dyDescent="0.3">
      <c r="A246" s="520"/>
      <c r="B246" s="520"/>
      <c r="C246" s="58" t="s">
        <v>87</v>
      </c>
      <c r="D246" s="58"/>
      <c r="E246" s="165"/>
      <c r="F246" s="84" t="str">
        <f>IF(E246="","",ROUND(IF(E246&gt;40,0,IF(E246&lt;5,1,E246^3*'Reference Standards'!S$122+E246^2*'Reference Standards'!S$123+E246*'Reference Standards'!S$124+'Reference Standards'!S$125)),2))</f>
        <v/>
      </c>
      <c r="G246" s="553"/>
      <c r="H246" s="567"/>
      <c r="I246" s="555"/>
      <c r="J246" s="559"/>
      <c r="K246" s="555"/>
    </row>
    <row r="247" spans="1:13" ht="15.6" x14ac:dyDescent="0.3">
      <c r="A247" s="520"/>
      <c r="B247" s="521"/>
      <c r="C247" s="59" t="s">
        <v>394</v>
      </c>
      <c r="D247" s="59"/>
      <c r="E247" s="167"/>
      <c r="F247" s="341" t="str">
        <f>IF(E247="","",ROUND(IF(E247&gt;=30,0,IF(E247&lt;=0,1,E247*'Reference Standards'!S$156+'Reference Standards'!S$157)),2))</f>
        <v/>
      </c>
      <c r="G247" s="554"/>
      <c r="H247" s="567"/>
      <c r="I247" s="555"/>
      <c r="J247" s="559"/>
      <c r="K247" s="555"/>
    </row>
    <row r="248" spans="1:13" ht="15.6" x14ac:dyDescent="0.3">
      <c r="A248" s="520"/>
      <c r="B248" s="520" t="s">
        <v>50</v>
      </c>
      <c r="C248" s="60" t="s">
        <v>377</v>
      </c>
      <c r="D248" s="64"/>
      <c r="E248" s="136"/>
      <c r="F248" s="294" t="str">
        <f>IF(E248="","",ROUND(IF(E248&gt;9.2,1,E248*'Reference Standards'!$S$189+'Reference Standards'!$S$190),2))</f>
        <v/>
      </c>
      <c r="G248" s="552" t="str">
        <f>IFERROR(ROUND(AVERAGE(F248:F257),2),"")</f>
        <v/>
      </c>
      <c r="H248" s="567"/>
      <c r="I248" s="555"/>
      <c r="J248" s="559"/>
      <c r="K248" s="555"/>
    </row>
    <row r="249" spans="1:13" ht="15.6" x14ac:dyDescent="0.3">
      <c r="A249" s="520"/>
      <c r="B249" s="520"/>
      <c r="C249" s="62" t="s">
        <v>378</v>
      </c>
      <c r="D249" s="58"/>
      <c r="E249" s="162"/>
      <c r="F249" s="294" t="str">
        <f>IF(E249="","",ROUND(IF(E249&gt;9.2,1,E249*'Reference Standards'!$S$189+'Reference Standards'!$S$190),2))</f>
        <v/>
      </c>
      <c r="G249" s="553"/>
      <c r="H249" s="567"/>
      <c r="I249" s="555"/>
      <c r="J249" s="559"/>
      <c r="K249" s="555"/>
    </row>
    <row r="250" spans="1:13" ht="15.6" x14ac:dyDescent="0.3">
      <c r="A250" s="520"/>
      <c r="B250" s="520"/>
      <c r="C250" s="62" t="s">
        <v>379</v>
      </c>
      <c r="D250" s="58"/>
      <c r="E250" s="162"/>
      <c r="F250" s="294" t="str">
        <f>IF(E250="","",ROUND( IF(E250&gt;=200,1,IF(E250&lt;50, E250^2*'Reference Standards'!S$224+E250*'Reference Standards'!S$225+'Reference Standards'!S$226, E250*'Reference Standards'!T$224+'Reference Standards'!T$225)),2))</f>
        <v/>
      </c>
      <c r="G250" s="553"/>
      <c r="H250" s="567"/>
      <c r="I250" s="555"/>
      <c r="J250" s="559"/>
      <c r="K250" s="555"/>
    </row>
    <row r="251" spans="1:13" ht="15.6" x14ac:dyDescent="0.3">
      <c r="A251" s="520"/>
      <c r="B251" s="520"/>
      <c r="C251" s="62" t="s">
        <v>380</v>
      </c>
      <c r="D251" s="58"/>
      <c r="E251" s="162"/>
      <c r="F251" s="294" t="str">
        <f>IF(E251="","",ROUND( IF(E251&gt;=200,1,IF(E251&lt;50, E251^2*'Reference Standards'!S$224+E251*'Reference Standards'!S$225+'Reference Standards'!S$226, E251*'Reference Standards'!T$224+'Reference Standards'!T$225)),2))</f>
        <v/>
      </c>
      <c r="G251" s="553"/>
      <c r="H251" s="567"/>
      <c r="I251" s="555"/>
      <c r="J251" s="559"/>
      <c r="K251" s="555"/>
    </row>
    <row r="252" spans="1:13" ht="15.6" x14ac:dyDescent="0.3">
      <c r="A252" s="520"/>
      <c r="B252" s="520"/>
      <c r="C252" s="58" t="s">
        <v>381</v>
      </c>
      <c r="D252" s="58"/>
      <c r="E252" s="162"/>
      <c r="F252" s="294" t="str">
        <f>IF(E252="","",ROUND(IF(AND(E252&gt;=135,E252&lt;=262),1,IF(  E252&gt;=366,0.5, IF(E252&lt;135,E252*'Reference Standards'!S$259+'Reference Standards'!S$260, E252*'Reference Standards'!T$259+'Reference Standards'!T$260))),2))</f>
        <v/>
      </c>
      <c r="G252" s="553"/>
      <c r="H252" s="567"/>
      <c r="I252" s="555"/>
      <c r="J252" s="559"/>
      <c r="K252" s="555"/>
    </row>
    <row r="253" spans="1:13" ht="15.6" x14ac:dyDescent="0.3">
      <c r="A253" s="520"/>
      <c r="B253" s="520"/>
      <c r="C253" s="58" t="s">
        <v>382</v>
      </c>
      <c r="D253" s="58"/>
      <c r="E253" s="162"/>
      <c r="F253" s="294" t="str">
        <f>IF(E253="","",ROUND(IF(AND(E253&gt;=135,E253&lt;=262),1,IF(  E253&gt;=366,0.5, IF(E253&lt;135,E253*'Reference Standards'!S$259+'Reference Standards'!S$260, E253*'Reference Standards'!T$259+'Reference Standards'!T$260))),2))</f>
        <v/>
      </c>
      <c r="G253" s="553"/>
      <c r="H253" s="567"/>
      <c r="I253" s="555"/>
      <c r="J253" s="559"/>
      <c r="K253" s="555"/>
    </row>
    <row r="254" spans="1:13" ht="15.6" x14ac:dyDescent="0.3">
      <c r="A254" s="520"/>
      <c r="B254" s="520"/>
      <c r="C254" s="58" t="s">
        <v>383</v>
      </c>
      <c r="D254" s="58"/>
      <c r="E254" s="162"/>
      <c r="F254" s="84" t="str">
        <f>IF(E254="","",ROUND(IF(E254&gt;=75,1,IF(E254&lt;=0,0,E254*'Reference Standards'!S$330)),2))</f>
        <v/>
      </c>
      <c r="G254" s="553"/>
      <c r="H254" s="567"/>
      <c r="I254" s="555"/>
      <c r="J254" s="559"/>
      <c r="K254" s="555"/>
    </row>
    <row r="255" spans="1:13" ht="15.6" x14ac:dyDescent="0.3">
      <c r="A255" s="520"/>
      <c r="B255" s="520"/>
      <c r="C255" s="58" t="s">
        <v>384</v>
      </c>
      <c r="D255" s="58"/>
      <c r="E255" s="162"/>
      <c r="F255" s="84" t="str">
        <f>IF(E255="","",ROUND(IF(E255&gt;=75,1,IF(E255&lt;=0,0,E255*'Reference Standards'!S$330)),2))</f>
        <v/>
      </c>
      <c r="G255" s="553"/>
      <c r="H255" s="567"/>
      <c r="I255" s="555"/>
      <c r="J255" s="559"/>
      <c r="K255" s="555"/>
    </row>
    <row r="256" spans="1:13" ht="15.6" x14ac:dyDescent="0.3">
      <c r="A256" s="520"/>
      <c r="B256" s="520"/>
      <c r="C256" s="58" t="s">
        <v>385</v>
      </c>
      <c r="D256" s="58"/>
      <c r="E256" s="162"/>
      <c r="F256" s="294" t="str">
        <f>IF(E256="","",ROUND(IF(AND(E256&gt;=36.3,E256&lt;=68),1,IF(E256&gt;100,0,IF(E256&lt;36.3,(('Reference Standards'!S$297*(E256^2))+('Reference Standards'!S$298*E256)+'Reference Standards'!S$299),IF(E256&gt;68,(('Reference Standards'!T$297*(E256^2))+('Reference Standards'!T$298*E256)+'Reference Standards'!T$299))))),2))</f>
        <v/>
      </c>
      <c r="G256" s="553"/>
      <c r="H256" s="567"/>
      <c r="I256" s="555"/>
      <c r="J256" s="559"/>
      <c r="K256" s="555"/>
      <c r="M256" s="21"/>
    </row>
    <row r="257" spans="1:12" ht="15.6" x14ac:dyDescent="0.3">
      <c r="A257" s="520"/>
      <c r="B257" s="521"/>
      <c r="C257" s="58" t="s">
        <v>386</v>
      </c>
      <c r="D257" s="65"/>
      <c r="E257" s="162"/>
      <c r="F257" s="294" t="str">
        <f>IF(E257="","",ROUND(IF(AND(E257&gt;=36.3,E257&lt;=68),1,IF(E257&gt;100,0,IF(E257&lt;36.3,(('Reference Standards'!S$297*(E257^2))+('Reference Standards'!S$298*E257)+'Reference Standards'!S$299),IF(E257&gt;68,(('Reference Standards'!T$297*(E257^2))+('Reference Standards'!T$298*E257)+'Reference Standards'!T$299))))),2))</f>
        <v/>
      </c>
      <c r="G257" s="554"/>
      <c r="H257" s="567"/>
      <c r="I257" s="555"/>
      <c r="J257" s="559"/>
      <c r="K257" s="555"/>
    </row>
    <row r="258" spans="1:12" ht="15.6" x14ac:dyDescent="0.3">
      <c r="A258" s="520"/>
      <c r="B258" s="56" t="s">
        <v>108</v>
      </c>
      <c r="C258" s="72" t="s">
        <v>130</v>
      </c>
      <c r="D258" s="58"/>
      <c r="E258" s="43"/>
      <c r="F258" s="82" t="str">
        <f>IF(E258="","",IF(OR('Quantification Tool R5'!B$14="Gravel",'Quantification Tool R5'!B$14="Cobble"),IF(E258&gt;0.1,1,IF(E258&lt;=0.01,0,ROUND(E258*'Reference Standards'!$S$362+'Reference Standards'!$S$363,2)))))</f>
        <v/>
      </c>
      <c r="G258" s="82" t="str">
        <f>IFERROR(AVERAGE(F258),"")</f>
        <v/>
      </c>
      <c r="H258" s="567"/>
      <c r="I258" s="555"/>
      <c r="J258" s="559"/>
      <c r="K258" s="555"/>
    </row>
    <row r="259" spans="1:12" ht="15.6" x14ac:dyDescent="0.3">
      <c r="A259" s="520"/>
      <c r="B259" s="526" t="s">
        <v>51</v>
      </c>
      <c r="C259" s="64" t="s">
        <v>52</v>
      </c>
      <c r="D259" s="64"/>
      <c r="E259" s="166"/>
      <c r="F259" s="337" t="str">
        <f>IF(E259="","", IF(ISNUMBER('Quantification Tool R5'!$B$17), IF('Quantification Tool R5'!$B$17&lt;=2,   IF(AND(E259&gt;=3,E259&lt;=5),1, IF(OR(E259&lt;=1,E259&gt;=7), 0, ROUND( IF(E259&lt;3, E259*'Reference Standards'!S$398+'Reference Standards'!S$399,E259*'Reference Standards'!T$398+'Reference Standards'!T$399),2) ) ),   IF(E259&lt;=2.5,1, IF(E259&gt;=5.8,0, ROUND(E259*'Reference Standards'!S$430+'Reference Standards'!S$431,2))))   ))</f>
        <v/>
      </c>
      <c r="G259" s="528" t="str">
        <f>IFERROR(AVERAGE(F259:F262),"")</f>
        <v/>
      </c>
      <c r="H259" s="567"/>
      <c r="I259" s="555"/>
      <c r="J259" s="559"/>
      <c r="K259" s="555"/>
    </row>
    <row r="260" spans="1:12" ht="15.6" x14ac:dyDescent="0.3">
      <c r="A260" s="520"/>
      <c r="B260" s="520"/>
      <c r="C260" s="58" t="s">
        <v>53</v>
      </c>
      <c r="D260" s="58"/>
      <c r="E260" s="165"/>
      <c r="F260" s="84" t="str">
        <f>IF(E260="","", IF( E260&gt;=2.4,1, IF(E260&lt;=1,0,  ROUND(IF(E260&lt;2.4, E260*'Reference Standards'!$S$464+'Reference Standards'!$S$465 ),2))))</f>
        <v/>
      </c>
      <c r="G260" s="529"/>
      <c r="H260" s="567"/>
      <c r="I260" s="555"/>
      <c r="J260" s="559"/>
      <c r="K260" s="555"/>
    </row>
    <row r="261" spans="1:12" ht="15.6" x14ac:dyDescent="0.3">
      <c r="A261" s="520"/>
      <c r="B261" s="520"/>
      <c r="C261" s="58" t="s">
        <v>334</v>
      </c>
      <c r="D261" s="58"/>
      <c r="E261" s="165"/>
      <c r="F261" s="390" t="str">
        <f>IF(E261="","", IF(LEFT('Quantification Tool R5'!$B$12,2)="67",  IF( AND(E261&gt;=45,E261&lt;=65),1, IF(OR(E261&lt;=20,E261&gt;=90),0, ROUND(  IF(E261&lt;45, E261*'Reference Standards'!$S$498+'Reference Standards'!$S$499,E261*'Reference Standards'!$T$498+'Reference Standards'!$T$499),2))), IF(OR(  LEFT('Quantification Tool R5'!$B$12,2)="68", LEFT('Quantification Tool R5'!$B$12,2)="69",LEFT('Quantification Tool R5'!$B$12,2)="71"),  IF( AND(E261&gt;=30,E261&lt;=50),1, IF(OR(E261&lt;=10,E261&gt;=70),0, ROUND(  IF(E261&lt;30, E261*'Reference Standards'!$S$533+'Reference Standards'!$S$534,E261*'Reference Standards'!$T$533+'Reference Standards'!$T$534),2))), IF(LEFT('Quantification Tool R5'!$B$12,2)="66",  IF( AND(E261&gt;=20,E261&lt;=45),1, IF(OR(E261&lt;=0,E261&gt;=90),0, ROUND(  IF(E261&lt;20, E261*'Reference Standards'!$S$567+'Reference Standards'!$S$568,E261*'Reference Standards'!$T$567+'Reference Standards'!$T$568),2))), IF(OR(  LEFT('Quantification Tool R5'!$B$12,2)="65", LEFT('Quantification Tool R5'!$B$12,2)="74", LEFT('Quantification Tool R5'!$B$12,2)="73"),  IF( AND(E261&gt;=20,E261&lt;=30),1, IF(OR(E261&lt;=0,E261&gt;=50),0, ROUND(  IF(E261&lt;20, E261*'Reference Standards'!$S$601+'Reference Standards'!$S$602,E261*'Reference Standards'!$T$601+'Reference Standards'!$T$602),2))))))))</f>
        <v/>
      </c>
      <c r="G261" s="529"/>
      <c r="H261" s="567"/>
      <c r="I261" s="555"/>
      <c r="J261" s="559"/>
      <c r="K261" s="555"/>
    </row>
    <row r="262" spans="1:12" ht="15.6" x14ac:dyDescent="0.3">
      <c r="A262" s="520"/>
      <c r="B262" s="521"/>
      <c r="C262" s="62" t="s">
        <v>210</v>
      </c>
      <c r="D262" s="58"/>
      <c r="E262" s="167"/>
      <c r="F262" s="391" t="str">
        <f>IF(E262="","",IF(E262&gt;=1.6,0,IF(E262&lt;=1,1,ROUND('Reference Standards'!$S$633*E262^3+'Reference Standards'!$S$634*E262^2+'Reference Standards'!$S$635*E262+'Reference Standards'!$S$636,2))))</f>
        <v/>
      </c>
      <c r="G262" s="530"/>
      <c r="H262" s="567"/>
      <c r="I262" s="555"/>
      <c r="J262" s="559"/>
      <c r="K262" s="555"/>
    </row>
    <row r="263" spans="1:12" ht="15.6" x14ac:dyDescent="0.3">
      <c r="A263" s="521"/>
      <c r="B263" s="296" t="s">
        <v>55</v>
      </c>
      <c r="C263" s="242" t="s">
        <v>54</v>
      </c>
      <c r="D263" s="243"/>
      <c r="E263" s="163"/>
      <c r="F263" s="342" t="str">
        <f>IF(E263="","",IF(AND('Quantification Tool R5'!B$11="E",'Quantification Tool R5'!$B$14="Sand",'Quantification Tool R5'!$B$21="Unconfined Alluvial"),ROUND(IF(OR(E263&gt;1.8,E263&lt;1.3),0,IF(E263&lt;=1.6,1,E263*'Reference Standards'!S$667+'Reference Standards'!S$668)),2),    IF('Quantification Tool R5'!$B$21="Unconfined Alluvial",ROUND(IF(OR(E263&lt;1.2, E263&gt;1.5),0,IF(E263&lt;=1.4,1,E263*'Reference Standards'!$S$700+'Reference Standards'!$S$701)),2), IF('Quantification Tool R5'!$B$21="Confined Alluvial",ROUND(IF(E263&lt;1.15,0,IF(E263&lt;=1.4,E263*'Reference Standards'!$S$729+'Reference Standards'!$S$730,1)),2),  IF('Quantification Tool R5'!$B$21="Colluvial",ROUND(IF(E263&gt;1.3,0,IF(E263&gt;1.2,E263*'Reference Standards'!$S$760+'Reference Standards'!$S$761,1)),2) )))))</f>
        <v/>
      </c>
      <c r="G263" s="84" t="str">
        <f>IFERROR(AVERAGE(F263),"")</f>
        <v/>
      </c>
      <c r="H263" s="567"/>
      <c r="I263" s="555"/>
      <c r="J263" s="559"/>
      <c r="K263" s="555"/>
      <c r="L263" s="13"/>
    </row>
    <row r="264" spans="1:12" ht="15.6" x14ac:dyDescent="0.3">
      <c r="A264" s="537" t="s">
        <v>58</v>
      </c>
      <c r="B264" s="67" t="s">
        <v>88</v>
      </c>
      <c r="C264" s="70" t="s">
        <v>338</v>
      </c>
      <c r="D264" s="70"/>
      <c r="E264" s="43"/>
      <c r="F264" s="343" t="str">
        <f>IF(E264="","",ROUND(IF(E264&gt;=942,0,IF(E264&lt;=487,E264*'Reference Standards'!AB$15+'Reference Standards'!AB$16,E264*'Reference Standards'!$AC$15+'Reference Standards'!$AC$16)),2))</f>
        <v/>
      </c>
      <c r="G264" s="85" t="str">
        <f>IFERROR(AVERAGE(F264),"")</f>
        <v/>
      </c>
      <c r="H264" s="547" t="str">
        <f>IFERROR(ROUND(AVERAGE(G264:G267),2),"")</f>
        <v/>
      </c>
      <c r="I264" s="534" t="str">
        <f>IF(H264="","",IF(H264&gt;0.69,"Functioning",IF(H264&gt;0.29,"Functioning At Risk",IF(H264&gt;-1,"Not Functioning"))))</f>
        <v/>
      </c>
      <c r="J264" s="559"/>
      <c r="K264" s="555"/>
      <c r="L264" s="13"/>
    </row>
    <row r="265" spans="1:12" ht="15.6" x14ac:dyDescent="0.3">
      <c r="A265" s="538"/>
      <c r="B265" s="297" t="s">
        <v>362</v>
      </c>
      <c r="C265" s="66" t="s">
        <v>354</v>
      </c>
      <c r="D265" s="66"/>
      <c r="E265" s="163"/>
      <c r="F265" s="344" t="str">
        <f>IF(E265="","",IF(OR('Quantification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June")),IF(E265&gt;93,0,IF(E265&lt;13,1,ROUND('Reference Standards'!$AB$53*E265^2+'Reference Standards'!$AB$54*E265+'Reference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R5'!$B$12="73b"),IF(E265&gt;94,0,IF(E265&lt;17,1,ROUND('Reference Standards'!$AC$53*E265^2+'Reference Standards'!$AC$54*E265+'Reference Standards'!$AC$55,2))),    IF(OR(AND(OR('Quantification Tool R5'!$B$12="68b",'Quantification Tool R5'!$B$12="71i"),'Quantification Tool R5'!$B$13&gt;2), 'Quantification Tool R5'!$B$12="71e"),IF(E265&gt;91,0,IF(E265&lt;24,1,ROUND('Reference Standards'!$AD$53*E265^2+'Reference Standards'!$AD$54*E265+'Reference Standards'!$AD$55,2))),  IF(OR(AND(OR('Quantification Tool R5'!$B$12="71f",'Quantification Tool R5'!$B$12="71g",'Quantification Tool R5'!$B$12="71h",'Quantification Tool R5'!$B$12="71i"),'Quantification Tool R5'!$B$13&lt;=2), AND('Quantification Tool R5'!$B$12="74a",'Quantification Tool R5'!$B$13&gt;2)),IF(E265&gt;95,0,IF(E265&lt;=36,1,ROUND('Reference Standards'!$AE$53*E265^2+'Reference Standards'!$AE$54*E265+'Reference Standards'!$AE$55,2))))))))</f>
        <v/>
      </c>
      <c r="G265" s="236" t="str">
        <f>IFERROR(AVERAGE(F265:F265),"")</f>
        <v/>
      </c>
      <c r="H265" s="548"/>
      <c r="I265" s="535"/>
      <c r="J265" s="559"/>
      <c r="K265" s="555"/>
      <c r="L265" s="21"/>
    </row>
    <row r="266" spans="1:12" ht="15.6" x14ac:dyDescent="0.3">
      <c r="A266" s="538"/>
      <c r="B266" s="67" t="s">
        <v>81</v>
      </c>
      <c r="C266" s="68" t="s">
        <v>281</v>
      </c>
      <c r="D266" s="68"/>
      <c r="E266" s="162"/>
      <c r="F266" s="344" t="str">
        <f>IF(E266="","",IF(ISNUMBER('Quantification Tool R5'!$B$13),IF(OR('Quantification Tool R5'!$B$12="66e",'Quantification Tool R5'!$B$12="66f",'Quantification Tool R5'!$B$12="66g"),ROUND(IF(E266&gt;=0.61,0,IF(E266&lt;=0.01,1,IF(E266&lt;=0.06,E266*'Reference Standards'!$AD$197+'Reference Standards'!$AD$198,E266^2*'Reference Standards'!$AB$196+E266*'Reference Standards'!$AB$197+'Reference Standards'!$AB$198))),2),IF('Quantification Tool R5'!$B$12="68b",ROUND(IF(E266&gt;=1.1,0,IF(E266&lt;=0.17,1,IF(E266&lt;=0.22,E266*'Reference Standards'!$AE$197+'Reference Standards'!$AE$198,E266^2*'Reference Standards'!$AC$196+E266*'Reference Standards'!$AC$197+'Reference Standards'!$AC$198))),2),IF('Quantification Tool R5'!$B$13&lt;=2.5,IF('Quantification Tool R5'!$B$12="69de",ROUND(IF(E266&gt;=0.22,0,IF(E266&lt;=0.01,1,E266^2*'Reference Standards'!$AB$90+E266*'Reference Standards'!$AB$91+'Reference Standards'!$AB$92)),2),IF('Quantification Tool R5'!$B$12="68c",ROUND(IF(E266&gt;=0.87,0,IF(E266&lt;=0.01,1,E266^2*'Reference Standards'!$AC$90+E266*'Reference Standards'!$AC$91+'Reference Standards'!$AC$92)),2),IF('Quantification Tool R5'!$B$12="68a",ROUND(IF(E266&gt;=0.81,0,IF(E266&lt;=0.01,1,E266^2*'Reference Standards'!$AD$90+E266*'Reference Standards'!$AD$91+'Reference Standards'!$AD$92)),2),IF('Quantification Tool R5'!$B$12="65abei",ROUND(IF(E266&gt;=0.67,0,IF(E266&lt;=0.01,1,IF(E266&lt;=0.18,E266*'Reference Standards'!$AG$91+'Reference Standards'!$AG$92,E266*'Reference Standards'!$AE$91+'Reference Standards'!$AE$92))),2),IF('Quantification Tool R5'!$B$12="65j",ROUND(IF(E266&gt;=0.32,0,IF(E266&lt;=0.01,1,IF(E266&lt;=0.25,E266*'Reference Standards'!$AH$91+'Reference Standards'!$AH$92,E266*'Reference Standards'!$AF$91+'Reference Standards'!$AF$92))),2),IF('Quantification Tool R5'!$B$12="71f",ROUND(IF(E266&gt;=3,0,IF(E266&lt;=0,1,IF(E266&lt;=0.01,0.7,E266^2*'Reference Standards'!$AB$126+E266*'Reference Standards'!$AB$127+'Reference Standards'!$AB$128))),2),IF('Quantification Tool R5'!$B$12="74a",ROUND(IF(E266&gt;=0.14,0,IF(E266&lt;=0.01,1,IF(E266&lt;=0.02,0.7,E266^2*'Reference Standards'!$AC$126+E266*'Reference Standards'!$AC$127+'Reference Standards'!$AC$128))),2),IF(OR('Quantification Tool R5'!$B$12="67fhi",'Quantification Tool R5'!$B$12="67g"),ROUND(IF(E266&gt;=1.9,0,IF(E266&lt;=0.01,1,IF(E266&lt;=0.05,E266*'Reference Standards'!$AF$127+'Reference Standards'!$AF$128,E266^2*'Reference Standards'!$AD$126+E266*'Reference Standards'!$AD$127+'Reference Standards'!$AD$128))),2),IF('Quantification Tool R5'!$B$12="73a",ROUND(IF(E266&gt;=1.44,0,IF(E266&lt;=0.01,1,IF(E266&lt;=0.12,E266*'Reference Standards'!$AG$127+'Reference Standards'!$AG$128,E266^2*'Reference Standards'!$AE$126+E266*'Reference Standards'!$AE$127+'Reference Standards'!$AE$128))),2),IF('Quantification Tool R5'!$B$12="66d",ROUND(IF(E266&gt;=0.46,0,IF(E266&lt;=0.02,1,IF(E266&lt;=0.08,E266*'Reference Standards'!$AF$163+'Reference Standards'!$AF$164,E266^2*'Reference Standards'!$AB$162+E266*'Reference Standards'!$AB$163+'Reference Standards'!$AB$164))),2),IF(OR('Quantification Tool R5'!$B$12="71g",'Quantification Tool R5'!$B$12="71h",'Quantification Tool R5'!$B$12="71i"),ROUND(IF(E266&gt;=3,0,IF(E266&lt;=0.06,1,IF(E266&lt;=0.24,E266*'Reference Standards'!$AG$163+'Reference Standards'!$AG$164,E266^2*'Reference Standards'!$AC$162+E266*'Reference Standards'!$AC$163+'Reference Standards'!$AC$164))),2),IF('Quantification Tool R5'!$B$12="74b",ROUND(IF(E266&gt;=1.3,0,IF(E266&lt;=0.29,1,IF(E266&lt;=0.48,E266*'Reference Standards'!$AH$163+'Reference Standards'!$AH$164,E266^2*'Reference Standards'!$AD$162+E266*'Reference Standards'!$AD$163+'Reference Standards'!$AD$164))),2),IF('Quantification Tool R5'!$B$12="71e",ROUND(IF(E266&gt;=4.3,0,IF(E266&lt;=0.53,1,IF(E266&lt;=0.67,E266*'Reference Standards'!$AI$163+'Reference Standards'!$AI$164,E266^2*'Reference Standards'!$AE$162+E266*'Reference Standards'!$AE$163+'Reference Standards'!$AE$164))),2)))))))))))))),IF('Quantification Tool R5'!$B$13&gt;2.5,IF('Quantification Tool R5'!$B$12="73a",ROUND(IF(E266&gt;=0.55,0,IF(E266&lt;=0,1,E266^2*'Reference Standards'!$AB$232+E266*'Reference Standards'!$AB$233+'Reference Standards'!$AB$234)),2),IF('Quantification Tool R5'!$B$12="68a",ROUND(IF(E266&gt;=0.54,0,IF(E266&lt;=0,1,IF(E266&lt;=0.01,0.85,E266^2*'Reference Standards'!$AC$232+E266*'Reference Standards'!$AC$233+'Reference Standards'!$AC$234))),2),IF('Quantification Tool R5'!$B$12="74a",ROUND(IF(E266&gt;=0.47,0,IF(E266&lt;=0.01,1,IF(E266&lt;=0.02,0.7,E266^2*'Reference Standards'!$AD$232+E266*'Reference Standards'!$AD$233+'Reference Standards'!$AD$234))),2),IF('Quantification Tool R5'!$B$12="69de",ROUND(IF(E266&gt;=0.26,0,IF(E266&lt;=0.01,1,IF(E266&lt;=0.02,0.85,E266^2*'Reference Standards'!$AE$232+E266*'Reference Standards'!$AE$233+'Reference Standards'!$AE$234))),2),IF('Quantification Tool R5'!$B$12="71f",ROUND(IF(E266&gt;=0.87,0,IF(E266&lt;=0.01,1,IF(E266&lt;=0.04,E266*'Reference Standards'!$AF$269+'Reference Standards'!$AF$270,E266^2*'Reference Standards'!$AB$268+E266*'Reference Standards'!$AB$269+'Reference Standards'!$AB$270))),2),IF('Quantification Tool R5'!$B$12="65abei",ROUND(IF(E266&gt;=0.82,0,IF(E266&lt;=0.01,1,IF(E266&lt;=0.06,E266*'Reference Standards'!$AG$269+'Reference Standards'!$AG$270,E266^2*'Reference Standards'!$AC$268+E266*'Reference Standards'!$AC$269+'Reference Standards'!$AC$270))),2),IF('Quantification Tool R5'!$B$12="65j",ROUND(IF(E266&gt;=0.33,0,IF(E266&lt;=0.03,1,IF(E266&lt;=0.09,E266*'Reference Standards'!$AH$269+'Reference Standards'!$AH$270,E266^2*'Reference Standards'!$AD$268+E266*'Reference Standards'!$AD$269+'Reference Standards'!$AD$270))),2),IF('Quantification Tool R5'!$B$12="68c",ROUND(IF(E266&gt;=0.7,0,IF(E266&lt;=0.07,1,IF(E266&lt;=0.12,E266*'Reference Standards'!$AI$269+'Reference Standards'!$AI$270,E266^2*'Reference Standards'!$AE$268+E266*'Reference Standards'!$AE$269+'Reference Standards'!$AE$270))),2),IF(OR('Quantification Tool R5'!$B$12="67fhi",'Quantification Tool R5'!$B$12="67g"),ROUND(IF(E266&gt;=1.8,0,IF(E266&lt;=0.08,1,IF(E266&lt;=0.2,E266*'Reference Standards'!$AF$306+'Reference Standards'!$AF$307,E266^2*'Reference Standards'!$AB$305+E266*'Reference Standards'!$AB$306+'Reference Standards'!$AB$307))),2),IF('Quantification Tool R5'!$B$12="74b",ROUND(IF(E266&gt;=0.96,0,IF(E266&lt;=0.12,1,IF(E266&lt;=0.16,E266*'Reference Standards'!$AG$306+'Reference Standards'!$AG$307,E266^2*'Reference Standards'!$AC$305+E266*'Reference Standards'!$AC$306+'Reference Standards'!$AC$307))),2),IF('Quantification Tool R5'!$B$12="66d",ROUND(IF(E266&gt;=0.75,0,IF(E266&lt;=0.13,1,IF(E266&lt;=0.2,E266*'Reference Standards'!$AH$306+'Reference Standards'!$AH$307,E266^2*'Reference Standards'!$AD$305+E266*'Reference Standards'!$AD$306+'Reference Standards'!$AD$307))),2),IF(OR('Quantification Tool R5'!$B$12="71g",'Quantification Tool R5'!$B$12="71h",'Quantification Tool R5'!$B$12="71i"),ROUND(IF(E266&gt;=1.68,0,IF(E266&lt;=0.08,1,IF(E266&lt;=0.23,E266*'Reference Standards'!$AI$306+'Reference Standards'!$AI$307,E266^2*'Reference Standards'!$AE$305+E266*'Reference Standards'!$AE$306+'Reference Standards'!$AE$307))),2),IF('Quantification Tool R5'!$B$12="71e",ROUND(IF(E266&gt;=5.3,0,IF(E266&lt;=0.94,1,IF(E266&lt;=1.4,E266*'Reference Standards'!$AF$310+'Reference Standards'!$AF$311,E266^2*'Reference Standards'!$AB$309+E266*'Reference Standards'!$AB$310+'Reference Standards'!$AB$311))),2))))))))))))))))))))</f>
        <v/>
      </c>
      <c r="G266" s="86" t="str">
        <f>IFERROR(AVERAGE(F266),"")</f>
        <v/>
      </c>
      <c r="H266" s="548"/>
      <c r="I266" s="535"/>
      <c r="J266" s="559"/>
      <c r="K266" s="555"/>
      <c r="L266" s="21"/>
    </row>
    <row r="267" spans="1:12" ht="15.6" x14ac:dyDescent="0.3">
      <c r="A267" s="539"/>
      <c r="B267" s="298" t="s">
        <v>82</v>
      </c>
      <c r="C267" s="66" t="s">
        <v>280</v>
      </c>
      <c r="D267" s="66"/>
      <c r="E267" s="136"/>
      <c r="F267" s="343" t="str">
        <f>IF(E267="","", IF(ISNUMBER('Quantification Tool R5'!$B$13),IF('Quantification Tool R5'!$B$13&gt;2.5,IF(OR('Quantification Tool R5'!$B$12="71h",'Quantification Tool R5'!$B$12="71i",'Quantification Tool R5'!$B$12="73a",'Quantification Tool R5'!$B$12="74a"),IF(E267&lt;=0.01,1,IF(OR('Quantification Tool R5'!$B$12="71h",'Quantification Tool R5'!$B$12="71i"),IF(E267&gt;0.37,0,ROUND(IF(E267&gt;0.03,'Reference Standards'!$AB$425*E267^2+'Reference Standards'!$AB$426*E267+'Reference Standards'!$AB$427,'Reference Standards'!$AF$426*E267+'Reference Standards'!$AF$427),2)),  IF('Quantification Tool R5'!$B$12="73a",IF(E267&gt;0.405,0,ROUND(IF(E267&gt;0.046,'Reference Standards'!$AC$425*E267^2+'Reference Standards'!$AC$426*E267+'Reference Standards'!$AC$427,'Reference Standards'!$AG$426*E267+'Reference Standards'!$AG$427),2)),IF('Quantification Tool R5'!$B$12="74a",IF(E267&gt;0.3,0,ROUND(IF(E267&gt;0.052,'Reference Standards'!$AD$425*E267^2+'Reference Standards'!$AD$426*E267+'Reference Standards'!$AD$427,'Reference Standards'!$AH$426*E267+'Reference Standards'!$AH$427),2)))))),   IF(E267&lt;=0.002,1,IF(OR('Quantification Tool R5'!$B$12="66d",'Quantification Tool R5'!$B$12="66e",'Quantification Tool R5'!$B$12="66g"),IF(E267&gt;0.053,0,ROUND(E267^2*'Reference Standards'!$AB$347+E267*'Reference Standards'!$AB$348+'Reference Standards'!$AB$349,2)), IF('Quantification Tool R5'!$B$12="68b",IF(E267&gt;0.05,0,ROUND(E267^2*'Reference Standards'!$AC$347+E267*'Reference Standards'!$AC$348+'Reference Standards'!$AC$349,2)),  IF(OR('Quantification Tool R5'!$B$12="68a",'Quantification Tool R5'!$B$12="68c"),IF(E267&gt;0.07,0,ROUND(E267^2*'Reference Standards'!$AD$347+E267*'Reference Standards'!$AD$348+'Reference Standards'!$AD$349,2)), IF(OR('Quantification Tool R5'!$B$12="71f",'Quantification Tool R5'!$B$12="71g"),IF(E267&gt;0.13,0,ROUND(IF(E267&gt;0.042,E267*'Reference Standards'!$AE$348+'Reference Standards'!$AE$349,E267*'Reference Standards'!$AF$348+'Reference Standards'!$AF$349),2)), IF('Quantification Tool R5'!$B$12="67fhi",IF(E267&gt;0.16,0,ROUND(E267^2*'Reference Standards'!$AG$347+E267*'Reference Standards'!$AG$348+'Reference Standards'!$AG$349,2)),  IF('Quantification Tool R5'!$B$12="65j",IF(E267&gt;0.035,0,ROUND(IF(E267&lt;=0.003,0.7,E267^2*'Reference Standards'!$AB$387+E267*'Reference Standards'!$AB$388+'Reference Standards'!$AB$389),2)),IF('Quantification Tool R5'!$B$12="69de",IF(E267&gt;0.037,0,ROUND(IF(E267&lt;=0.003,0.7,E267^2*'Reference Standards'!$AC$387+E267*'Reference Standards'!$AC$388+'Reference Standards'!$AC$389),2)),IF('Quantification Tool R5'!$B$12="71e",IF(E267&gt;0.23,0,ROUND(IF(E267&lt;=0.003,0.7,E267^2*'Reference Standards'!$AD$387+E267*'Reference Standards'!$AD$388+'Reference Standards'!$AD$389),2)),IF('Quantification Tool R5'!$B$12="66f",IF(E267&gt;0.06,0,ROUND(IF(E267&lt;=0.003,0.85,IF(E267&lt;=0.004,0.7,E267^2*'Reference Standards'!$AE$387+E267*'Reference Standards'!$AE$388+'Reference Standards'!$AE$389)),2)),IF('Quantification Tool R5'!$B$12="67g",IF(E267&gt;0.11,0,ROUND(IF(E267&lt;=0.01,E267*'Reference Standards'!$AH$388+'Reference Standards'!$AH$389, E267^2*'Reference Standards'!$AF$387+E267*'Reference Standards'!$AF$388+'Reference Standards'!$AF$389),2)),IF('Quantification Tool R5'!$B$12="74b",IF(E267&gt;0.49,0,ROUND(IF(E267&lt;=0.01,E267*'Reference Standards'!$AH$388+'Reference Standards'!$AH$389, E267^2*'Reference Standards'!$AG$387+E267*'Reference Standards'!$AG$388+'Reference Standards'!$AG$389),2)),IF('Quantification Tool R5'!$B$12="65abei",IF(E267&gt;0.199,0,ROUND(IF(E267&lt;=0.01,E267*'Reference Standards'!$AI$426+'Reference Standards'!$AI$427, E267^2*'Reference Standards'!$AE$425+E267*'Reference Standards'!$AE$426+'Reference Standards'!$AE$427),2))    )))))))))))))),      IF('Quantification Tool R5'!$B$13&lt;=2.5, IF(OR('Quantification Tool R5'!$B$12="66d",'Quantification Tool R5'!$B$12="66e",'Quantification Tool R5'!$B$12="66g"),IF(E267&gt;0.05,0,ROUND(IF(E267&lt;=0.002,1,IF(E267&lt;=0.005,E267*'Reference Standards'!$AF$464+'Reference Standards'!$AF$465, E267^2*'Reference Standards'!$AB$463+E267*'Reference Standards'!$AB$464+'Reference Standards'!$AB$465)),2)), IF('Quantification Tool R5'!$B$12="67fhi",IF(E267&gt;0.1,0,ROUND(IF(E267&lt;=0.002,1,IF(E267&lt;=0.006,E267*'Reference Standards'!$AG$464+'Reference Standards'!$AG$465, E267^2*'Reference Standards'!$AC$463+E267*'Reference Standards'!$AC$464+'Reference Standards'!$AC$465)),2)), IF('Quantification Tool R5'!$B$12="65abei",IF(E267&gt;0.13,0,ROUND(IF(E267&lt;=0.003,1,IF(E267&lt;=0.008,E267*'Reference Standards'!$AH$464+'Reference Standards'!$AH$465, E267^2*'Reference Standards'!$AD$463+E267*'Reference Standards'!$AD$464+'Reference Standards'!$AD$465)),2)), IF('Quantification Tool R5'!$B$12="68b",IF(E267&gt;0.043,0,ROUND(IF(E267&lt;=0.004,1, IF(E267&lt;=0.005,0.7, E267^2*'Reference Standards'!$AE$463+E267*'Reference Standards'!$AE$464+'Reference Standards'!$AE$465)),2)), IF('Quantification Tool R5'!$B$12="69de",IF(E267&gt;=0.034,0,ROUND(IF(E267&lt;=0.003,1, IF(E267&lt;=0.006,E267*'Reference Standards'!$AG$500+'Reference Standards'!$AG$501, E267*'Reference Standards'!$AB$500+'Reference Standards'!$AB$501)),2)), IF(OR('Quantification Tool R5'!$B$12="68a",'Quantification Tool R5'!$B$12="68c"),IF(E267&gt;0.202,0,ROUND(IF(E267&lt;=0.003,1, IF(E267&lt;=0.006,E267*'Reference Standards'!$AG$500+'Reference Standards'!$AG$501, IF(E267&gt;=0.04,E267*'Reference Standards'!$AC$500+'Reference Standards'!$AC$501,E267*'Reference Standards'!$AE$500+'Reference Standards'!$AE$501))),2)), IF(OR('Quantification Tool R5'!$B$12="71f",'Quantification Tool R5'!$B$12="71g"),IF(E267&gt;0.631,0,ROUND(IF(E267&lt;=0.003,1, IF(E267&lt;=0.006,E267*'Reference Standards'!$AG$500+'Reference Standards'!$AG$501, IF(E267&gt;=0.17,E267*'Reference Standards'!$AD$500+'Reference Standards'!$AD$501,E267*'Reference Standards'!$AF$500+'Reference Standards'!$AF$501))),2)),   IF('Quantification Tool R5'!$B$12="71e",IF(E267&gt;1.23,0,ROUND(IF(E267&lt;=0.004,1,IF(E267&lt;=0.006,E267*'Reference Standards'!$AF$538+'Reference Standards'!$AF$539, E267^2*'Reference Standards'!$AB$537+E267*'Reference Standards'!$AB$538+'Reference Standards'!$AB$539)),2)), IF('Quantification Tool R5'!$B$12="67g",IF(E267&gt;0.11,0,ROUND(IF(E267&lt;=0.006,1,IF(E267&lt;=0.011,E267*'Reference Standards'!$AG$538+'Reference Standards'!$AG$539, E267^2*'Reference Standards'!$AC$537+E267*'Reference Standards'!$AC$538+'Reference Standards'!$AC$539)),2)), IF('Quantification Tool R5'!$B$12="65j",IF(E267&gt;0.046,0,ROUND(IF(E267&lt;=0.007,1,IF(E267&lt;=0.012,E267*'Reference Standards'!$AH$538+'Reference Standards'!$AH$539, E267^2*'Reference Standards'!$AD$537+E267*'Reference Standards'!$AD$538+'Reference Standards'!$AD$539)),2)), IF('Quantification Tool R5'!$B$12="66f",IF(E267&gt;0.081,0,ROUND(IF(E267&lt;=0.008,1,IF(E267&lt;=0.011,E267*'Reference Standards'!$AI$538+'Reference Standards'!$AI$539, E267^2*'Reference Standards'!$AE$537+E267*'Reference Standards'!$AE$538+'Reference Standards'!$AE$539)),2)), IF(OR('Quantification Tool R5'!$B$12="71h",'Quantification Tool R5'!$B$12="71i"),IF(E267&gt;0.37,0,ROUND(IF(E267&lt;=0.013,1,IF(E267&lt;=0.032,E267*'Reference Standards'!$AH$576+'Reference Standards'!$AH$577, IF(E267&lt;=0.3,E267*'Reference Standards'!$AF$576+'Reference Standards'!$AF$577,E267*'Reference Standards'!$AB$576+'Reference Standards'!$AB$577))),2)), IF('Quantification Tool R5'!$B$12="73a",IF(E267&gt;0.448,0,ROUND(IF(E267&lt;=0.071,1,IF(E267&lt;=0.086,E267*'Reference Standards'!$AJ$576+'Reference Standards'!$AJ$577, IF(E267&lt;=0.165,E267*'Reference Standards'!$AG$576+'Reference Standards'!$AG$577,E267*'Reference Standards'!$AE$576+'Reference Standards'!$AE$577))),2)),  IF('Quantification Tool R5'!$B$12="74b",IF(E267&gt;0.43,0,ROUND(IF(E267&lt;=0.018,1,IF(E267&lt;=0.019,0.85, IF(E267&lt;=0.02,0.7, E267^2*'Reference Standards'!$AC$575+E267*'Reference Standards'!$AC$576+'Reference Standards'!$AC$577))),2)), IF('Quantification Tool R5'!$B$12="74a",IF(E267&gt;0.217,0,ROUND(IF(E267&lt;=0.02,1,IF(E267&lt;=0.033,E267*'Reference Standards'!$AI$576+'Reference Standards'!$AI$577, E267^2*'Reference Standards'!$AD$575+E267*'Reference Standards'!$AD$576+'Reference Standards'!$AD$577)),2))     )))))))))))))))))))</f>
        <v/>
      </c>
      <c r="G267" s="87" t="str">
        <f>IFERROR(AVERAGE(F267),"")</f>
        <v/>
      </c>
      <c r="H267" s="549"/>
      <c r="I267" s="536"/>
      <c r="J267" s="559"/>
      <c r="K267" s="555"/>
      <c r="L267" s="21"/>
    </row>
    <row r="268" spans="1:12" ht="15.6" x14ac:dyDescent="0.3">
      <c r="A268" s="550" t="s">
        <v>59</v>
      </c>
      <c r="B268" s="560" t="s">
        <v>340</v>
      </c>
      <c r="C268" s="125" t="s">
        <v>331</v>
      </c>
      <c r="D268" s="126"/>
      <c r="E268" s="166"/>
      <c r="F268" s="345" t="str">
        <f>IF(E268="","",IF(OR('Quantification Tool R5'!B$12="73a",'Quantification Tool R5'!B$12="73b"),IF(E268&lt;1,0,IF(E268&gt;=30,1,ROUND(IF(E268&lt;22,'Reference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531" t="str">
        <f>IFERROR(AVERAGE(F268:F271),"")</f>
        <v/>
      </c>
      <c r="H268" s="568" t="str">
        <f>IFERROR(ROUND(AVERAGE(G268:G273),2),"")</f>
        <v/>
      </c>
      <c r="I268" s="519" t="str">
        <f>IF(H268="","",IF(H268&gt;0.69,"Functioning",IF(H268&gt;0.29,"Functioning At Risk",IF(H268&gt;-1,"Not Functioning"))))</f>
        <v/>
      </c>
      <c r="J268" s="559"/>
      <c r="K268" s="555"/>
      <c r="L268" s="21"/>
    </row>
    <row r="269" spans="1:12" ht="15.6" x14ac:dyDescent="0.3">
      <c r="A269" s="556"/>
      <c r="B269" s="561"/>
      <c r="C269" s="174" t="s">
        <v>335</v>
      </c>
      <c r="D269" s="175"/>
      <c r="E269" s="165"/>
      <c r="F269" s="346" t="str">
        <f>IF(E269="","",IF(AND('Quantification Tool R5'!$B$12="74b",'Quantification Tool R5'!$B$13&lt;=2),IF(E269&lt;0,0,IF(E269&gt;15.6,0.69,ROUND('Reference Standards'!$AL$54*E269^2+'Reference Standards'!$AL$55*E269+'Reference Standards'!$AL$56,2))),IF(AND('Quantification Tool R5'!$B$12="65abei",'Quantification Tool R5'!$B$13&lt;=2),IF(E269&lt;0,0,IF(E269&gt;=20,0.69,ROUND('Reference Standards'!$AM$54*E269^2+'Reference Standards'!$AM$55*E269+'Reference Standards'!$AM$56,2))),IF(OR(AND('Quantification Tool R5'!$B$12="74a",'Quantification Tool R5'!$B$13&gt;2,'Quantification Tool R5'!$B$19="January - June"),AND('Quantification Tool R5'!$B$12="71i",'Quantification Tool R5'!$B$13&gt;2,'Quantification Tool R5'!$B$20="SQBANK")),IF(E269&lt;0,0,IF(E269&gt;24.7,0.69,ROUND('Reference Standards'!$AN$54*E269^2+'Reference Standards'!$AN$55*E269+'Reference Standards'!$AN$56,2))),IF(OR('Quantification Tool R5'!$B$12="74b",'Quantification Tool R5'!$B$12="65abei"),IF(E269&lt;0,0,IF(E269&gt;32.7,0.69,ROUND('Reference Standards'!$AO$54*E269^2+'Reference Standards'!$AO$55*E269+'Reference Standards'!$AO$56,2))),IF(AND('Quantification Tool R5'!$B$12="68b",'Quantification Tool R5'!$B$13&gt;2),IF(E269&lt;0,0,IF(E269&gt;41.2,0.69,ROUND('Reference Standards'!$AP$54*E269^2+'Reference Standards'!$AP$55*E269+'Reference Standards'!$AP$56,2))),IF(OR(AND('Quantification Tool R5'!$B$12="71i",'Quantification Tool R5'!$B$13&lt;=2),AND(OR('Quantification Tool R5'!$B$12="68c",'Quantification Tool R5'!$B$12="68d"),'Quantification Tool R5'!$B$19="January - June")),IF(E269&lt;0,0,IF(E269&gt;49.2,0.69,ROUND('Reference Standards'!$AL$94*E269^2+'Reference Standards'!$AL$95*E269+'Reference Standards'!$AL$96,2))),IF(OR(AND('Quantification Tool R5'!$B$12="68a",'Quantification Tool R5'!$B$19="January - June"),AND(OR('Quantification Tool R5'!$B$12="68c",'Quantification Tool R5'!$B$12="68d"),'Quantification Tool R5'!$B$19="July - December")),IF(E269&lt;0,0,IF(E269&gt;53.4,0.69,ROUND('Reference Standards'!$AM$94*E269^2+'Reference Standards'!$AM$95*E269+'Reference Standards'!$AM$96,2))),IF(OR(AND('Quantification Tool R5'!$B$12="71i",'Quantification Tool R5'!$B$13&gt;2,'Quantification Tool R5'!$B$20="SQKICK"),AND(OR('Quantification Tool R5'!$B$12="67fhi",'Quantification Tool R5'!$B$12="67g"),'Quantification Tool R5'!$B$13&lt;=2),'Quantification Tool R5'!$B$12="65j"),IF(E269&lt;0,0,IF(E269&gt;57.8,0.69,ROUND('Reference Standards'!$AN$94*E269^2+'Reference Standards'!$AN$95*E269+'Reference Standards'!$AN$96,2))),IF(OR(AND('Quantification Tool R5'!$B$12="74a",'Quantification Tool R5'!$B$13&gt;2,'Quantification Tool R5'!$B$19="July - December"),AND(OR('Quantification Tool R5'!$B$12="67fhi",'Quantification Tool R5'!$B$12="67g"),'Quantification Tool R5'!$B$13&gt;2),'Quantification Tool R5'!$B$12="69de"),IF(E269&lt;0,0,IF(E269&gt;62.5,0.69,ROUND('Reference Standards'!$AO$94*E269^2+'Reference Standards'!$AO$95*E269+'Reference Standards'!$AO$96,2))),  IF(OR('Quantification Tool R5'!$B$12="66d",'Quantification Tool R5'!$B$12="66e",'Quantification Tool R5'!$B$12="66ik",'Quantification Tool R5'!$B$12="71e",'Quantification Tool R5'!$B$12="71f",'Quantification Tool R5'!$B$12="71g",'Quantification Tool R5'!$B$12="71h"),IF(E269&lt;0,0,IF(E269&gt;66.5,0.69,ROUND('Reference Standards'!$AP$94*E269^2+'Reference Standards'!$AP$95*E269+'Reference Standards'!$AP$96,2))),IF(OR('Quantification Tool R5'!$B$12="66f",'Quantification Tool R5'!$B$12="66g",'Quantification Tool R5'!$B$12="66j",AND('Quantification Tool R5'!$B$12="68a",'Quantification Tool R5'!$B$19="July - December")), IF(E269&lt;0,0,IF(E269&gt;69,0.69,ROUND('Reference Standards'!$AQ$94*E269^2+'Reference Standards'!$AQ$95*E269+'Reference Standards'!$AQ$96,2))))   )))))))))))</f>
        <v/>
      </c>
      <c r="G269" s="531"/>
      <c r="H269" s="568"/>
      <c r="I269" s="519"/>
      <c r="J269" s="559"/>
      <c r="K269" s="555"/>
      <c r="L269" s="21"/>
    </row>
    <row r="270" spans="1:12" ht="15.6" x14ac:dyDescent="0.3">
      <c r="A270" s="556"/>
      <c r="B270" s="561"/>
      <c r="C270" s="174" t="s">
        <v>339</v>
      </c>
      <c r="D270" s="175"/>
      <c r="E270" s="165"/>
      <c r="F270" s="346" t="str">
        <f>IF(E270="","",IF(AND('Quantification Tool R5'!$B$12="74b",'Quantification Tool R5'!$B$13&lt;=2),IF(E270&lt;0,0,IF(E270&gt;8.1,0.69,ROUND('Reference Standards'!$AL$131*E270^2+'Reference Standards'!$AL$132*E270+'Reference Standards'!$AL$133,2))),IF(OR('Quantification Tool R5'!$B$12="73a",'Quantification Tool R5'!$B$12="73b"),IF(E270&lt;0,0,IF(E270&gt;=28,0.69,ROUND('Reference Standards'!$AM$131*E270^2+'Reference Standards'!$AM$132*E270+'Reference Standards'!$AM$133,2))),IF(AND('Quantification Tool R5'!$B$12="74a",'Quantification Tool R5'!$B$13&gt;2,'Quantification Tool R5'!$B$19="January - June"),IF(E270&lt;0,0,IF(E270&gt;=32.5,0.69,ROUND('Reference Standards'!$AN$131*E270^2+'Reference Standards'!$AN$132*E270+'Reference Standards'!$AN$133,2))),IF(AND('Quantification Tool R5'!$B$12="71i",'Quantification Tool R5'!$B$13&gt;2,'Quantification Tool R5'!$B$20="SQBANK"),IF(E270&lt;0,0,IF(E270&gt;=37,0.69,ROUND('Reference Standards'!$AO$131*E270^2+'Reference Standards'!$AO$132*E270+'Reference Standards'!$AO$133,2))),IF(OR(AND(OR('Quantification Tool R5'!$B$12="65abei",'Quantification Tool R5'!$B$12="74b"),'Quantification Tool R5'!$B$13&gt;2),AND('Quantification Tool R5'!$B$12="71i",'Quantification Tool R5'!$B$13&gt;2,'Quantification Tool R5'!$B$20="SQKICK")),IF(E270&lt;0,0,IF(E270&gt;42.6,0.69,ROUND('Reference Standards'!$AP$131*E270^2+'Reference Standards'!$AP$132*E270+'Reference Standards'!$AP$133,2))),     IF(OR(AND('Quantification Tool R5'!$B$12="65abei",'Quantification Tool R5'!$B$13&lt;=2),AND(OR('Quantification Tool R5'!$B$12="68c",'Quantification Tool R5'!$B$12="68d"),'Quantification Tool R5'!$B$19="July - December"),'Quantification Tool R5'!$B$12="71e"),IF(E270&lt;0,0,IF(E270&gt;=48,0.69,ROUND('Reference Standards'!$AL$171*E270^2+'Reference Standards'!$AL$172*E270+'Reference Standards'!$AL$173,2))),IF(OR('Quantification Tool R5'!$B$12="65j",'Quantification Tool R5'!$B$12="67fhi",'Quantification Tool R5'!$B$12="67g",AND('Quantification Tool R5'!$B$12="74a",'Quantification Tool R5'!$B$19="July - December",'Quantification Tool R5'!$B$13&gt;2),AND('Quantification Tool R5'!$B$12="71i",'Quantification Tool R5'!$B$13&lt;=2)),IF(E270&lt;0,0,IF(E270&gt;=53,0.69,ROUND('Reference Standards'!$AM$171*E270^2+'Reference Standards'!$AM$172*E270+'Reference Standards'!$AM$173,2))),IF(OR(AND(OR('Quantification Tool R5'!$B$12="68b",'Quantification Tool R5'!$B$12="71f",'Quantification Tool R5'!$B$12="71g",'Quantification Tool R5'!$B$12="71h"),'Quantification Tool R5'!$B$13&gt;2),'Quantification Tool R5'!$B$12="68a"),IF(E270&lt;0,0,IF(E270&gt;=57,0.69,ROUND('Reference Standards'!$AN$171*E270^2+'Reference Standards'!$AN$172*E270+'Reference Standards'!$AN$173,2))),IF(OR('Quantification Tool R5'!$B$12="66f",'Quantification Tool R5'!$B$12="66g",'Quantification Tool R5'!$B$12="66j",AND(OR('Quantification Tool R5'!$B$12="71f",'Quantification Tool R5'!$B$12="71g",'Quantification Tool R5'!$B$12="71h"),'Quantification Tool R5'!$B$13&lt;=2)),IF(E270&lt;0,0,IF(E270&gt;=60,0.69,ROUND('Reference Standards'!$AO$171*E270^2+'Reference Standards'!$AO$172*E270+'Reference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December")),IF(E270&lt;0,0,IF(E270&gt;=67.5,0.69,ROUND('Reference Standards'!$AP$171*E270^2+'Reference Standards'!$AP$172*E270+'Reference Standards'!$AP$173,2))),IF(AND('Quantification Tool R5'!$B$12="69de",'Quantification Tool R5'!$B$19="January - June"), IF(E270&lt;0,0,IF(E270&gt;=72,0.69,ROUND('Reference Standards'!$AQ$171*E270^2+'Reference Standards'!$AQ$172*E270+'Reference Standards'!$AQ$173,2))))   )))))))))))</f>
        <v/>
      </c>
      <c r="G270" s="531"/>
      <c r="H270" s="568"/>
      <c r="I270" s="519"/>
      <c r="J270" s="559"/>
      <c r="K270" s="555"/>
      <c r="L270" s="21"/>
    </row>
    <row r="271" spans="1:12" ht="15.6" x14ac:dyDescent="0.3">
      <c r="A271" s="556"/>
      <c r="B271" s="562"/>
      <c r="C271" s="127" t="s">
        <v>336</v>
      </c>
      <c r="D271" s="71"/>
      <c r="E271" s="167"/>
      <c r="F271" s="346" t="str">
        <f>IF(E271="","",IF(OR('Quantification Tool R5'!$B$12="67fhi",'Quantification Tool R5'!$B$12="67g",'Quantification Tool R5'!$B$12="71e",'Quantification Tool R5'!$B$12="73a",'Quantification Tool R5'!$B$12="73b",AND(OR('Quantification Tool R5'!$B$12="71f",'Quantification Tool R5'!$B$12="71g",'Quantification Tool R5'!$B$12="71h"),'Quantification Tool R5'!$B$13&gt;2)),IF(E271&gt;100,0,IF(E271&lt;15,0.69,ROUND('Reference Standards'!$AL$208*E271^2+'Reference Standards'!$AL$209*E271+'Reference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),IF(E271&gt;100,0,IF(E271&lt;19,0.69,ROUND('Reference Standards'!$AM$208*E271^2+'Reference Standards'!$AM$209*E271+'Reference Standards'!$AM$210,2))),    IF(OR(AND('Quantification Tool R5'!$B$12="69de",'Quantification Tool R5'!$B$19="January - June"),AND('Quantification Tool R5'!$B$12="71i",'Quantification Tool R5'!$B$13&gt;2,'Quantification Tool R5'!$B$20="SQKICK" )),IF(E271&gt;100,0,IF(E271&lt;22,0.69,ROUND('Reference Standards'!$AN$208*E271^2+'Reference Standards'!$AN$209*E271+'Reference Standards'!$AN$210,2))),    IF(OR('Quantification Tool R5'!$B$12="65j",AND('Quantification Tool R5'!$B$12="68b",'Quantification Tool R5'!$B$13&gt;2)),IF(E271&gt;100,0,IF(E271&lt;24,0.69,ROUND('Reference Standards'!$AO$208*E271^2+'Reference Standards'!$AO$209*E271+'Reference Standards'!$AO$210,2))),    IF(AND(OR('Quantification Tool R5'!$B$12="65abei",'Quantification Tool R5'!$B$12="71f",'Quantification Tool R5'!$B$12="71g",'Quantification Tool R5'!$B$12="71h"),'Quantification Tool R5'!$B$13&lt;=2),IF(E271&gt;95,0,IF(E271&lt;33,0.69,ROUND('Reference Standards'!$AL$246*E271^2+'Reference Standards'!$AL$247*E271+'Reference Standards'!$AL$248,2))),   IF(AND(OR('Quantification Tool R5'!$B$12="65abei",'Quantification Tool R5'!$B$12="74b"),'Quantification Tool R5'!$B$13&gt;2),IF(E271&gt;97,0,IF(E271&lt;36,0.69,ROUND('Reference Standards'!$AM$246*E271^2+'Reference Standards'!$AM$247*E271+'Reference Standards'!$AM$248,2))),  IF(AND('Quantification Tool R5'!$B$12="74a",'Quantification Tool R5'!$B$19="January - June",'Quantification Tool R5'!$B$13&gt;2),IF(E271&gt;93,0,IF(E271&lt;52,0.69,ROUND('Reference Standards'!$AN$246*E271^2+'Reference Standards'!$AN$247*E271+'Reference Standards'!$AN$248,2))),   IF(AND('Quantification Tool R5'!$B$12="74b",'Quantification Tool R5'!$B$13&lt;=2),IF(E271&gt;97,0,IF(E271&lt;62,0.69,ROUND('Reference Standards'!$AO$246*E271^2+'Reference Standards'!$AO$247*E271+'Reference Standards'!$AO$248,2)))  )))))))))</f>
        <v/>
      </c>
      <c r="G271" s="531"/>
      <c r="H271" s="568"/>
      <c r="I271" s="519"/>
      <c r="J271" s="559"/>
      <c r="K271" s="555"/>
      <c r="L271" s="21"/>
    </row>
    <row r="272" spans="1:12" ht="15.6" x14ac:dyDescent="0.3">
      <c r="A272" s="556"/>
      <c r="B272" s="563" t="s">
        <v>74</v>
      </c>
      <c r="C272" s="125" t="s">
        <v>211</v>
      </c>
      <c r="D272" s="126"/>
      <c r="E272" s="166"/>
      <c r="F272" s="345" t="str">
        <f>IF(E272="","",IF(E272=1,0.15,IF(E272=3,0.5,IF(E272=5,0.85,0))))</f>
        <v/>
      </c>
      <c r="G272" s="564" t="str">
        <f>IFERROR(AVERAGE(F272:F273),"")</f>
        <v/>
      </c>
      <c r="H272" s="568"/>
      <c r="I272" s="519"/>
      <c r="J272" s="559"/>
      <c r="K272" s="555"/>
      <c r="L272" s="21"/>
    </row>
    <row r="273" spans="1:12" ht="15.6" x14ac:dyDescent="0.3">
      <c r="A273" s="551"/>
      <c r="B273" s="563"/>
      <c r="C273" s="127" t="s">
        <v>332</v>
      </c>
      <c r="D273" s="71"/>
      <c r="E273" s="167"/>
      <c r="F273" s="347" t="str">
        <f>IF(E273="","",IF(E273=1,0.15,IF(E273=3,0.5,IF(E273=5,0.85,0))))</f>
        <v/>
      </c>
      <c r="G273" s="565"/>
      <c r="H273" s="568"/>
      <c r="I273" s="519"/>
      <c r="J273" s="559"/>
      <c r="K273" s="555"/>
      <c r="L273" s="21"/>
    </row>
    <row r="274" spans="1:12" x14ac:dyDescent="0.3">
      <c r="L274" s="21"/>
    </row>
    <row r="275" spans="1:12" x14ac:dyDescent="0.3">
      <c r="L275" s="21"/>
    </row>
    <row r="276" spans="1:12" ht="21" x14ac:dyDescent="0.4">
      <c r="A276" s="148" t="s">
        <v>135</v>
      </c>
      <c r="B276" s="246"/>
      <c r="C276" s="249" t="s">
        <v>324</v>
      </c>
      <c r="D276" s="246"/>
      <c r="E276" s="247"/>
      <c r="F276" s="248"/>
      <c r="G276" s="544" t="s">
        <v>18</v>
      </c>
      <c r="H276" s="545"/>
      <c r="I276" s="545"/>
      <c r="J276" s="545"/>
      <c r="K276" s="546"/>
      <c r="L276" s="21"/>
    </row>
    <row r="277" spans="1:12" ht="15.6" x14ac:dyDescent="0.3">
      <c r="A277" s="158" t="s">
        <v>1</v>
      </c>
      <c r="B277" s="158" t="s">
        <v>2</v>
      </c>
      <c r="C277" s="542" t="s">
        <v>3</v>
      </c>
      <c r="D277" s="644"/>
      <c r="E277" s="158" t="s">
        <v>15</v>
      </c>
      <c r="F277" s="158" t="s">
        <v>16</v>
      </c>
      <c r="G277" s="158" t="s">
        <v>19</v>
      </c>
      <c r="H277" s="158" t="s">
        <v>20</v>
      </c>
      <c r="I277" s="314" t="s">
        <v>20</v>
      </c>
      <c r="J277" s="158" t="s">
        <v>21</v>
      </c>
      <c r="K277" s="315" t="s">
        <v>21</v>
      </c>
    </row>
    <row r="278" spans="1:12" ht="15.6" x14ac:dyDescent="0.3">
      <c r="A278" s="540" t="s">
        <v>60</v>
      </c>
      <c r="B278" s="299" t="s">
        <v>86</v>
      </c>
      <c r="C278" s="52" t="s">
        <v>388</v>
      </c>
      <c r="D278" s="52"/>
      <c r="E278" s="162"/>
      <c r="F278" s="338" t="str">
        <f>IF(E278="","",IF(E278&lt;=0,0,IF(E278&gt;=0.95,1,ROUND('Reference Standards'!C$14*E278+'Reference Standards'!C$15,2))))</f>
        <v/>
      </c>
      <c r="G278" s="83" t="str">
        <f>IFERROR(AVERAGE(F278),"")</f>
        <v/>
      </c>
      <c r="H278" s="522" t="str">
        <f>IFERROR(ROUND(AVERAGE(G278:G279),2),"")</f>
        <v/>
      </c>
      <c r="I278" s="519" t="str">
        <f>IF(H278="","",IF(H278&gt;0.69,"Functioning",IF(H278&gt;0.29,"Functioning At Risk",IF(H278&gt;-1,"Not Functioning"))))</f>
        <v/>
      </c>
      <c r="J278" s="559" t="str">
        <f>IF(AND(H278="",H280="",H282="",H304="",H308=""),"",ROUND((IF(H278="",0,H278)*0.2)+(IF(H280="",0,H280)*0.2)+(IF(H282="",0,H282)*0.2)+(IF(H304="",0,H304)*0.2)+(IF(H308="",0,H308)*0.2),2))</f>
        <v/>
      </c>
      <c r="K278" s="555" t="str">
        <f>IF(J278="","",IF(J278&lt;0.3, "Not Functioning",IF(OR(H278&lt;0.7,H280&lt;0.7,H282&lt;0.7,H304&lt;0.7,H308&lt;0.7),"Functioning At Risk",IF(J278&lt;0.7,"Functioning At Risk","Functioning"))))</f>
        <v/>
      </c>
    </row>
    <row r="279" spans="1:12" ht="15.6" x14ac:dyDescent="0.3">
      <c r="A279" s="541"/>
      <c r="B279" s="371" t="s">
        <v>128</v>
      </c>
      <c r="C279" s="373" t="s">
        <v>161</v>
      </c>
      <c r="D279" s="374"/>
      <c r="E279" s="43"/>
      <c r="F279" s="372" t="str">
        <f>IF(E279="","",IF(E279&gt;=1,1,IF(E279&lt;=0,0,ROUND(E279,2))))</f>
        <v/>
      </c>
      <c r="G279" s="367" t="str">
        <f>IFERROR(AVERAGE(F279:F279),"")</f>
        <v/>
      </c>
      <c r="H279" s="523"/>
      <c r="I279" s="519"/>
      <c r="J279" s="559"/>
      <c r="K279" s="555"/>
    </row>
    <row r="280" spans="1:12" ht="15.6" x14ac:dyDescent="0.3">
      <c r="A280" s="524" t="s">
        <v>6</v>
      </c>
      <c r="B280" s="572" t="s">
        <v>7</v>
      </c>
      <c r="C280" s="54" t="s">
        <v>8</v>
      </c>
      <c r="D280" s="54"/>
      <c r="E280" s="162"/>
      <c r="F280" s="339" t="str">
        <f>IF(E280="","",ROUND(IF(E280&gt;1.6,0,IF(E280&lt;=1,1,E280^2*'Reference Standards'!K$14+E280*'Reference Standards'!K$15+'Reference Standards'!K$16)),2))</f>
        <v/>
      </c>
      <c r="G280" s="579" t="str">
        <f>IFERROR(AVERAGE(F280:F281),"")</f>
        <v/>
      </c>
      <c r="H280" s="579" t="str">
        <f>IFERROR(ROUND(AVERAGE(G280),2),"")</f>
        <v/>
      </c>
      <c r="I280" s="569" t="str">
        <f>IF(H280="","",IF(H280&gt;0.69,"Functioning",IF(H280&gt;0.29,"Functioning At Risk",IF(H280&gt;-1,"Not Functioning"))))</f>
        <v/>
      </c>
      <c r="J280" s="559"/>
      <c r="K280" s="555"/>
    </row>
    <row r="281" spans="1:12" ht="15.6" x14ac:dyDescent="0.3">
      <c r="A281" s="525"/>
      <c r="B281" s="572"/>
      <c r="C281" s="54" t="s">
        <v>9</v>
      </c>
      <c r="D281" s="54"/>
      <c r="E281" s="163"/>
      <c r="F281" s="339" t="str">
        <f>IF(E281="","",(IF(OR('Quantification Tool R5'!B$11="A",'Quantification Tool R5'!B$11="B",'Quantification Tool R5'!$B$11="Bc"),IF(E281&lt;1.2,0,IF(E281&gt;=2.2,1,ROUND(IF(E281&lt;1.4,E281*'Reference Standards'!$K$84+'Reference Standards'!$K$85,E281*'Reference Standards'!$L$84+'Reference Standards'!$L$85),2))),IF(OR('Quantification Tool R5'!B$11="C",'Quantification Tool R5'!B$11="E"),IF(E281&lt;2,0,IF(E281&gt;=5,1,ROUND(IF(E281&lt;2.4,E281*'Reference Standards'!$L$49+'Reference Standards'!$L$50,E281*'Reference Standards'!$K$49+'Reference Standards'!$K$50),2)))))))</f>
        <v/>
      </c>
      <c r="G281" s="581"/>
      <c r="H281" s="580"/>
      <c r="I281" s="570"/>
      <c r="J281" s="559"/>
      <c r="K281" s="555"/>
    </row>
    <row r="282" spans="1:12" ht="15.6" x14ac:dyDescent="0.3">
      <c r="A282" s="526" t="s">
        <v>26</v>
      </c>
      <c r="B282" s="557" t="s">
        <v>27</v>
      </c>
      <c r="C282" s="60" t="s">
        <v>333</v>
      </c>
      <c r="D282" s="244"/>
      <c r="E282" s="61"/>
      <c r="F282" s="340" t="str">
        <f>IF(E282="","",IF(OR(LEFT('Quantification Tool R5'!$B$12,2)="65",LEFT('Quantification Tool R5'!$B$12,2)="66",LEFT('Quantification Tool R5'!$B$12,2)="71"),IF(E282&gt;=850,1,IF(E282&lt;250,ROUND('Reference Standards'!$S$17*(E282)+'Reference Standards'!$S$18,2),ROUND('Reference Standards'!$T$17*E282+'Reference Standards'!$T$18,2))),  IF(E282&gt;=345,1,IF(E282&lt;=180,ROUND('Reference Standards'!$U$17*(E282)+'Reference Standards'!$U$18,2),ROUND('Reference Standards'!$V$17*E282+'Reference Standards'!$V$18,2))))    )</f>
        <v/>
      </c>
      <c r="G282" s="528" t="str">
        <f>IFERROR(AVERAGE(F282:F283),"")</f>
        <v/>
      </c>
      <c r="H282" s="566" t="str">
        <f>IFERROR(ROUND(AVERAGE(G282:G303),2),"")</f>
        <v/>
      </c>
      <c r="I282" s="555" t="str">
        <f>IF(H282="","",IF(H282&gt;0.69,"Functioning",IF(H282&gt;0.29,"Functioning At Risk",IF(H282&gt;-1,"Not Functioning"))))</f>
        <v/>
      </c>
      <c r="J282" s="559"/>
      <c r="K282" s="555"/>
    </row>
    <row r="283" spans="1:12" ht="15.6" x14ac:dyDescent="0.3">
      <c r="A283" s="520"/>
      <c r="B283" s="558"/>
      <c r="C283" s="63" t="s">
        <v>323</v>
      </c>
      <c r="D283" s="245"/>
      <c r="E283" s="53"/>
      <c r="F283" s="341" t="str">
        <f>IF(E283="","",IF(OR(LEFT('Quantification Tool R5'!$B$12,2)="65",LEFT('Quantification Tool R5'!$B$12,2)="66",LEFT('Quantification Tool R5'!$B$12,2)="71"),IF(E283&gt;=30,1,IF(E283&lt;13,ROUND('Reference Standards'!$S$53*(E283)+'Reference Standards'!$S$54,2),ROUND('Reference Standards'!$T$53*E283+'Reference Standards'!$T$54,2))),  IF(E283&gt;=16,1,IF(E283&lt;=9,ROUND('Reference Standards'!$U$53*(E283)+'Reference Standards'!$U$54,2),ROUND('Reference Standards'!$V$53*E283+'Reference Standards'!$V$54,2))))    )</f>
        <v/>
      </c>
      <c r="G283" s="530"/>
      <c r="H283" s="566"/>
      <c r="I283" s="555"/>
      <c r="J283" s="559"/>
      <c r="K283" s="555"/>
    </row>
    <row r="284" spans="1:12" ht="15.6" x14ac:dyDescent="0.3">
      <c r="A284" s="520"/>
      <c r="B284" s="520" t="s">
        <v>395</v>
      </c>
      <c r="C284" s="58" t="s">
        <v>80</v>
      </c>
      <c r="D284" s="58"/>
      <c r="E284" s="165"/>
      <c r="F284" s="340" t="str">
        <f>IF(E284="","",ROUND(IF(E284&gt;0.7,0,IF(E284&lt;=0.1,1,E284^3*'Reference Standards'!S$87+E284^2*'Reference Standards'!S$88+E284*'Reference Standards'!S$89+'Reference Standards'!S$90)),2))</f>
        <v/>
      </c>
      <c r="G284" s="552" t="str">
        <f>IFERROR(ROUND(AVERAGE(F284:F287),2),"")</f>
        <v/>
      </c>
      <c r="H284" s="567"/>
      <c r="I284" s="555"/>
      <c r="J284" s="559"/>
      <c r="K284" s="555"/>
    </row>
    <row r="285" spans="1:12" ht="15.6" x14ac:dyDescent="0.3">
      <c r="A285" s="520"/>
      <c r="B285" s="520"/>
      <c r="C285" s="58" t="s">
        <v>49</v>
      </c>
      <c r="D285" s="58"/>
      <c r="E285" s="165"/>
      <c r="F285" s="84"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553"/>
      <c r="H285" s="567"/>
      <c r="I285" s="555"/>
      <c r="J285" s="559"/>
      <c r="K285" s="555"/>
    </row>
    <row r="286" spans="1:12" ht="15.6" x14ac:dyDescent="0.3">
      <c r="A286" s="520"/>
      <c r="B286" s="520"/>
      <c r="C286" s="58" t="s">
        <v>87</v>
      </c>
      <c r="D286" s="58"/>
      <c r="E286" s="165"/>
      <c r="F286" s="84" t="str">
        <f>IF(E286="","",ROUND(IF(E286&gt;40,0,IF(E286&lt;5,1,E286^3*'Reference Standards'!S$122+E286^2*'Reference Standards'!S$123+E286*'Reference Standards'!S$124+'Reference Standards'!S$125)),2))</f>
        <v/>
      </c>
      <c r="G286" s="553"/>
      <c r="H286" s="567"/>
      <c r="I286" s="555"/>
      <c r="J286" s="559"/>
      <c r="K286" s="555"/>
    </row>
    <row r="287" spans="1:12" ht="15.6" x14ac:dyDescent="0.3">
      <c r="A287" s="520"/>
      <c r="B287" s="521"/>
      <c r="C287" s="59" t="s">
        <v>394</v>
      </c>
      <c r="D287" s="59"/>
      <c r="E287" s="167"/>
      <c r="F287" s="341" t="str">
        <f>IF(E287="","",ROUND(IF(E287&gt;=30,0,IF(E287&lt;=0,1,E287*'Reference Standards'!S$156+'Reference Standards'!S$157)),2))</f>
        <v/>
      </c>
      <c r="G287" s="554"/>
      <c r="H287" s="567"/>
      <c r="I287" s="555"/>
      <c r="J287" s="559"/>
      <c r="K287" s="555"/>
    </row>
    <row r="288" spans="1:12" ht="15.6" x14ac:dyDescent="0.3">
      <c r="A288" s="520"/>
      <c r="B288" s="520" t="s">
        <v>50</v>
      </c>
      <c r="C288" s="60" t="s">
        <v>377</v>
      </c>
      <c r="D288" s="64"/>
      <c r="E288" s="136"/>
      <c r="F288" s="294" t="str">
        <f>IF(E288="","",ROUND(IF(E288&gt;9.2,1,E288*'Reference Standards'!$S$189+'Reference Standards'!$S$190),2))</f>
        <v/>
      </c>
      <c r="G288" s="552" t="str">
        <f>IFERROR(ROUND(AVERAGE(F288:F297),2),"")</f>
        <v/>
      </c>
      <c r="H288" s="567"/>
      <c r="I288" s="555"/>
      <c r="J288" s="559"/>
      <c r="K288" s="555"/>
    </row>
    <row r="289" spans="1:13" ht="15.6" x14ac:dyDescent="0.3">
      <c r="A289" s="520"/>
      <c r="B289" s="520"/>
      <c r="C289" s="62" t="s">
        <v>378</v>
      </c>
      <c r="D289" s="58"/>
      <c r="E289" s="162"/>
      <c r="F289" s="294" t="str">
        <f>IF(E289="","",ROUND(IF(E289&gt;9.2,1,E289*'Reference Standards'!$S$189+'Reference Standards'!$S$190),2))</f>
        <v/>
      </c>
      <c r="G289" s="553"/>
      <c r="H289" s="567"/>
      <c r="I289" s="555"/>
      <c r="J289" s="559"/>
      <c r="K289" s="555"/>
    </row>
    <row r="290" spans="1:13" ht="15.6" x14ac:dyDescent="0.3">
      <c r="A290" s="520"/>
      <c r="B290" s="520"/>
      <c r="C290" s="62" t="s">
        <v>379</v>
      </c>
      <c r="D290" s="58"/>
      <c r="E290" s="162"/>
      <c r="F290" s="294" t="str">
        <f>IF(E290="","",ROUND( IF(E290&gt;=200,1,IF(E290&lt;50, E290^2*'Reference Standards'!S$224+E290*'Reference Standards'!S$225+'Reference Standards'!S$226, E290*'Reference Standards'!T$224+'Reference Standards'!T$225)),2))</f>
        <v/>
      </c>
      <c r="G290" s="553"/>
      <c r="H290" s="567"/>
      <c r="I290" s="555"/>
      <c r="J290" s="559"/>
      <c r="K290" s="555"/>
    </row>
    <row r="291" spans="1:13" ht="15.6" x14ac:dyDescent="0.3">
      <c r="A291" s="520"/>
      <c r="B291" s="520"/>
      <c r="C291" s="62" t="s">
        <v>380</v>
      </c>
      <c r="D291" s="58"/>
      <c r="E291" s="162"/>
      <c r="F291" s="294" t="str">
        <f>IF(E291="","",ROUND( IF(E291&gt;=200,1,IF(E291&lt;50, E291^2*'Reference Standards'!S$224+E291*'Reference Standards'!S$225+'Reference Standards'!S$226, E291*'Reference Standards'!T$224+'Reference Standards'!T$225)),2))</f>
        <v/>
      </c>
      <c r="G291" s="553"/>
      <c r="H291" s="567"/>
      <c r="I291" s="555"/>
      <c r="J291" s="559"/>
      <c r="K291" s="555"/>
    </row>
    <row r="292" spans="1:13" ht="15.6" x14ac:dyDescent="0.3">
      <c r="A292" s="520"/>
      <c r="B292" s="520"/>
      <c r="C292" s="58" t="s">
        <v>381</v>
      </c>
      <c r="D292" s="58"/>
      <c r="E292" s="162"/>
      <c r="F292" s="294" t="str">
        <f>IF(E292="","",ROUND(IF(AND(E292&gt;=135,E292&lt;=262),1,IF(  E292&gt;=366,0.5, IF(E292&lt;135,E292*'Reference Standards'!S$259+'Reference Standards'!S$260, E292*'Reference Standards'!T$259+'Reference Standards'!T$260))),2))</f>
        <v/>
      </c>
      <c r="G292" s="553"/>
      <c r="H292" s="567"/>
      <c r="I292" s="555"/>
      <c r="J292" s="559"/>
      <c r="K292" s="555"/>
    </row>
    <row r="293" spans="1:13" ht="15.6" x14ac:dyDescent="0.3">
      <c r="A293" s="520"/>
      <c r="B293" s="520"/>
      <c r="C293" s="58" t="s">
        <v>382</v>
      </c>
      <c r="D293" s="58"/>
      <c r="E293" s="162"/>
      <c r="F293" s="294" t="str">
        <f>IF(E293="","",ROUND(IF(AND(E293&gt;=135,E293&lt;=262),1,IF(  E293&gt;=366,0.5, IF(E293&lt;135,E293*'Reference Standards'!S$259+'Reference Standards'!S$260, E293*'Reference Standards'!T$259+'Reference Standards'!T$260))),2))</f>
        <v/>
      </c>
      <c r="G293" s="553"/>
      <c r="H293" s="567"/>
      <c r="I293" s="555"/>
      <c r="J293" s="559"/>
      <c r="K293" s="555"/>
    </row>
    <row r="294" spans="1:13" ht="15.6" x14ac:dyDescent="0.3">
      <c r="A294" s="520"/>
      <c r="B294" s="520"/>
      <c r="C294" s="58" t="s">
        <v>383</v>
      </c>
      <c r="D294" s="58"/>
      <c r="E294" s="162"/>
      <c r="F294" s="84" t="str">
        <f>IF(E294="","",ROUND(IF(E294&gt;=75,1,IF(E294&lt;=0,0,E294*'Reference Standards'!S$330)),2))</f>
        <v/>
      </c>
      <c r="G294" s="553"/>
      <c r="H294" s="567"/>
      <c r="I294" s="555"/>
      <c r="J294" s="559"/>
      <c r="K294" s="555"/>
    </row>
    <row r="295" spans="1:13" ht="15.6" x14ac:dyDescent="0.3">
      <c r="A295" s="520"/>
      <c r="B295" s="520"/>
      <c r="C295" s="58" t="s">
        <v>384</v>
      </c>
      <c r="D295" s="58"/>
      <c r="E295" s="162"/>
      <c r="F295" s="84" t="str">
        <f>IF(E295="","",ROUND(IF(E295&gt;=75,1,IF(E295&lt;=0,0,E295*'Reference Standards'!S$330)),2))</f>
        <v/>
      </c>
      <c r="G295" s="553"/>
      <c r="H295" s="567"/>
      <c r="I295" s="555"/>
      <c r="J295" s="559"/>
      <c r="K295" s="555"/>
    </row>
    <row r="296" spans="1:13" ht="15.6" x14ac:dyDescent="0.3">
      <c r="A296" s="520"/>
      <c r="B296" s="520"/>
      <c r="C296" s="58" t="s">
        <v>385</v>
      </c>
      <c r="D296" s="58"/>
      <c r="E296" s="162"/>
      <c r="F296" s="294" t="str">
        <f>IF(E296="","",ROUND(IF(AND(E296&gt;=36.3,E296&lt;=68),1,IF(E296&gt;100,0,IF(E296&lt;36.3,(('Reference Standards'!S$297*(E296^2))+('Reference Standards'!S$298*E296)+'Reference Standards'!S$299),IF(E296&gt;68,(('Reference Standards'!T$297*(E296^2))+('Reference Standards'!T$298*E296)+'Reference Standards'!T$299))))),2))</f>
        <v/>
      </c>
      <c r="G296" s="553"/>
      <c r="H296" s="567"/>
      <c r="I296" s="555"/>
      <c r="J296" s="559"/>
      <c r="K296" s="555"/>
      <c r="M296" s="21"/>
    </row>
    <row r="297" spans="1:13" ht="15.6" x14ac:dyDescent="0.3">
      <c r="A297" s="520"/>
      <c r="B297" s="521"/>
      <c r="C297" s="58" t="s">
        <v>386</v>
      </c>
      <c r="D297" s="65"/>
      <c r="E297" s="162"/>
      <c r="F297" s="294" t="str">
        <f>IF(E297="","",ROUND(IF(AND(E297&gt;=36.3,E297&lt;=68),1,IF(E297&gt;100,0,IF(E297&lt;36.3,(('Reference Standards'!S$297*(E297^2))+('Reference Standards'!S$298*E297)+'Reference Standards'!S$299),IF(E297&gt;68,(('Reference Standards'!T$297*(E297^2))+('Reference Standards'!T$298*E297)+'Reference Standards'!T$299))))),2))</f>
        <v/>
      </c>
      <c r="G297" s="554"/>
      <c r="H297" s="567"/>
      <c r="I297" s="555"/>
      <c r="J297" s="559"/>
      <c r="K297" s="555"/>
    </row>
    <row r="298" spans="1:13" ht="15.6" x14ac:dyDescent="0.3">
      <c r="A298" s="520"/>
      <c r="B298" s="56" t="s">
        <v>108</v>
      </c>
      <c r="C298" s="72" t="s">
        <v>130</v>
      </c>
      <c r="D298" s="58"/>
      <c r="E298" s="43"/>
      <c r="F298" s="82" t="str">
        <f>IF(E298="","",IF(OR('Quantification Tool R5'!B$14="Gravel",'Quantification Tool R5'!B$14="Cobble"),IF(E298&gt;0.1,1,IF(E298&lt;=0.01,0,ROUND(E298*'Reference Standards'!$S$362+'Reference Standards'!$S$363,2)))))</f>
        <v/>
      </c>
      <c r="G298" s="82" t="str">
        <f>IFERROR(AVERAGE(F298),"")</f>
        <v/>
      </c>
      <c r="H298" s="567"/>
      <c r="I298" s="555"/>
      <c r="J298" s="559"/>
      <c r="K298" s="555"/>
    </row>
    <row r="299" spans="1:13" ht="15.6" x14ac:dyDescent="0.3">
      <c r="A299" s="520"/>
      <c r="B299" s="526" t="s">
        <v>51</v>
      </c>
      <c r="C299" s="64" t="s">
        <v>52</v>
      </c>
      <c r="D299" s="64"/>
      <c r="E299" s="166"/>
      <c r="F299" s="337" t="str">
        <f>IF(E299="","", IF(ISNUMBER('Quantification Tool R5'!$B$17), IF('Quantification Tool R5'!$B$17&lt;=2,   IF(AND(E299&gt;=3,E299&lt;=5),1, IF(OR(E299&lt;=1,E299&gt;=7), 0, ROUND( IF(E299&lt;3, E299*'Reference Standards'!S$398+'Reference Standards'!S$399,E299*'Reference Standards'!T$398+'Reference Standards'!T$399),2) ) ),   IF(E299&lt;=2.5,1, IF(E299&gt;=5.8,0, ROUND(E299*'Reference Standards'!S$430+'Reference Standards'!S$431,2))))   ))</f>
        <v/>
      </c>
      <c r="G299" s="528" t="str">
        <f>IFERROR(AVERAGE(F299:F302),"")</f>
        <v/>
      </c>
      <c r="H299" s="567"/>
      <c r="I299" s="555"/>
      <c r="J299" s="559"/>
      <c r="K299" s="555"/>
    </row>
    <row r="300" spans="1:13" ht="15.6" x14ac:dyDescent="0.3">
      <c r="A300" s="520"/>
      <c r="B300" s="520"/>
      <c r="C300" s="58" t="s">
        <v>53</v>
      </c>
      <c r="D300" s="58"/>
      <c r="E300" s="165"/>
      <c r="F300" s="84" t="str">
        <f>IF(E300="","", IF( E300&gt;=2.4,1, IF(E300&lt;=1,0,  ROUND(IF(E300&lt;2.4, E300*'Reference Standards'!$S$464+'Reference Standards'!$S$465 ),2))))</f>
        <v/>
      </c>
      <c r="G300" s="529"/>
      <c r="H300" s="567"/>
      <c r="I300" s="555"/>
      <c r="J300" s="559"/>
      <c r="K300" s="555"/>
    </row>
    <row r="301" spans="1:13" ht="15.6" x14ac:dyDescent="0.3">
      <c r="A301" s="520"/>
      <c r="B301" s="520"/>
      <c r="C301" s="58" t="s">
        <v>334</v>
      </c>
      <c r="D301" s="58"/>
      <c r="E301" s="165"/>
      <c r="F301" s="390" t="str">
        <f>IF(E301="","", IF(LEFT('Quantification Tool R5'!$B$12,2)="67",  IF( AND(E301&gt;=45,E301&lt;=65),1, IF(OR(E301&lt;=20,E301&gt;=90),0, ROUND(  IF(E301&lt;45, E301*'Reference Standards'!$S$498+'Reference Standards'!$S$499,E301*'Reference Standards'!$T$498+'Reference Standards'!$T$499),2))), IF(OR(  LEFT('Quantification Tool R5'!$B$12,2)="68", LEFT('Quantification Tool R5'!$B$12,2)="69",LEFT('Quantification Tool R5'!$B$12,2)="71"),  IF( AND(E301&gt;=30,E301&lt;=50),1, IF(OR(E301&lt;=10,E301&gt;=70),0, ROUND(  IF(E301&lt;30, E301*'Reference Standards'!$S$533+'Reference Standards'!$S$534,E301*'Reference Standards'!$T$533+'Reference Standards'!$T$534),2))), IF(LEFT('Quantification Tool R5'!$B$12,2)="66",  IF( AND(E301&gt;=20,E301&lt;=45),1, IF(OR(E301&lt;=0,E301&gt;=90),0, ROUND(  IF(E301&lt;20, E301*'Reference Standards'!$S$567+'Reference Standards'!$S$568,E301*'Reference Standards'!$T$567+'Reference Standards'!$T$568),2))), IF(OR(  LEFT('Quantification Tool R5'!$B$12,2)="65", LEFT('Quantification Tool R5'!$B$12,2)="74", LEFT('Quantification Tool R5'!$B$12,2)="73"),  IF( AND(E301&gt;=20,E301&lt;=30),1, IF(OR(E301&lt;=0,E301&gt;=50),0, ROUND(  IF(E301&lt;20, E301*'Reference Standards'!$S$601+'Reference Standards'!$S$602,E301*'Reference Standards'!$T$601+'Reference Standards'!$T$602),2))))))))</f>
        <v/>
      </c>
      <c r="G301" s="529"/>
      <c r="H301" s="567"/>
      <c r="I301" s="555"/>
      <c r="J301" s="559"/>
      <c r="K301" s="555"/>
    </row>
    <row r="302" spans="1:13" ht="15.6" x14ac:dyDescent="0.3">
      <c r="A302" s="520"/>
      <c r="B302" s="521"/>
      <c r="C302" s="62" t="s">
        <v>210</v>
      </c>
      <c r="D302" s="58"/>
      <c r="E302" s="167"/>
      <c r="F302" s="391" t="str">
        <f>IF(E302="","",IF(E302&gt;=1.6,0,IF(E302&lt;=1,1,ROUND('Reference Standards'!$S$633*E302^3+'Reference Standards'!$S$634*E302^2+'Reference Standards'!$S$635*E302+'Reference Standards'!$S$636,2))))</f>
        <v/>
      </c>
      <c r="G302" s="530"/>
      <c r="H302" s="567"/>
      <c r="I302" s="555"/>
      <c r="J302" s="559"/>
      <c r="K302" s="555"/>
    </row>
    <row r="303" spans="1:13" ht="15.6" x14ac:dyDescent="0.3">
      <c r="A303" s="521"/>
      <c r="B303" s="296" t="s">
        <v>55</v>
      </c>
      <c r="C303" s="242" t="s">
        <v>54</v>
      </c>
      <c r="D303" s="243"/>
      <c r="E303" s="163"/>
      <c r="F303" s="342" t="str">
        <f>IF(E303="","",IF(AND('Quantification Tool R5'!B$11="E",'Quantification Tool R5'!$B$14="Sand",'Quantification Tool R5'!$B$21="Unconfined Alluvial"),ROUND(IF(OR(E303&gt;1.8,E303&lt;1.3),0,IF(E303&lt;=1.6,1,E303*'Reference Standards'!S$667+'Reference Standards'!S$668)),2),    IF('Quantification Tool R5'!$B$21="Unconfined Alluvial",ROUND(IF(OR(E303&lt;1.2, E303&gt;1.5),0,IF(E303&lt;=1.4,1,E303*'Reference Standards'!$S$700+'Reference Standards'!$S$701)),2), IF('Quantification Tool R5'!$B$21="Confined Alluvial",ROUND(IF(E303&lt;1.15,0,IF(E303&lt;=1.4,E303*'Reference Standards'!$S$729+'Reference Standards'!$S$730,1)),2),  IF('Quantification Tool R5'!$B$21="Colluvial",ROUND(IF(E303&gt;1.3,0,IF(E303&gt;1.2,E303*'Reference Standards'!$S$760+'Reference Standards'!$S$761,1)),2) )))))</f>
        <v/>
      </c>
      <c r="G303" s="84" t="str">
        <f>IFERROR(AVERAGE(F303),"")</f>
        <v/>
      </c>
      <c r="H303" s="567"/>
      <c r="I303" s="555"/>
      <c r="J303" s="559"/>
      <c r="K303" s="555"/>
      <c r="L303" s="13"/>
    </row>
    <row r="304" spans="1:13" ht="15.6" x14ac:dyDescent="0.3">
      <c r="A304" s="537" t="s">
        <v>58</v>
      </c>
      <c r="B304" s="67" t="s">
        <v>88</v>
      </c>
      <c r="C304" s="70" t="s">
        <v>338</v>
      </c>
      <c r="D304" s="70"/>
      <c r="E304" s="43"/>
      <c r="F304" s="343" t="str">
        <f>IF(E304="","",ROUND(IF(E304&gt;=942,0,IF(E304&lt;=487,E304*'Reference Standards'!AB$15+'Reference Standards'!AB$16,E304*'Reference Standards'!$AC$15+'Reference Standards'!$AC$16)),2))</f>
        <v/>
      </c>
      <c r="G304" s="85" t="str">
        <f>IFERROR(AVERAGE(F304),"")</f>
        <v/>
      </c>
      <c r="H304" s="547" t="str">
        <f>IFERROR(ROUND(AVERAGE(G304:G307),2),"")</f>
        <v/>
      </c>
      <c r="I304" s="534" t="str">
        <f>IF(H304="","",IF(H304&gt;0.69,"Functioning",IF(H304&gt;0.29,"Functioning At Risk",IF(H304&gt;-1,"Not Functioning"))))</f>
        <v/>
      </c>
      <c r="J304" s="559"/>
      <c r="K304" s="555"/>
      <c r="L304" s="13"/>
    </row>
    <row r="305" spans="1:12" ht="15.6" x14ac:dyDescent="0.3">
      <c r="A305" s="538"/>
      <c r="B305" s="297" t="s">
        <v>362</v>
      </c>
      <c r="C305" s="66" t="s">
        <v>354</v>
      </c>
      <c r="D305" s="66"/>
      <c r="E305" s="163"/>
      <c r="F305" s="344" t="str">
        <f>IF(E305="","",IF(OR('Quantification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June")),IF(E305&gt;93,0,IF(E305&lt;13,1,ROUND('Reference Standards'!$AB$53*E305^2+'Reference Standards'!$AB$54*E305+'Reference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R5'!$B$12="73b"),IF(E305&gt;94,0,IF(E305&lt;17,1,ROUND('Reference Standards'!$AC$53*E305^2+'Reference Standards'!$AC$54*E305+'Reference Standards'!$AC$55,2))),    IF(OR(AND(OR('Quantification Tool R5'!$B$12="68b",'Quantification Tool R5'!$B$12="71i"),'Quantification Tool R5'!$B$13&gt;2), 'Quantification Tool R5'!$B$12="71e"),IF(E305&gt;91,0,IF(E305&lt;24,1,ROUND('Reference Standards'!$AD$53*E305^2+'Reference Standards'!$AD$54*E305+'Reference Standards'!$AD$55,2))),  IF(OR(AND(OR('Quantification Tool R5'!$B$12="71f",'Quantification Tool R5'!$B$12="71g",'Quantification Tool R5'!$B$12="71h",'Quantification Tool R5'!$B$12="71i"),'Quantification Tool R5'!$B$13&lt;=2), AND('Quantification Tool R5'!$B$12="74a",'Quantification Tool R5'!$B$13&gt;2)),IF(E305&gt;95,0,IF(E305&lt;=36,1,ROUND('Reference Standards'!$AE$53*E305^2+'Reference Standards'!$AE$54*E305+'Reference Standards'!$AE$55,2))))))))</f>
        <v/>
      </c>
      <c r="G305" s="236" t="str">
        <f>IFERROR(AVERAGE(F305:F305),"")</f>
        <v/>
      </c>
      <c r="H305" s="548"/>
      <c r="I305" s="535"/>
      <c r="J305" s="559"/>
      <c r="K305" s="555"/>
      <c r="L305" s="21"/>
    </row>
    <row r="306" spans="1:12" ht="15.6" x14ac:dyDescent="0.3">
      <c r="A306" s="538"/>
      <c r="B306" s="67" t="s">
        <v>81</v>
      </c>
      <c r="C306" s="68" t="s">
        <v>281</v>
      </c>
      <c r="D306" s="68"/>
      <c r="E306" s="162"/>
      <c r="F306" s="344" t="str">
        <f>IF(E306="","",IF(ISNUMBER('Quantification Tool R5'!$B$13),IF(OR('Quantification Tool R5'!$B$12="66e",'Quantification Tool R5'!$B$12="66f",'Quantification Tool R5'!$B$12="66g"),ROUND(IF(E306&gt;=0.61,0,IF(E306&lt;=0.01,1,IF(E306&lt;=0.06,E306*'Reference Standards'!$AD$197+'Reference Standards'!$AD$198,E306^2*'Reference Standards'!$AB$196+E306*'Reference Standards'!$AB$197+'Reference Standards'!$AB$198))),2),IF('Quantification Tool R5'!$B$12="68b",ROUND(IF(E306&gt;=1.1,0,IF(E306&lt;=0.17,1,IF(E306&lt;=0.22,E306*'Reference Standards'!$AE$197+'Reference Standards'!$AE$198,E306^2*'Reference Standards'!$AC$196+E306*'Reference Standards'!$AC$197+'Reference Standards'!$AC$198))),2),IF('Quantification Tool R5'!$B$13&lt;=2.5,IF('Quantification Tool R5'!$B$12="69de",ROUND(IF(E306&gt;=0.22,0,IF(E306&lt;=0.01,1,E306^2*'Reference Standards'!$AB$90+E306*'Reference Standards'!$AB$91+'Reference Standards'!$AB$92)),2),IF('Quantification Tool R5'!$B$12="68c",ROUND(IF(E306&gt;=0.87,0,IF(E306&lt;=0.01,1,E306^2*'Reference Standards'!$AC$90+E306*'Reference Standards'!$AC$91+'Reference Standards'!$AC$92)),2),IF('Quantification Tool R5'!$B$12="68a",ROUND(IF(E306&gt;=0.81,0,IF(E306&lt;=0.01,1,E306^2*'Reference Standards'!$AD$90+E306*'Reference Standards'!$AD$91+'Reference Standards'!$AD$92)),2),IF('Quantification Tool R5'!$B$12="65abei",ROUND(IF(E306&gt;=0.67,0,IF(E306&lt;=0.01,1,IF(E306&lt;=0.18,E306*'Reference Standards'!$AG$91+'Reference Standards'!$AG$92,E306*'Reference Standards'!$AE$91+'Reference Standards'!$AE$92))),2),IF('Quantification Tool R5'!$B$12="65j",ROUND(IF(E306&gt;=0.32,0,IF(E306&lt;=0.01,1,IF(E306&lt;=0.25,E306*'Reference Standards'!$AH$91+'Reference Standards'!$AH$92,E306*'Reference Standards'!$AF$91+'Reference Standards'!$AF$92))),2),IF('Quantification Tool R5'!$B$12="71f",ROUND(IF(E306&gt;=3,0,IF(E306&lt;=0,1,IF(E306&lt;=0.01,0.7,E306^2*'Reference Standards'!$AB$126+E306*'Reference Standards'!$AB$127+'Reference Standards'!$AB$128))),2),IF('Quantification Tool R5'!$B$12="74a",ROUND(IF(E306&gt;=0.14,0,IF(E306&lt;=0.01,1,IF(E306&lt;=0.02,0.7,E306^2*'Reference Standards'!$AC$126+E306*'Reference Standards'!$AC$127+'Reference Standards'!$AC$128))),2),IF(OR('Quantification Tool R5'!$B$12="67fhi",'Quantification Tool R5'!$B$12="67g"),ROUND(IF(E306&gt;=1.9,0,IF(E306&lt;=0.01,1,IF(E306&lt;=0.05,E306*'Reference Standards'!$AF$127+'Reference Standards'!$AF$128,E306^2*'Reference Standards'!$AD$126+E306*'Reference Standards'!$AD$127+'Reference Standards'!$AD$128))),2),IF('Quantification Tool R5'!$B$12="73a",ROUND(IF(E306&gt;=1.44,0,IF(E306&lt;=0.01,1,IF(E306&lt;=0.12,E306*'Reference Standards'!$AG$127+'Reference Standards'!$AG$128,E306^2*'Reference Standards'!$AE$126+E306*'Reference Standards'!$AE$127+'Reference Standards'!$AE$128))),2),IF('Quantification Tool R5'!$B$12="66d",ROUND(IF(E306&gt;=0.46,0,IF(E306&lt;=0.02,1,IF(E306&lt;=0.08,E306*'Reference Standards'!$AF$163+'Reference Standards'!$AF$164,E306^2*'Reference Standards'!$AB$162+E306*'Reference Standards'!$AB$163+'Reference Standards'!$AB$164))),2),IF(OR('Quantification Tool R5'!$B$12="71g",'Quantification Tool R5'!$B$12="71h",'Quantification Tool R5'!$B$12="71i"),ROUND(IF(E306&gt;=3,0,IF(E306&lt;=0.06,1,IF(E306&lt;=0.24,E306*'Reference Standards'!$AG$163+'Reference Standards'!$AG$164,E306^2*'Reference Standards'!$AC$162+E306*'Reference Standards'!$AC$163+'Reference Standards'!$AC$164))),2),IF('Quantification Tool R5'!$B$12="74b",ROUND(IF(E306&gt;=1.3,0,IF(E306&lt;=0.29,1,IF(E306&lt;=0.48,E306*'Reference Standards'!$AH$163+'Reference Standards'!$AH$164,E306^2*'Reference Standards'!$AD$162+E306*'Reference Standards'!$AD$163+'Reference Standards'!$AD$164))),2),IF('Quantification Tool R5'!$B$12="71e",ROUND(IF(E306&gt;=4.3,0,IF(E306&lt;=0.53,1,IF(E306&lt;=0.67,E306*'Reference Standards'!$AI$163+'Reference Standards'!$AI$164,E306^2*'Reference Standards'!$AE$162+E306*'Reference Standards'!$AE$163+'Reference Standards'!$AE$164))),2)))))))))))))),IF('Quantification Tool R5'!$B$13&gt;2.5,IF('Quantification Tool R5'!$B$12="73a",ROUND(IF(E306&gt;=0.55,0,IF(E306&lt;=0,1,E306^2*'Reference Standards'!$AB$232+E306*'Reference Standards'!$AB$233+'Reference Standards'!$AB$234)),2),IF('Quantification Tool R5'!$B$12="68a",ROUND(IF(E306&gt;=0.54,0,IF(E306&lt;=0,1,IF(E306&lt;=0.01,0.85,E306^2*'Reference Standards'!$AC$232+E306*'Reference Standards'!$AC$233+'Reference Standards'!$AC$234))),2),IF('Quantification Tool R5'!$B$12="74a",ROUND(IF(E306&gt;=0.47,0,IF(E306&lt;=0.01,1,IF(E306&lt;=0.02,0.7,E306^2*'Reference Standards'!$AD$232+E306*'Reference Standards'!$AD$233+'Reference Standards'!$AD$234))),2),IF('Quantification Tool R5'!$B$12="69de",ROUND(IF(E306&gt;=0.26,0,IF(E306&lt;=0.01,1,IF(E306&lt;=0.02,0.85,E306^2*'Reference Standards'!$AE$232+E306*'Reference Standards'!$AE$233+'Reference Standards'!$AE$234))),2),IF('Quantification Tool R5'!$B$12="71f",ROUND(IF(E306&gt;=0.87,0,IF(E306&lt;=0.01,1,IF(E306&lt;=0.04,E306*'Reference Standards'!$AF$269+'Reference Standards'!$AF$270,E306^2*'Reference Standards'!$AB$268+E306*'Reference Standards'!$AB$269+'Reference Standards'!$AB$270))),2),IF('Quantification Tool R5'!$B$12="65abei",ROUND(IF(E306&gt;=0.82,0,IF(E306&lt;=0.01,1,IF(E306&lt;=0.06,E306*'Reference Standards'!$AG$269+'Reference Standards'!$AG$270,E306^2*'Reference Standards'!$AC$268+E306*'Reference Standards'!$AC$269+'Reference Standards'!$AC$270))),2),IF('Quantification Tool R5'!$B$12="65j",ROUND(IF(E306&gt;=0.33,0,IF(E306&lt;=0.03,1,IF(E306&lt;=0.09,E306*'Reference Standards'!$AH$269+'Reference Standards'!$AH$270,E306^2*'Reference Standards'!$AD$268+E306*'Reference Standards'!$AD$269+'Reference Standards'!$AD$270))),2),IF('Quantification Tool R5'!$B$12="68c",ROUND(IF(E306&gt;=0.7,0,IF(E306&lt;=0.07,1,IF(E306&lt;=0.12,E306*'Reference Standards'!$AI$269+'Reference Standards'!$AI$270,E306^2*'Reference Standards'!$AE$268+E306*'Reference Standards'!$AE$269+'Reference Standards'!$AE$270))),2),IF(OR('Quantification Tool R5'!$B$12="67fhi",'Quantification Tool R5'!$B$12="67g"),ROUND(IF(E306&gt;=1.8,0,IF(E306&lt;=0.08,1,IF(E306&lt;=0.2,E306*'Reference Standards'!$AF$306+'Reference Standards'!$AF$307,E306^2*'Reference Standards'!$AB$305+E306*'Reference Standards'!$AB$306+'Reference Standards'!$AB$307))),2),IF('Quantification Tool R5'!$B$12="74b",ROUND(IF(E306&gt;=0.96,0,IF(E306&lt;=0.12,1,IF(E306&lt;=0.16,E306*'Reference Standards'!$AG$306+'Reference Standards'!$AG$307,E306^2*'Reference Standards'!$AC$305+E306*'Reference Standards'!$AC$306+'Reference Standards'!$AC$307))),2),IF('Quantification Tool R5'!$B$12="66d",ROUND(IF(E306&gt;=0.75,0,IF(E306&lt;=0.13,1,IF(E306&lt;=0.2,E306*'Reference Standards'!$AH$306+'Reference Standards'!$AH$307,E306^2*'Reference Standards'!$AD$305+E306*'Reference Standards'!$AD$306+'Reference Standards'!$AD$307))),2),IF(OR('Quantification Tool R5'!$B$12="71g",'Quantification Tool R5'!$B$12="71h",'Quantification Tool R5'!$B$12="71i"),ROUND(IF(E306&gt;=1.68,0,IF(E306&lt;=0.08,1,IF(E306&lt;=0.23,E306*'Reference Standards'!$AI$306+'Reference Standards'!$AI$307,E306^2*'Reference Standards'!$AE$305+E306*'Reference Standards'!$AE$306+'Reference Standards'!$AE$307))),2),IF('Quantification Tool R5'!$B$12="71e",ROUND(IF(E306&gt;=5.3,0,IF(E306&lt;=0.94,1,IF(E306&lt;=1.4,E306*'Reference Standards'!$AF$310+'Reference Standards'!$AF$311,E306^2*'Reference Standards'!$AB$309+E306*'Reference Standards'!$AB$310+'Reference Standards'!$AB$311))),2))))))))))))))))))))</f>
        <v/>
      </c>
      <c r="G306" s="86" t="str">
        <f>IFERROR(AVERAGE(F306),"")</f>
        <v/>
      </c>
      <c r="H306" s="548"/>
      <c r="I306" s="535"/>
      <c r="J306" s="559"/>
      <c r="K306" s="555"/>
      <c r="L306" s="21"/>
    </row>
    <row r="307" spans="1:12" ht="15.6" x14ac:dyDescent="0.3">
      <c r="A307" s="539"/>
      <c r="B307" s="298" t="s">
        <v>82</v>
      </c>
      <c r="C307" s="66" t="s">
        <v>280</v>
      </c>
      <c r="D307" s="66"/>
      <c r="E307" s="136"/>
      <c r="F307" s="343" t="str">
        <f>IF(E307="","", IF(ISNUMBER('Quantification Tool R5'!$B$13),IF('Quantification Tool R5'!$B$13&gt;2.5,IF(OR('Quantification Tool R5'!$B$12="71h",'Quantification Tool R5'!$B$12="71i",'Quantification Tool R5'!$B$12="73a",'Quantification Tool R5'!$B$12="74a"),IF(E307&lt;=0.01,1,IF(OR('Quantification Tool R5'!$B$12="71h",'Quantification Tool R5'!$B$12="71i"),IF(E307&gt;0.37,0,ROUND(IF(E307&gt;0.03,'Reference Standards'!$AB$425*E307^2+'Reference Standards'!$AB$426*E307+'Reference Standards'!$AB$427,'Reference Standards'!$AF$426*E307+'Reference Standards'!$AF$427),2)),  IF('Quantification Tool R5'!$B$12="73a",IF(E307&gt;0.405,0,ROUND(IF(E307&gt;0.046,'Reference Standards'!$AC$425*E307^2+'Reference Standards'!$AC$426*E307+'Reference Standards'!$AC$427,'Reference Standards'!$AG$426*E307+'Reference Standards'!$AG$427),2)),IF('Quantification Tool R5'!$B$12="74a",IF(E307&gt;0.3,0,ROUND(IF(E307&gt;0.052,'Reference Standards'!$AD$425*E307^2+'Reference Standards'!$AD$426*E307+'Reference Standards'!$AD$427,'Reference Standards'!$AH$426*E307+'Reference Standards'!$AH$427),2)))))),   IF(E307&lt;=0.002,1,IF(OR('Quantification Tool R5'!$B$12="66d",'Quantification Tool R5'!$B$12="66e",'Quantification Tool R5'!$B$12="66g"),IF(E307&gt;0.053,0,ROUND(E307^2*'Reference Standards'!$AB$347+E307*'Reference Standards'!$AB$348+'Reference Standards'!$AB$349,2)), IF('Quantification Tool R5'!$B$12="68b",IF(E307&gt;0.05,0,ROUND(E307^2*'Reference Standards'!$AC$347+E307*'Reference Standards'!$AC$348+'Reference Standards'!$AC$349,2)),  IF(OR('Quantification Tool R5'!$B$12="68a",'Quantification Tool R5'!$B$12="68c"),IF(E307&gt;0.07,0,ROUND(E307^2*'Reference Standards'!$AD$347+E307*'Reference Standards'!$AD$348+'Reference Standards'!$AD$349,2)), IF(OR('Quantification Tool R5'!$B$12="71f",'Quantification Tool R5'!$B$12="71g"),IF(E307&gt;0.13,0,ROUND(IF(E307&gt;0.042,E307*'Reference Standards'!$AE$348+'Reference Standards'!$AE$349,E307*'Reference Standards'!$AF$348+'Reference Standards'!$AF$349),2)), IF('Quantification Tool R5'!$B$12="67fhi",IF(E307&gt;0.16,0,ROUND(E307^2*'Reference Standards'!$AG$347+E307*'Reference Standards'!$AG$348+'Reference Standards'!$AG$349,2)),  IF('Quantification Tool R5'!$B$12="65j",IF(E307&gt;0.035,0,ROUND(IF(E307&lt;=0.003,0.7,E307^2*'Reference Standards'!$AB$387+E307*'Reference Standards'!$AB$388+'Reference Standards'!$AB$389),2)),IF('Quantification Tool R5'!$B$12="69de",IF(E307&gt;0.037,0,ROUND(IF(E307&lt;=0.003,0.7,E307^2*'Reference Standards'!$AC$387+E307*'Reference Standards'!$AC$388+'Reference Standards'!$AC$389),2)),IF('Quantification Tool R5'!$B$12="71e",IF(E307&gt;0.23,0,ROUND(IF(E307&lt;=0.003,0.7,E307^2*'Reference Standards'!$AD$387+E307*'Reference Standards'!$AD$388+'Reference Standards'!$AD$389),2)),IF('Quantification Tool R5'!$B$12="66f",IF(E307&gt;0.06,0,ROUND(IF(E307&lt;=0.003,0.85,IF(E307&lt;=0.004,0.7,E307^2*'Reference Standards'!$AE$387+E307*'Reference Standards'!$AE$388+'Reference Standards'!$AE$389)),2)),IF('Quantification Tool R5'!$B$12="67g",IF(E307&gt;0.11,0,ROUND(IF(E307&lt;=0.01,E307*'Reference Standards'!$AH$388+'Reference Standards'!$AH$389, E307^2*'Reference Standards'!$AF$387+E307*'Reference Standards'!$AF$388+'Reference Standards'!$AF$389),2)),IF('Quantification Tool R5'!$B$12="74b",IF(E307&gt;0.49,0,ROUND(IF(E307&lt;=0.01,E307*'Reference Standards'!$AH$388+'Reference Standards'!$AH$389, E307^2*'Reference Standards'!$AG$387+E307*'Reference Standards'!$AG$388+'Reference Standards'!$AG$389),2)),IF('Quantification Tool R5'!$B$12="65abei",IF(E307&gt;0.199,0,ROUND(IF(E307&lt;=0.01,E307*'Reference Standards'!$AI$426+'Reference Standards'!$AI$427, E307^2*'Reference Standards'!$AE$425+E307*'Reference Standards'!$AE$426+'Reference Standards'!$AE$427),2))    )))))))))))))),      IF('Quantification Tool R5'!$B$13&lt;=2.5, IF(OR('Quantification Tool R5'!$B$12="66d",'Quantification Tool R5'!$B$12="66e",'Quantification Tool R5'!$B$12="66g"),IF(E307&gt;0.05,0,ROUND(IF(E307&lt;=0.002,1,IF(E307&lt;=0.005,E307*'Reference Standards'!$AF$464+'Reference Standards'!$AF$465, E307^2*'Reference Standards'!$AB$463+E307*'Reference Standards'!$AB$464+'Reference Standards'!$AB$465)),2)), IF('Quantification Tool R5'!$B$12="67fhi",IF(E307&gt;0.1,0,ROUND(IF(E307&lt;=0.002,1,IF(E307&lt;=0.006,E307*'Reference Standards'!$AG$464+'Reference Standards'!$AG$465, E307^2*'Reference Standards'!$AC$463+E307*'Reference Standards'!$AC$464+'Reference Standards'!$AC$465)),2)), IF('Quantification Tool R5'!$B$12="65abei",IF(E307&gt;0.13,0,ROUND(IF(E307&lt;=0.003,1,IF(E307&lt;=0.008,E307*'Reference Standards'!$AH$464+'Reference Standards'!$AH$465, E307^2*'Reference Standards'!$AD$463+E307*'Reference Standards'!$AD$464+'Reference Standards'!$AD$465)),2)), IF('Quantification Tool R5'!$B$12="68b",IF(E307&gt;0.043,0,ROUND(IF(E307&lt;=0.004,1, IF(E307&lt;=0.005,0.7, E307^2*'Reference Standards'!$AE$463+E307*'Reference Standards'!$AE$464+'Reference Standards'!$AE$465)),2)), IF('Quantification Tool R5'!$B$12="69de",IF(E307&gt;=0.034,0,ROUND(IF(E307&lt;=0.003,1, IF(E307&lt;=0.006,E307*'Reference Standards'!$AG$500+'Reference Standards'!$AG$501, E307*'Reference Standards'!$AB$500+'Reference Standards'!$AB$501)),2)), IF(OR('Quantification Tool R5'!$B$12="68a",'Quantification Tool R5'!$B$12="68c"),IF(E307&gt;0.202,0,ROUND(IF(E307&lt;=0.003,1, IF(E307&lt;=0.006,E307*'Reference Standards'!$AG$500+'Reference Standards'!$AG$501, IF(E307&gt;=0.04,E307*'Reference Standards'!$AC$500+'Reference Standards'!$AC$501,E307*'Reference Standards'!$AE$500+'Reference Standards'!$AE$501))),2)), IF(OR('Quantification Tool R5'!$B$12="71f",'Quantification Tool R5'!$B$12="71g"),IF(E307&gt;0.631,0,ROUND(IF(E307&lt;=0.003,1, IF(E307&lt;=0.006,E307*'Reference Standards'!$AG$500+'Reference Standards'!$AG$501, IF(E307&gt;=0.17,E307*'Reference Standards'!$AD$500+'Reference Standards'!$AD$501,E307*'Reference Standards'!$AF$500+'Reference Standards'!$AF$501))),2)),   IF('Quantification Tool R5'!$B$12="71e",IF(E307&gt;1.23,0,ROUND(IF(E307&lt;=0.004,1,IF(E307&lt;=0.006,E307*'Reference Standards'!$AF$538+'Reference Standards'!$AF$539, E307^2*'Reference Standards'!$AB$537+E307*'Reference Standards'!$AB$538+'Reference Standards'!$AB$539)),2)), IF('Quantification Tool R5'!$B$12="67g",IF(E307&gt;0.11,0,ROUND(IF(E307&lt;=0.006,1,IF(E307&lt;=0.011,E307*'Reference Standards'!$AG$538+'Reference Standards'!$AG$539, E307^2*'Reference Standards'!$AC$537+E307*'Reference Standards'!$AC$538+'Reference Standards'!$AC$539)),2)), IF('Quantification Tool R5'!$B$12="65j",IF(E307&gt;0.046,0,ROUND(IF(E307&lt;=0.007,1,IF(E307&lt;=0.012,E307*'Reference Standards'!$AH$538+'Reference Standards'!$AH$539, E307^2*'Reference Standards'!$AD$537+E307*'Reference Standards'!$AD$538+'Reference Standards'!$AD$539)),2)), IF('Quantification Tool R5'!$B$12="66f",IF(E307&gt;0.081,0,ROUND(IF(E307&lt;=0.008,1,IF(E307&lt;=0.011,E307*'Reference Standards'!$AI$538+'Reference Standards'!$AI$539, E307^2*'Reference Standards'!$AE$537+E307*'Reference Standards'!$AE$538+'Reference Standards'!$AE$539)),2)), IF(OR('Quantification Tool R5'!$B$12="71h",'Quantification Tool R5'!$B$12="71i"),IF(E307&gt;0.37,0,ROUND(IF(E307&lt;=0.013,1,IF(E307&lt;=0.032,E307*'Reference Standards'!$AH$576+'Reference Standards'!$AH$577, IF(E307&lt;=0.3,E307*'Reference Standards'!$AF$576+'Reference Standards'!$AF$577,E307*'Reference Standards'!$AB$576+'Reference Standards'!$AB$577))),2)), IF('Quantification Tool R5'!$B$12="73a",IF(E307&gt;0.448,0,ROUND(IF(E307&lt;=0.071,1,IF(E307&lt;=0.086,E307*'Reference Standards'!$AJ$576+'Reference Standards'!$AJ$577, IF(E307&lt;=0.165,E307*'Reference Standards'!$AG$576+'Reference Standards'!$AG$577,E307*'Reference Standards'!$AE$576+'Reference Standards'!$AE$577))),2)),  IF('Quantification Tool R5'!$B$12="74b",IF(E307&gt;0.43,0,ROUND(IF(E307&lt;=0.018,1,IF(E307&lt;=0.019,0.85, IF(E307&lt;=0.02,0.7, E307^2*'Reference Standards'!$AC$575+E307*'Reference Standards'!$AC$576+'Reference Standards'!$AC$577))),2)), IF('Quantification Tool R5'!$B$12="74a",IF(E307&gt;0.217,0,ROUND(IF(E307&lt;=0.02,1,IF(E307&lt;=0.033,E307*'Reference Standards'!$AI$576+'Reference Standards'!$AI$577, E307^2*'Reference Standards'!$AD$575+E307*'Reference Standards'!$AD$576+'Reference Standards'!$AD$577)),2))     )))))))))))))))))))</f>
        <v/>
      </c>
      <c r="G307" s="87" t="str">
        <f>IFERROR(AVERAGE(F307),"")</f>
        <v/>
      </c>
      <c r="H307" s="549"/>
      <c r="I307" s="536"/>
      <c r="J307" s="559"/>
      <c r="K307" s="555"/>
      <c r="L307" s="21"/>
    </row>
    <row r="308" spans="1:12" ht="15.6" x14ac:dyDescent="0.3">
      <c r="A308" s="550" t="s">
        <v>59</v>
      </c>
      <c r="B308" s="560" t="s">
        <v>340</v>
      </c>
      <c r="C308" s="125" t="s">
        <v>331</v>
      </c>
      <c r="D308" s="126"/>
      <c r="E308" s="166"/>
      <c r="F308" s="345" t="str">
        <f>IF(E308="","",IF(OR('Quantification Tool R5'!B$12="73a",'Quantification Tool R5'!B$12="73b"),IF(E308&lt;1,0,IF(E308&gt;=30,1,ROUND(IF(E308&lt;22,'Reference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531" t="str">
        <f>IFERROR(AVERAGE(F308:F311),"")</f>
        <v/>
      </c>
      <c r="H308" s="568" t="str">
        <f>IFERROR(ROUND(AVERAGE(G308:G313),2),"")</f>
        <v/>
      </c>
      <c r="I308" s="519" t="str">
        <f>IF(H308="","",IF(H308&gt;0.69,"Functioning",IF(H308&gt;0.29,"Functioning At Risk",IF(H308&gt;-1,"Not Functioning"))))</f>
        <v/>
      </c>
      <c r="J308" s="559"/>
      <c r="K308" s="555"/>
      <c r="L308" s="21"/>
    </row>
    <row r="309" spans="1:12" ht="15.6" x14ac:dyDescent="0.3">
      <c r="A309" s="556"/>
      <c r="B309" s="561"/>
      <c r="C309" s="174" t="s">
        <v>335</v>
      </c>
      <c r="D309" s="175"/>
      <c r="E309" s="165"/>
      <c r="F309" s="346" t="str">
        <f>IF(E309="","",IF(AND('Quantification Tool R5'!$B$12="74b",'Quantification Tool R5'!$B$13&lt;=2),IF(E309&lt;0,0,IF(E309&gt;15.6,0.69,ROUND('Reference Standards'!$AL$54*E309^2+'Reference Standards'!$AL$55*E309+'Reference Standards'!$AL$56,2))),IF(AND('Quantification Tool R5'!$B$12="65abei",'Quantification Tool R5'!$B$13&lt;=2),IF(E309&lt;0,0,IF(E309&gt;=20,0.69,ROUND('Reference Standards'!$AM$54*E309^2+'Reference Standards'!$AM$55*E309+'Reference Standards'!$AM$56,2))),IF(OR(AND('Quantification Tool R5'!$B$12="74a",'Quantification Tool R5'!$B$13&gt;2,'Quantification Tool R5'!$B$19="January - June"),AND('Quantification Tool R5'!$B$12="71i",'Quantification Tool R5'!$B$13&gt;2,'Quantification Tool R5'!$B$20="SQBANK")),IF(E309&lt;0,0,IF(E309&gt;24.7,0.69,ROUND('Reference Standards'!$AN$54*E309^2+'Reference Standards'!$AN$55*E309+'Reference Standards'!$AN$56,2))),IF(OR('Quantification Tool R5'!$B$12="74b",'Quantification Tool R5'!$B$12="65abei"),IF(E309&lt;0,0,IF(E309&gt;32.7,0.69,ROUND('Reference Standards'!$AO$54*E309^2+'Reference Standards'!$AO$55*E309+'Reference Standards'!$AO$56,2))),IF(AND('Quantification Tool R5'!$B$12="68b",'Quantification Tool R5'!$B$13&gt;2),IF(E309&lt;0,0,IF(E309&gt;41.2,0.69,ROUND('Reference Standards'!$AP$54*E309^2+'Reference Standards'!$AP$55*E309+'Reference Standards'!$AP$56,2))),IF(OR(AND('Quantification Tool R5'!$B$12="71i",'Quantification Tool R5'!$B$13&lt;=2),AND(OR('Quantification Tool R5'!$B$12="68c",'Quantification Tool R5'!$B$12="68d"),'Quantification Tool R5'!$B$19="January - June")),IF(E309&lt;0,0,IF(E309&gt;49.2,0.69,ROUND('Reference Standards'!$AL$94*E309^2+'Reference Standards'!$AL$95*E309+'Reference Standards'!$AL$96,2))),IF(OR(AND('Quantification Tool R5'!$B$12="68a",'Quantification Tool R5'!$B$19="January - June"),AND(OR('Quantification Tool R5'!$B$12="68c",'Quantification Tool R5'!$B$12="68d"),'Quantification Tool R5'!$B$19="July - December")),IF(E309&lt;0,0,IF(E309&gt;53.4,0.69,ROUND('Reference Standards'!$AM$94*E309^2+'Reference Standards'!$AM$95*E309+'Reference Standards'!$AM$96,2))),IF(OR(AND('Quantification Tool R5'!$B$12="71i",'Quantification Tool R5'!$B$13&gt;2,'Quantification Tool R5'!$B$20="SQKICK"),AND(OR('Quantification Tool R5'!$B$12="67fhi",'Quantification Tool R5'!$B$12="67g"),'Quantification Tool R5'!$B$13&lt;=2),'Quantification Tool R5'!$B$12="65j"),IF(E309&lt;0,0,IF(E309&gt;57.8,0.69,ROUND('Reference Standards'!$AN$94*E309^2+'Reference Standards'!$AN$95*E309+'Reference Standards'!$AN$96,2))),IF(OR(AND('Quantification Tool R5'!$B$12="74a",'Quantification Tool R5'!$B$13&gt;2,'Quantification Tool R5'!$B$19="July - December"),AND(OR('Quantification Tool R5'!$B$12="67fhi",'Quantification Tool R5'!$B$12="67g"),'Quantification Tool R5'!$B$13&gt;2),'Quantification Tool R5'!$B$12="69de"),IF(E309&lt;0,0,IF(E309&gt;62.5,0.69,ROUND('Reference Standards'!$AO$94*E309^2+'Reference Standards'!$AO$95*E309+'Reference Standards'!$AO$96,2))),  IF(OR('Quantification Tool R5'!$B$12="66d",'Quantification Tool R5'!$B$12="66e",'Quantification Tool R5'!$B$12="66ik",'Quantification Tool R5'!$B$12="71e",'Quantification Tool R5'!$B$12="71f",'Quantification Tool R5'!$B$12="71g",'Quantification Tool R5'!$B$12="71h"),IF(E309&lt;0,0,IF(E309&gt;66.5,0.69,ROUND('Reference Standards'!$AP$94*E309^2+'Reference Standards'!$AP$95*E309+'Reference Standards'!$AP$96,2))),IF(OR('Quantification Tool R5'!$B$12="66f",'Quantification Tool R5'!$B$12="66g",'Quantification Tool R5'!$B$12="66j",AND('Quantification Tool R5'!$B$12="68a",'Quantification Tool R5'!$B$19="July - December")), IF(E309&lt;0,0,IF(E309&gt;69,0.69,ROUND('Reference Standards'!$AQ$94*E309^2+'Reference Standards'!$AQ$95*E309+'Reference Standards'!$AQ$96,2))))   )))))))))))</f>
        <v/>
      </c>
      <c r="G309" s="531"/>
      <c r="H309" s="568"/>
      <c r="I309" s="519"/>
      <c r="J309" s="559"/>
      <c r="K309" s="555"/>
      <c r="L309" s="21"/>
    </row>
    <row r="310" spans="1:12" ht="15.6" x14ac:dyDescent="0.3">
      <c r="A310" s="556"/>
      <c r="B310" s="561"/>
      <c r="C310" s="174" t="s">
        <v>339</v>
      </c>
      <c r="D310" s="175"/>
      <c r="E310" s="165"/>
      <c r="F310" s="346" t="str">
        <f>IF(E310="","",IF(AND('Quantification Tool R5'!$B$12="74b",'Quantification Tool R5'!$B$13&lt;=2),IF(E310&lt;0,0,IF(E310&gt;8.1,0.69,ROUND('Reference Standards'!$AL$131*E310^2+'Reference Standards'!$AL$132*E310+'Reference Standards'!$AL$133,2))),IF(OR('Quantification Tool R5'!$B$12="73a",'Quantification Tool R5'!$B$12="73b"),IF(E310&lt;0,0,IF(E310&gt;=28,0.69,ROUND('Reference Standards'!$AM$131*E310^2+'Reference Standards'!$AM$132*E310+'Reference Standards'!$AM$133,2))),IF(AND('Quantification Tool R5'!$B$12="74a",'Quantification Tool R5'!$B$13&gt;2,'Quantification Tool R5'!$B$19="January - June"),IF(E310&lt;0,0,IF(E310&gt;=32.5,0.69,ROUND('Reference Standards'!$AN$131*E310^2+'Reference Standards'!$AN$132*E310+'Reference Standards'!$AN$133,2))),IF(AND('Quantification Tool R5'!$B$12="71i",'Quantification Tool R5'!$B$13&gt;2,'Quantification Tool R5'!$B$20="SQBANK"),IF(E310&lt;0,0,IF(E310&gt;=37,0.69,ROUND('Reference Standards'!$AO$131*E310^2+'Reference Standards'!$AO$132*E310+'Reference Standards'!$AO$133,2))),IF(OR(AND(OR('Quantification Tool R5'!$B$12="65abei",'Quantification Tool R5'!$B$12="74b"),'Quantification Tool R5'!$B$13&gt;2),AND('Quantification Tool R5'!$B$12="71i",'Quantification Tool R5'!$B$13&gt;2,'Quantification Tool R5'!$B$20="SQKICK")),IF(E310&lt;0,0,IF(E310&gt;42.6,0.69,ROUND('Reference Standards'!$AP$131*E310^2+'Reference Standards'!$AP$132*E310+'Reference Standards'!$AP$133,2))),     IF(OR(AND('Quantification Tool R5'!$B$12="65abei",'Quantification Tool R5'!$B$13&lt;=2),AND(OR('Quantification Tool R5'!$B$12="68c",'Quantification Tool R5'!$B$12="68d"),'Quantification Tool R5'!$B$19="July - December"),'Quantification Tool R5'!$B$12="71e"),IF(E310&lt;0,0,IF(E310&gt;=48,0.69,ROUND('Reference Standards'!$AL$171*E310^2+'Reference Standards'!$AL$172*E310+'Reference Standards'!$AL$173,2))),IF(OR('Quantification Tool R5'!$B$12="65j",'Quantification Tool R5'!$B$12="67fhi",'Quantification Tool R5'!$B$12="67g",AND('Quantification Tool R5'!$B$12="74a",'Quantification Tool R5'!$B$19="July - December",'Quantification Tool R5'!$B$13&gt;2),AND('Quantification Tool R5'!$B$12="71i",'Quantification Tool R5'!$B$13&lt;=2)),IF(E310&lt;0,0,IF(E310&gt;=53,0.69,ROUND('Reference Standards'!$AM$171*E310^2+'Reference Standards'!$AM$172*E310+'Reference Standards'!$AM$173,2))),IF(OR(AND(OR('Quantification Tool R5'!$B$12="68b",'Quantification Tool R5'!$B$12="71f",'Quantification Tool R5'!$B$12="71g",'Quantification Tool R5'!$B$12="71h"),'Quantification Tool R5'!$B$13&gt;2),'Quantification Tool R5'!$B$12="68a"),IF(E310&lt;0,0,IF(E310&gt;=57,0.69,ROUND('Reference Standards'!$AN$171*E310^2+'Reference Standards'!$AN$172*E310+'Reference Standards'!$AN$173,2))),IF(OR('Quantification Tool R5'!$B$12="66f",'Quantification Tool R5'!$B$12="66g",'Quantification Tool R5'!$B$12="66j",AND(OR('Quantification Tool R5'!$B$12="71f",'Quantification Tool R5'!$B$12="71g",'Quantification Tool R5'!$B$12="71h"),'Quantification Tool R5'!$B$13&lt;=2)),IF(E310&lt;0,0,IF(E310&gt;=60,0.69,ROUND('Reference Standards'!$AO$171*E310^2+'Reference Standards'!$AO$172*E310+'Reference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December")),IF(E310&lt;0,0,IF(E310&gt;=67.5,0.69,ROUND('Reference Standards'!$AP$171*E310^2+'Reference Standards'!$AP$172*E310+'Reference Standards'!$AP$173,2))),IF(AND('Quantification Tool R5'!$B$12="69de",'Quantification Tool R5'!$B$19="January - June"), IF(E310&lt;0,0,IF(E310&gt;=72,0.69,ROUND('Reference Standards'!$AQ$171*E310^2+'Reference Standards'!$AQ$172*E310+'Reference Standards'!$AQ$173,2))))   )))))))))))</f>
        <v/>
      </c>
      <c r="G310" s="531"/>
      <c r="H310" s="568"/>
      <c r="I310" s="519"/>
      <c r="J310" s="559"/>
      <c r="K310" s="555"/>
      <c r="L310" s="21"/>
    </row>
    <row r="311" spans="1:12" ht="15.6" x14ac:dyDescent="0.3">
      <c r="A311" s="556"/>
      <c r="B311" s="562"/>
      <c r="C311" s="127" t="s">
        <v>336</v>
      </c>
      <c r="D311" s="71"/>
      <c r="E311" s="167"/>
      <c r="F311" s="346" t="str">
        <f>IF(E311="","",IF(OR('Quantification Tool R5'!$B$12="67fhi",'Quantification Tool R5'!$B$12="67g",'Quantification Tool R5'!$B$12="71e",'Quantification Tool R5'!$B$12="73a",'Quantification Tool R5'!$B$12="73b",AND(OR('Quantification Tool R5'!$B$12="71f",'Quantification Tool R5'!$B$12="71g",'Quantification Tool R5'!$B$12="71h"),'Quantification Tool R5'!$B$13&gt;2)),IF(E311&gt;100,0,IF(E311&lt;15,0.69,ROUND('Reference Standards'!$AL$208*E311^2+'Reference Standards'!$AL$209*E311+'Reference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),IF(E311&gt;100,0,IF(E311&lt;19,0.69,ROUND('Reference Standards'!$AM$208*E311^2+'Reference Standards'!$AM$209*E311+'Reference Standards'!$AM$210,2))),    IF(OR(AND('Quantification Tool R5'!$B$12="69de",'Quantification Tool R5'!$B$19="January - June"),AND('Quantification Tool R5'!$B$12="71i",'Quantification Tool R5'!$B$13&gt;2,'Quantification Tool R5'!$B$20="SQKICK" )),IF(E311&gt;100,0,IF(E311&lt;22,0.69,ROUND('Reference Standards'!$AN$208*E311^2+'Reference Standards'!$AN$209*E311+'Reference Standards'!$AN$210,2))),    IF(OR('Quantification Tool R5'!$B$12="65j",AND('Quantification Tool R5'!$B$12="68b",'Quantification Tool R5'!$B$13&gt;2)),IF(E311&gt;100,0,IF(E311&lt;24,0.69,ROUND('Reference Standards'!$AO$208*E311^2+'Reference Standards'!$AO$209*E311+'Reference Standards'!$AO$210,2))),    IF(AND(OR('Quantification Tool R5'!$B$12="65abei",'Quantification Tool R5'!$B$12="71f",'Quantification Tool R5'!$B$12="71g",'Quantification Tool R5'!$B$12="71h"),'Quantification Tool R5'!$B$13&lt;=2),IF(E311&gt;95,0,IF(E311&lt;33,0.69,ROUND('Reference Standards'!$AL$246*E311^2+'Reference Standards'!$AL$247*E311+'Reference Standards'!$AL$248,2))),   IF(AND(OR('Quantification Tool R5'!$B$12="65abei",'Quantification Tool R5'!$B$12="74b"),'Quantification Tool R5'!$B$13&gt;2),IF(E311&gt;97,0,IF(E311&lt;36,0.69,ROUND('Reference Standards'!$AM$246*E311^2+'Reference Standards'!$AM$247*E311+'Reference Standards'!$AM$248,2))),  IF(AND('Quantification Tool R5'!$B$12="74a",'Quantification Tool R5'!$B$19="January - June",'Quantification Tool R5'!$B$13&gt;2),IF(E311&gt;93,0,IF(E311&lt;52,0.69,ROUND('Reference Standards'!$AN$246*E311^2+'Reference Standards'!$AN$247*E311+'Reference Standards'!$AN$248,2))),   IF(AND('Quantification Tool R5'!$B$12="74b",'Quantification Tool R5'!$B$13&lt;=2),IF(E311&gt;97,0,IF(E311&lt;62,0.69,ROUND('Reference Standards'!$AO$246*E311^2+'Reference Standards'!$AO$247*E311+'Reference Standards'!$AO$248,2)))  )))))))))</f>
        <v/>
      </c>
      <c r="G311" s="531"/>
      <c r="H311" s="568"/>
      <c r="I311" s="519"/>
      <c r="J311" s="559"/>
      <c r="K311" s="555"/>
      <c r="L311" s="21"/>
    </row>
    <row r="312" spans="1:12" ht="15.6" x14ac:dyDescent="0.3">
      <c r="A312" s="556"/>
      <c r="B312" s="563" t="s">
        <v>74</v>
      </c>
      <c r="C312" s="125" t="s">
        <v>211</v>
      </c>
      <c r="D312" s="126"/>
      <c r="E312" s="166"/>
      <c r="F312" s="345" t="str">
        <f>IF(E312="","",IF(E312=1,0.15,IF(E312=3,0.5,IF(E312=5,0.85,0))))</f>
        <v/>
      </c>
      <c r="G312" s="564" t="str">
        <f>IFERROR(AVERAGE(F312:F313),"")</f>
        <v/>
      </c>
      <c r="H312" s="568"/>
      <c r="I312" s="519"/>
      <c r="J312" s="559"/>
      <c r="K312" s="555"/>
      <c r="L312" s="21"/>
    </row>
    <row r="313" spans="1:12" ht="15.6" x14ac:dyDescent="0.3">
      <c r="A313" s="551"/>
      <c r="B313" s="563"/>
      <c r="C313" s="127" t="s">
        <v>332</v>
      </c>
      <c r="D313" s="71"/>
      <c r="E313" s="167"/>
      <c r="F313" s="347" t="str">
        <f>IF(E313="","",IF(E313=1,0.15,IF(E313=3,0.5,IF(E313=5,0.85,0))))</f>
        <v/>
      </c>
      <c r="G313" s="565"/>
      <c r="H313" s="568"/>
      <c r="I313" s="519"/>
      <c r="J313" s="559"/>
      <c r="K313" s="555"/>
      <c r="L313" s="21"/>
    </row>
    <row r="314" spans="1:12" x14ac:dyDescent="0.3">
      <c r="L314" s="21"/>
    </row>
    <row r="315" spans="1:12" x14ac:dyDescent="0.3">
      <c r="L315" s="21"/>
    </row>
    <row r="316" spans="1:12" ht="21" x14ac:dyDescent="0.4">
      <c r="A316" s="148" t="s">
        <v>135</v>
      </c>
      <c r="B316" s="246"/>
      <c r="C316" s="249" t="s">
        <v>324</v>
      </c>
      <c r="D316" s="246"/>
      <c r="E316" s="247"/>
      <c r="F316" s="248"/>
      <c r="G316" s="544" t="s">
        <v>18</v>
      </c>
      <c r="H316" s="545"/>
      <c r="I316" s="545"/>
      <c r="J316" s="545"/>
      <c r="K316" s="546"/>
      <c r="L316" s="21"/>
    </row>
    <row r="317" spans="1:12" ht="15.6" x14ac:dyDescent="0.3">
      <c r="A317" s="158" t="s">
        <v>1</v>
      </c>
      <c r="B317" s="158" t="s">
        <v>2</v>
      </c>
      <c r="C317" s="542" t="s">
        <v>3</v>
      </c>
      <c r="D317" s="644"/>
      <c r="E317" s="158" t="s">
        <v>15</v>
      </c>
      <c r="F317" s="158" t="s">
        <v>16</v>
      </c>
      <c r="G317" s="158" t="s">
        <v>19</v>
      </c>
      <c r="H317" s="158" t="s">
        <v>20</v>
      </c>
      <c r="I317" s="314" t="s">
        <v>20</v>
      </c>
      <c r="J317" s="158" t="s">
        <v>21</v>
      </c>
      <c r="K317" s="315" t="s">
        <v>21</v>
      </c>
    </row>
    <row r="318" spans="1:12" ht="15.6" x14ac:dyDescent="0.3">
      <c r="A318" s="540" t="s">
        <v>60</v>
      </c>
      <c r="B318" s="299" t="s">
        <v>86</v>
      </c>
      <c r="C318" s="52" t="s">
        <v>388</v>
      </c>
      <c r="D318" s="52"/>
      <c r="E318" s="162"/>
      <c r="F318" s="338" t="str">
        <f>IF(E318="","",IF(E318&lt;=0,0,IF(E318&gt;=0.95,1,ROUND('Reference Standards'!C$14*E318+'Reference Standards'!C$15,2))))</f>
        <v/>
      </c>
      <c r="G318" s="250" t="str">
        <f>IFERROR(AVERAGE(F318),"")</f>
        <v/>
      </c>
      <c r="H318" s="681" t="str">
        <f>IFERROR(ROUND(AVERAGE(G318:G319),2),"")</f>
        <v/>
      </c>
      <c r="I318" s="683" t="str">
        <f>IF(H318="","",IF(H318&gt;0.69,"Functioning",IF(H318&gt;0.29,"Functioning At Risk",IF(H318&gt;-1,"Not Functioning"))))</f>
        <v/>
      </c>
      <c r="J318" s="684" t="str">
        <f>IF(AND(H318="",H320="",H322="",H344="",H348=""),"",ROUND((IF(H318="",0,H318)*0.2)+(IF(H320="",0,H320)*0.2)+(IF(H322="",0,H322)*0.2)+(IF(H344="",0,H344)*0.2)+(IF(H348="",0,H348)*0.2),2))</f>
        <v/>
      </c>
      <c r="K318" s="680" t="str">
        <f>IF(J318="","",IF(J318&lt;0.3, "Not Functioning",IF(OR(H318&lt;0.7,H320&lt;0.7,H322&lt;0.7,H344&lt;0.7,H348&lt;0.7),"Functioning At Risk",IF(J318&lt;0.7,"Functioning At Risk","Functioning"))))</f>
        <v/>
      </c>
    </row>
    <row r="319" spans="1:12" ht="15.6" x14ac:dyDescent="0.3">
      <c r="A319" s="541"/>
      <c r="B319" s="371" t="s">
        <v>128</v>
      </c>
      <c r="C319" s="373" t="s">
        <v>161</v>
      </c>
      <c r="D319" s="374"/>
      <c r="E319" s="43"/>
      <c r="F319" s="372" t="str">
        <f>IF(E319="","",IF(E319&gt;=1,1,IF(E319&lt;=0,0,ROUND(E319,2))))</f>
        <v/>
      </c>
      <c r="G319" s="369" t="str">
        <f>IFERROR(AVERAGE(F319:F319),"")</f>
        <v/>
      </c>
      <c r="H319" s="682"/>
      <c r="I319" s="683"/>
      <c r="J319" s="684"/>
      <c r="K319" s="680"/>
    </row>
    <row r="320" spans="1:12" ht="15.6" x14ac:dyDescent="0.3">
      <c r="A320" s="524" t="s">
        <v>6</v>
      </c>
      <c r="B320" s="572" t="s">
        <v>7</v>
      </c>
      <c r="C320" s="54" t="s">
        <v>8</v>
      </c>
      <c r="D320" s="54"/>
      <c r="E320" s="162"/>
      <c r="F320" s="339" t="str">
        <f>IF(E320="","",ROUND(IF(E320&gt;1.6,0,IF(E320&lt;=1,1,E320^2*'Reference Standards'!K$14+E320*'Reference Standards'!K$15+'Reference Standards'!K$16)),2))</f>
        <v/>
      </c>
      <c r="G320" s="689" t="str">
        <f>IFERROR(AVERAGE(F320:F321),"")</f>
        <v/>
      </c>
      <c r="H320" s="689" t="str">
        <f>IFERROR(ROUND(AVERAGE(G320),2),"")</f>
        <v/>
      </c>
      <c r="I320" s="674" t="str">
        <f>IF(H320="","",IF(H320&gt;0.69,"Functioning",IF(H320&gt;0.29,"Functioning At Risk",IF(H320&gt;-1,"Not Functioning"))))</f>
        <v/>
      </c>
      <c r="J320" s="684"/>
      <c r="K320" s="680"/>
    </row>
    <row r="321" spans="1:13" ht="15.6" x14ac:dyDescent="0.3">
      <c r="A321" s="525"/>
      <c r="B321" s="572"/>
      <c r="C321" s="54" t="s">
        <v>9</v>
      </c>
      <c r="D321" s="54"/>
      <c r="E321" s="163"/>
      <c r="F321" s="339" t="str">
        <f>IF(E321="","",(IF(OR('Quantification Tool R5'!B$11="A",'Quantification Tool R5'!B$11="B",'Quantification Tool R5'!$B$11="Bc"),IF(E321&lt;1.2,0,IF(E321&gt;=2.2,1,ROUND(IF(E321&lt;1.4,E321*'Reference Standards'!$K$84+'Reference Standards'!$K$85,E321*'Reference Standards'!$L$84+'Reference Standards'!$L$85),2))),IF(OR('Quantification Tool R5'!B$11="C",'Quantification Tool R5'!B$11="E"),IF(E321&lt;2,0,IF(E321&gt;=5,1,ROUND(IF(E321&lt;2.4,E321*'Reference Standards'!$L$49+'Reference Standards'!$L$50,E321*'Reference Standards'!$K$49+'Reference Standards'!$K$50),2)))))))</f>
        <v/>
      </c>
      <c r="G321" s="690"/>
      <c r="H321" s="691"/>
      <c r="I321" s="675"/>
      <c r="J321" s="684"/>
      <c r="K321" s="680"/>
    </row>
    <row r="322" spans="1:13" ht="15.6" x14ac:dyDescent="0.3">
      <c r="A322" s="526" t="s">
        <v>26</v>
      </c>
      <c r="B322" s="557" t="s">
        <v>27</v>
      </c>
      <c r="C322" s="60" t="s">
        <v>333</v>
      </c>
      <c r="D322" s="244"/>
      <c r="E322" s="61"/>
      <c r="F322" s="340" t="str">
        <f>IF(E322="","",IF(OR(LEFT('Quantification Tool R5'!$B$12,2)="65",LEFT('Quantification Tool R5'!$B$12,2)="66",LEFT('Quantification Tool R5'!$B$12,2)="71"),IF(E322&gt;=850,1,IF(E322&lt;250,ROUND('Reference Standards'!$S$17*(E322)+'Reference Standards'!$S$18,2),ROUND('Reference Standards'!$T$17*E322+'Reference Standards'!$T$18,2))),  IF(E322&gt;=345,1,IF(E322&lt;=180,ROUND('Reference Standards'!$U$17*(E322)+'Reference Standards'!$U$18,2),ROUND('Reference Standards'!$V$17*E322+'Reference Standards'!$V$18,2))))    )</f>
        <v/>
      </c>
      <c r="G322" s="676" t="str">
        <f>IFERROR(AVERAGE(F322:F323),"")</f>
        <v/>
      </c>
      <c r="H322" s="678" t="str">
        <f>IFERROR(ROUND(AVERAGE(G322:G343),2),"")</f>
        <v/>
      </c>
      <c r="I322" s="680" t="str">
        <f>IF(H322="","",IF(H322&gt;0.69,"Functioning",IF(H322&gt;0.29,"Functioning At Risk",IF(H322&gt;-1,"Not Functioning"))))</f>
        <v/>
      </c>
      <c r="J322" s="684"/>
      <c r="K322" s="680"/>
    </row>
    <row r="323" spans="1:13" ht="15.6" x14ac:dyDescent="0.3">
      <c r="A323" s="520"/>
      <c r="B323" s="558"/>
      <c r="C323" s="63" t="s">
        <v>323</v>
      </c>
      <c r="D323" s="245"/>
      <c r="E323" s="53"/>
      <c r="F323" s="341" t="str">
        <f>IF(E323="","",IF(OR(LEFT('Quantification Tool R5'!$B$12,2)="65",LEFT('Quantification Tool R5'!$B$12,2)="66",LEFT('Quantification Tool R5'!$B$12,2)="71"),IF(E323&gt;=30,1,IF(E323&lt;13,ROUND('Reference Standards'!$S$53*(E323)+'Reference Standards'!$S$54,2),ROUND('Reference Standards'!$T$53*E323+'Reference Standards'!$T$54,2))),  IF(E323&gt;=16,1,IF(E323&lt;=9,ROUND('Reference Standards'!$U$53*(E323)+'Reference Standards'!$U$54,2),ROUND('Reference Standards'!$V$53*E323+'Reference Standards'!$V$54,2))))    )</f>
        <v/>
      </c>
      <c r="G323" s="677"/>
      <c r="H323" s="678"/>
      <c r="I323" s="680"/>
      <c r="J323" s="684"/>
      <c r="K323" s="680"/>
    </row>
    <row r="324" spans="1:13" ht="15.6" x14ac:dyDescent="0.3">
      <c r="A324" s="520"/>
      <c r="B324" s="520" t="s">
        <v>395</v>
      </c>
      <c r="C324" s="58" t="s">
        <v>80</v>
      </c>
      <c r="D324" s="58"/>
      <c r="E324" s="165"/>
      <c r="F324" s="340" t="str">
        <f>IF(E324="","",ROUND(IF(E324&gt;0.7,0,IF(E324&lt;=0.1,1,E324^3*'Reference Standards'!S$87+E324^2*'Reference Standards'!S$88+E324*'Reference Standards'!S$89+'Reference Standards'!S$90)),2))</f>
        <v/>
      </c>
      <c r="G324" s="552" t="str">
        <f>IFERROR(ROUND(AVERAGE(F324:F327),2),"")</f>
        <v/>
      </c>
      <c r="H324" s="679"/>
      <c r="I324" s="680"/>
      <c r="J324" s="684"/>
      <c r="K324" s="680"/>
    </row>
    <row r="325" spans="1:13" ht="15.6" x14ac:dyDescent="0.3">
      <c r="A325" s="520"/>
      <c r="B325" s="520"/>
      <c r="C325" s="58" t="s">
        <v>49</v>
      </c>
      <c r="D325" s="58"/>
      <c r="E325" s="165"/>
      <c r="F325" s="84"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553"/>
      <c r="H325" s="679"/>
      <c r="I325" s="680"/>
      <c r="J325" s="684"/>
      <c r="K325" s="680"/>
    </row>
    <row r="326" spans="1:13" ht="15.6" x14ac:dyDescent="0.3">
      <c r="A326" s="520"/>
      <c r="B326" s="520"/>
      <c r="C326" s="58" t="s">
        <v>87</v>
      </c>
      <c r="D326" s="58"/>
      <c r="E326" s="165"/>
      <c r="F326" s="84" t="str">
        <f>IF(E326="","",ROUND(IF(E326&gt;40,0,IF(E326&lt;5,1,E326^3*'Reference Standards'!S$122+E326^2*'Reference Standards'!S$123+E326*'Reference Standards'!S$124+'Reference Standards'!S$125)),2))</f>
        <v/>
      </c>
      <c r="G326" s="553"/>
      <c r="H326" s="679"/>
      <c r="I326" s="680"/>
      <c r="J326" s="684"/>
      <c r="K326" s="680"/>
    </row>
    <row r="327" spans="1:13" ht="15.6" x14ac:dyDescent="0.3">
      <c r="A327" s="520"/>
      <c r="B327" s="521"/>
      <c r="C327" s="59" t="s">
        <v>394</v>
      </c>
      <c r="D327" s="59"/>
      <c r="E327" s="167"/>
      <c r="F327" s="341" t="str">
        <f>IF(E327="","",ROUND(IF(E327&gt;=30,0,IF(E327&lt;=0,1,E327*'Reference Standards'!S$156+'Reference Standards'!S$157)),2))</f>
        <v/>
      </c>
      <c r="G327" s="554"/>
      <c r="H327" s="679"/>
      <c r="I327" s="680"/>
      <c r="J327" s="684"/>
      <c r="K327" s="680"/>
    </row>
    <row r="328" spans="1:13" ht="15.6" x14ac:dyDescent="0.3">
      <c r="A328" s="520"/>
      <c r="B328" s="520" t="s">
        <v>50</v>
      </c>
      <c r="C328" s="60" t="s">
        <v>377</v>
      </c>
      <c r="D328" s="64"/>
      <c r="E328" s="136"/>
      <c r="F328" s="294" t="str">
        <f>IF(E328="","",ROUND(IF(E328&gt;9.2,1,E328*'Reference Standards'!$S$189+'Reference Standards'!$S$190),2))</f>
        <v/>
      </c>
      <c r="G328" s="685" t="str">
        <f>IFERROR(ROUND(AVERAGE(F328:F337),2),"")</f>
        <v/>
      </c>
      <c r="H328" s="679"/>
      <c r="I328" s="680"/>
      <c r="J328" s="684"/>
      <c r="K328" s="680"/>
    </row>
    <row r="329" spans="1:13" ht="15.6" x14ac:dyDescent="0.3">
      <c r="A329" s="520"/>
      <c r="B329" s="520"/>
      <c r="C329" s="62" t="s">
        <v>378</v>
      </c>
      <c r="D329" s="58"/>
      <c r="E329" s="162"/>
      <c r="F329" s="294" t="str">
        <f>IF(E329="","",ROUND(IF(E329&gt;9.2,1,E329*'Reference Standards'!$S$189+'Reference Standards'!$S$190),2))</f>
        <v/>
      </c>
      <c r="G329" s="686"/>
      <c r="H329" s="679"/>
      <c r="I329" s="680"/>
      <c r="J329" s="684"/>
      <c r="K329" s="680"/>
    </row>
    <row r="330" spans="1:13" ht="15.6" x14ac:dyDescent="0.3">
      <c r="A330" s="520"/>
      <c r="B330" s="520"/>
      <c r="C330" s="62" t="s">
        <v>379</v>
      </c>
      <c r="D330" s="58"/>
      <c r="E330" s="162"/>
      <c r="F330" s="294" t="str">
        <f>IF(E330="","",ROUND( IF(E330&gt;=200,1,IF(E330&lt;50, E330^2*'Reference Standards'!S$224+E330*'Reference Standards'!S$225+'Reference Standards'!S$226, E330*'Reference Standards'!T$224+'Reference Standards'!T$225)),2))</f>
        <v/>
      </c>
      <c r="G330" s="686"/>
      <c r="H330" s="679"/>
      <c r="I330" s="680"/>
      <c r="J330" s="684"/>
      <c r="K330" s="680"/>
    </row>
    <row r="331" spans="1:13" ht="15.6" x14ac:dyDescent="0.3">
      <c r="A331" s="520"/>
      <c r="B331" s="520"/>
      <c r="C331" s="62" t="s">
        <v>380</v>
      </c>
      <c r="D331" s="58"/>
      <c r="E331" s="162"/>
      <c r="F331" s="294" t="str">
        <f>IF(E331="","",ROUND( IF(E331&gt;=200,1,IF(E331&lt;50, E331^2*'Reference Standards'!S$224+E331*'Reference Standards'!S$225+'Reference Standards'!S$226, E331*'Reference Standards'!T$224+'Reference Standards'!T$225)),2))</f>
        <v/>
      </c>
      <c r="G331" s="686"/>
      <c r="H331" s="679"/>
      <c r="I331" s="680"/>
      <c r="J331" s="684"/>
      <c r="K331" s="680"/>
    </row>
    <row r="332" spans="1:13" ht="15.6" x14ac:dyDescent="0.3">
      <c r="A332" s="520"/>
      <c r="B332" s="520"/>
      <c r="C332" s="58" t="s">
        <v>381</v>
      </c>
      <c r="D332" s="58"/>
      <c r="E332" s="162"/>
      <c r="F332" s="294" t="str">
        <f>IF(E332="","",ROUND(IF(AND(E332&gt;=135,E332&lt;=262),1,IF(  E332&gt;=366,0.5, IF(E332&lt;135,E332*'Reference Standards'!S$259+'Reference Standards'!S$260, E332*'Reference Standards'!T$259+'Reference Standards'!T$260))),2))</f>
        <v/>
      </c>
      <c r="G332" s="686"/>
      <c r="H332" s="679"/>
      <c r="I332" s="680"/>
      <c r="J332" s="684"/>
      <c r="K332" s="680"/>
    </row>
    <row r="333" spans="1:13" ht="15.6" x14ac:dyDescent="0.3">
      <c r="A333" s="520"/>
      <c r="B333" s="520"/>
      <c r="C333" s="58" t="s">
        <v>382</v>
      </c>
      <c r="D333" s="58"/>
      <c r="E333" s="162"/>
      <c r="F333" s="294" t="str">
        <f>IF(E333="","",ROUND(IF(AND(E333&gt;=135,E333&lt;=262),1,IF(  E333&gt;=366,0.5, IF(E333&lt;135,E333*'Reference Standards'!S$259+'Reference Standards'!S$260, E333*'Reference Standards'!T$259+'Reference Standards'!T$260))),2))</f>
        <v/>
      </c>
      <c r="G333" s="686"/>
      <c r="H333" s="679"/>
      <c r="I333" s="680"/>
      <c r="J333" s="684"/>
      <c r="K333" s="680"/>
    </row>
    <row r="334" spans="1:13" ht="15.6" x14ac:dyDescent="0.3">
      <c r="A334" s="520"/>
      <c r="B334" s="520"/>
      <c r="C334" s="58" t="s">
        <v>383</v>
      </c>
      <c r="D334" s="58"/>
      <c r="E334" s="162"/>
      <c r="F334" s="84" t="str">
        <f>IF(E334="","",ROUND(IF(E334&gt;=75,1,IF(E334&lt;=0,0,E334*'Reference Standards'!S$330)),2))</f>
        <v/>
      </c>
      <c r="G334" s="686"/>
      <c r="H334" s="679"/>
      <c r="I334" s="680"/>
      <c r="J334" s="684"/>
      <c r="K334" s="680"/>
    </row>
    <row r="335" spans="1:13" ht="15.6" x14ac:dyDescent="0.3">
      <c r="A335" s="520"/>
      <c r="B335" s="520"/>
      <c r="C335" s="58" t="s">
        <v>384</v>
      </c>
      <c r="D335" s="58"/>
      <c r="E335" s="162"/>
      <c r="F335" s="84" t="str">
        <f>IF(E335="","",ROUND(IF(E335&gt;=75,1,IF(E335&lt;=0,0,E335*'Reference Standards'!S$330)),2))</f>
        <v/>
      </c>
      <c r="G335" s="686"/>
      <c r="H335" s="679"/>
      <c r="I335" s="680"/>
      <c r="J335" s="684"/>
      <c r="K335" s="680"/>
    </row>
    <row r="336" spans="1:13" ht="15.6" x14ac:dyDescent="0.3">
      <c r="A336" s="520"/>
      <c r="B336" s="520"/>
      <c r="C336" s="58" t="s">
        <v>385</v>
      </c>
      <c r="D336" s="58"/>
      <c r="E336" s="162"/>
      <c r="F336" s="294" t="str">
        <f>IF(E336="","",ROUND(IF(AND(E336&gt;=36.3,E336&lt;=68),1,IF(E336&gt;100,0,IF(E336&lt;36.3,(('Reference Standards'!S$297*(E336^2))+('Reference Standards'!S$298*E336)+'Reference Standards'!S$299),IF(E336&gt;68,(('Reference Standards'!T$297*(E336^2))+('Reference Standards'!T$298*E336)+'Reference Standards'!T$299))))),2))</f>
        <v/>
      </c>
      <c r="G336" s="686"/>
      <c r="H336" s="679"/>
      <c r="I336" s="680"/>
      <c r="J336" s="684"/>
      <c r="K336" s="680"/>
      <c r="M336" s="21"/>
    </row>
    <row r="337" spans="1:12" ht="15.6" x14ac:dyDescent="0.3">
      <c r="A337" s="520"/>
      <c r="B337" s="521"/>
      <c r="C337" s="58" t="s">
        <v>386</v>
      </c>
      <c r="D337" s="65"/>
      <c r="E337" s="162"/>
      <c r="F337" s="294" t="str">
        <f>IF(E337="","",ROUND(IF(AND(E337&gt;=36.3,E337&lt;=68),1,IF(E337&gt;100,0,IF(E337&lt;36.3,(('Reference Standards'!S$297*(E337^2))+('Reference Standards'!S$298*E337)+'Reference Standards'!S$299),IF(E337&gt;68,(('Reference Standards'!T$297*(E337^2))+('Reference Standards'!T$298*E337)+'Reference Standards'!T$299))))),2))</f>
        <v/>
      </c>
      <c r="G337" s="687"/>
      <c r="H337" s="679"/>
      <c r="I337" s="680"/>
      <c r="J337" s="684"/>
      <c r="K337" s="680"/>
    </row>
    <row r="338" spans="1:12" ht="15.6" x14ac:dyDescent="0.3">
      <c r="A338" s="520"/>
      <c r="B338" s="56" t="s">
        <v>108</v>
      </c>
      <c r="C338" s="72" t="s">
        <v>130</v>
      </c>
      <c r="D338" s="58"/>
      <c r="E338" s="43"/>
      <c r="F338" s="82" t="str">
        <f>IF(E338="","",IF(OR('Quantification Tool R5'!B$14="Gravel",'Quantification Tool R5'!B$14="Cobble"),IF(E338&gt;0.1,1,IF(E338&lt;=0.01,0,ROUND(E338*'Reference Standards'!$S$362+'Reference Standards'!$S$363,2)))))</f>
        <v/>
      </c>
      <c r="G338" s="251" t="str">
        <f>IFERROR(AVERAGE(F338),"")</f>
        <v/>
      </c>
      <c r="H338" s="679"/>
      <c r="I338" s="680"/>
      <c r="J338" s="684"/>
      <c r="K338" s="680"/>
    </row>
    <row r="339" spans="1:12" ht="15.6" x14ac:dyDescent="0.3">
      <c r="A339" s="520"/>
      <c r="B339" s="526" t="s">
        <v>51</v>
      </c>
      <c r="C339" s="64" t="s">
        <v>52</v>
      </c>
      <c r="D339" s="64"/>
      <c r="E339" s="166"/>
      <c r="F339" s="337" t="str">
        <f>IF(E339="","", IF(ISNUMBER('Quantification Tool R5'!$B$17), IF('Quantification Tool R5'!$B$17&lt;=2,   IF(AND(E339&gt;=3,E339&lt;=5),1, IF(OR(E339&lt;=1,E339&gt;=7), 0, ROUND( IF(E339&lt;3, E339*'Reference Standards'!S$398+'Reference Standards'!S$399,E339*'Reference Standards'!T$398+'Reference Standards'!T$399),2) ) ),   IF(E339&lt;=2.5,1, IF(E339&gt;=5.8,0, ROUND(E339*'Reference Standards'!S$430+'Reference Standards'!S$431,2))))   ))</f>
        <v/>
      </c>
      <c r="G339" s="676" t="str">
        <f>IFERROR(AVERAGE(F339:F342),"")</f>
        <v/>
      </c>
      <c r="H339" s="679"/>
      <c r="I339" s="680"/>
      <c r="J339" s="684"/>
      <c r="K339" s="680"/>
    </row>
    <row r="340" spans="1:12" ht="15.6" x14ac:dyDescent="0.3">
      <c r="A340" s="520"/>
      <c r="B340" s="520"/>
      <c r="C340" s="58" t="s">
        <v>53</v>
      </c>
      <c r="D340" s="58"/>
      <c r="E340" s="165"/>
      <c r="F340" s="84" t="str">
        <f>IF(E340="","", IF( E340&gt;=2.4,1, IF(E340&lt;=1,0,  ROUND(IF(E340&lt;2.4, E340*'Reference Standards'!$S$464+'Reference Standards'!$S$465 ),2))))</f>
        <v/>
      </c>
      <c r="G340" s="688"/>
      <c r="H340" s="679"/>
      <c r="I340" s="680"/>
      <c r="J340" s="684"/>
      <c r="K340" s="680"/>
    </row>
    <row r="341" spans="1:12" ht="15.6" x14ac:dyDescent="0.3">
      <c r="A341" s="520"/>
      <c r="B341" s="520"/>
      <c r="C341" s="58" t="s">
        <v>334</v>
      </c>
      <c r="D341" s="58"/>
      <c r="E341" s="165"/>
      <c r="F341" s="390" t="str">
        <f>IF(E341="","", IF(LEFT('Quantification Tool R5'!$B$12,2)="67",  IF( AND(E341&gt;=45,E341&lt;=65),1, IF(OR(E341&lt;=20,E341&gt;=90),0, ROUND(  IF(E341&lt;45, E341*'Reference Standards'!$S$498+'Reference Standards'!$S$499,E341*'Reference Standards'!$T$498+'Reference Standards'!$T$499),2))), IF(OR(  LEFT('Quantification Tool R5'!$B$12,2)="68", LEFT('Quantification Tool R5'!$B$12,2)="69",LEFT('Quantification Tool R5'!$B$12,2)="71"),  IF( AND(E341&gt;=30,E341&lt;=50),1, IF(OR(E341&lt;=10,E341&gt;=70),0, ROUND(  IF(E341&lt;30, E341*'Reference Standards'!$S$533+'Reference Standards'!$S$534,E341*'Reference Standards'!$T$533+'Reference Standards'!$T$534),2))), IF(LEFT('Quantification Tool R5'!$B$12,2)="66",  IF( AND(E341&gt;=20,E341&lt;=45),1, IF(OR(E341&lt;=0,E341&gt;=90),0, ROUND(  IF(E341&lt;20, E341*'Reference Standards'!$S$567+'Reference Standards'!$S$568,E341*'Reference Standards'!$T$567+'Reference Standards'!$T$568),2))), IF(OR(  LEFT('Quantification Tool R5'!$B$12,2)="65", LEFT('Quantification Tool R5'!$B$12,2)="74", LEFT('Quantification Tool R5'!$B$12,2)="73"),  IF( AND(E341&gt;=20,E341&lt;=30),1, IF(OR(E341&lt;=0,E341&gt;=50),0, ROUND(  IF(E341&lt;20, E341*'Reference Standards'!$S$601+'Reference Standards'!$S$602,E341*'Reference Standards'!$T$601+'Reference Standards'!$T$602),2))))))))</f>
        <v/>
      </c>
      <c r="G341" s="688"/>
      <c r="H341" s="679"/>
      <c r="I341" s="680"/>
      <c r="J341" s="684"/>
      <c r="K341" s="680"/>
    </row>
    <row r="342" spans="1:12" ht="15.6" x14ac:dyDescent="0.3">
      <c r="A342" s="520"/>
      <c r="B342" s="521"/>
      <c r="C342" s="62" t="s">
        <v>210</v>
      </c>
      <c r="D342" s="58"/>
      <c r="E342" s="167"/>
      <c r="F342" s="391" t="str">
        <f>IF(E342="","",IF(E342&gt;=1.6,0,IF(E342&lt;=1,1,ROUND('Reference Standards'!$S$633*E342^3+'Reference Standards'!$S$634*E342^2+'Reference Standards'!$S$635*E342+'Reference Standards'!$S$636,2))))</f>
        <v/>
      </c>
      <c r="G342" s="677"/>
      <c r="H342" s="679"/>
      <c r="I342" s="680"/>
      <c r="J342" s="684"/>
      <c r="K342" s="680"/>
    </row>
    <row r="343" spans="1:12" ht="15.6" x14ac:dyDescent="0.3">
      <c r="A343" s="521"/>
      <c r="B343" s="296" t="s">
        <v>55</v>
      </c>
      <c r="C343" s="242" t="s">
        <v>54</v>
      </c>
      <c r="D343" s="243"/>
      <c r="E343" s="163"/>
      <c r="F343" s="342" t="str">
        <f>IF(E343="","",IF(AND('Quantification Tool R5'!B$11="E",'Quantification Tool R5'!$B$14="Sand",'Quantification Tool R5'!$B$21="Unconfined Alluvial"),ROUND(IF(OR(E343&gt;1.8,E343&lt;1.3),0,IF(E343&lt;=1.6,1,E343*'Reference Standards'!S$667+'Reference Standards'!S$668)),2),    IF('Quantification Tool R5'!$B$21="Unconfined Alluvial",ROUND(IF(OR(E343&lt;1.2, E343&gt;1.5),0,IF(E343&lt;=1.4,1,E343*'Reference Standards'!$S$700+'Reference Standards'!$S$701)),2), IF('Quantification Tool R5'!$B$21="Confined Alluvial",ROUND(IF(E343&lt;1.15,0,IF(E343&lt;=1.4,E343*'Reference Standards'!$S$729+'Reference Standards'!$S$730,1)),2),  IF('Quantification Tool R5'!$B$21="Colluvial",ROUND(IF(E343&gt;1.3,0,IF(E343&gt;1.2,E343*'Reference Standards'!$S$760+'Reference Standards'!$S$761,1)),2) )))))</f>
        <v/>
      </c>
      <c r="G343" s="252" t="str">
        <f>IFERROR(AVERAGE(F343),"")</f>
        <v/>
      </c>
      <c r="H343" s="679"/>
      <c r="I343" s="680"/>
      <c r="J343" s="684"/>
      <c r="K343" s="680"/>
      <c r="L343" s="13"/>
    </row>
    <row r="344" spans="1:12" ht="15.6" x14ac:dyDescent="0.3">
      <c r="A344" s="537" t="s">
        <v>58</v>
      </c>
      <c r="B344" s="67" t="s">
        <v>88</v>
      </c>
      <c r="C344" s="70" t="s">
        <v>338</v>
      </c>
      <c r="D344" s="70"/>
      <c r="E344" s="43"/>
      <c r="F344" s="343" t="str">
        <f>IF(E344="","",ROUND(IF(E344&gt;=942,0,IF(E344&lt;=487,E344*'Reference Standards'!AB$15+'Reference Standards'!AB$16,E344*'Reference Standards'!$AC$15+'Reference Standards'!$AC$16)),2))</f>
        <v/>
      </c>
      <c r="G344" s="253" t="str">
        <f>IFERROR(AVERAGE(F344),"")</f>
        <v/>
      </c>
      <c r="H344" s="692" t="str">
        <f>IFERROR(ROUND(AVERAGE(G344:G347),2),"")</f>
        <v/>
      </c>
      <c r="I344" s="695" t="str">
        <f>IF(H344="","",IF(H344&gt;0.69,"Functioning",IF(H344&gt;0.29,"Functioning At Risk",IF(H344&gt;-1,"Not Functioning"))))</f>
        <v/>
      </c>
      <c r="J344" s="684"/>
      <c r="K344" s="680"/>
      <c r="L344" s="13"/>
    </row>
    <row r="345" spans="1:12" ht="15.6" x14ac:dyDescent="0.3">
      <c r="A345" s="538"/>
      <c r="B345" s="297" t="s">
        <v>362</v>
      </c>
      <c r="C345" s="66" t="s">
        <v>354</v>
      </c>
      <c r="D345" s="66"/>
      <c r="E345" s="163"/>
      <c r="F345" s="344" t="str">
        <f>IF(E345="","",IF(OR('Quantification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June")),IF(E345&gt;93,0,IF(E345&lt;13,1,ROUND('Reference Standards'!$AB$53*E345^2+'Reference Standards'!$AB$54*E345+'Reference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R5'!$B$12="73b"),IF(E345&gt;94,0,IF(E345&lt;17,1,ROUND('Reference Standards'!$AC$53*E345^2+'Reference Standards'!$AC$54*E345+'Reference Standards'!$AC$55,2))),    IF(OR(AND(OR('Quantification Tool R5'!$B$12="68b",'Quantification Tool R5'!$B$12="71i"),'Quantification Tool R5'!$B$13&gt;2), 'Quantification Tool R5'!$B$12="71e"),IF(E345&gt;91,0,IF(E345&lt;24,1,ROUND('Reference Standards'!$AD$53*E345^2+'Reference Standards'!$AD$54*E345+'Reference Standards'!$AD$55,2))),  IF(OR(AND(OR('Quantification Tool R5'!$B$12="71f",'Quantification Tool R5'!$B$12="71g",'Quantification Tool R5'!$B$12="71h",'Quantification Tool R5'!$B$12="71i"),'Quantification Tool R5'!$B$13&lt;=2), AND('Quantification Tool R5'!$B$12="74a",'Quantification Tool R5'!$B$13&gt;2)),IF(E345&gt;95,0,IF(E345&lt;=36,1,ROUND('Reference Standards'!$AE$53*E345^2+'Reference Standards'!$AE$54*E345+'Reference Standards'!$AE$55,2))))))))</f>
        <v/>
      </c>
      <c r="G345" s="254" t="str">
        <f>IFERROR(AVERAGE(F345:F345),"")</f>
        <v/>
      </c>
      <c r="H345" s="693"/>
      <c r="I345" s="696"/>
      <c r="J345" s="684"/>
      <c r="K345" s="680"/>
      <c r="L345" s="21"/>
    </row>
    <row r="346" spans="1:12" ht="15.6" x14ac:dyDescent="0.3">
      <c r="A346" s="538"/>
      <c r="B346" s="67" t="s">
        <v>81</v>
      </c>
      <c r="C346" s="68" t="s">
        <v>281</v>
      </c>
      <c r="D346" s="68"/>
      <c r="E346" s="162"/>
      <c r="F346" s="344" t="str">
        <f>IF(E346="","",IF(ISNUMBER('Quantification Tool R5'!$B$13),IF(OR('Quantification Tool R5'!$B$12="66e",'Quantification Tool R5'!$B$12="66f",'Quantification Tool R5'!$B$12="66g"),ROUND(IF(E346&gt;=0.61,0,IF(E346&lt;=0.01,1,IF(E346&lt;=0.06,E346*'Reference Standards'!$AD$197+'Reference Standards'!$AD$198,E346^2*'Reference Standards'!$AB$196+E346*'Reference Standards'!$AB$197+'Reference Standards'!$AB$198))),2),IF('Quantification Tool R5'!$B$12="68b",ROUND(IF(E346&gt;=1.1,0,IF(E346&lt;=0.17,1,IF(E346&lt;=0.22,E346*'Reference Standards'!$AE$197+'Reference Standards'!$AE$198,E346^2*'Reference Standards'!$AC$196+E346*'Reference Standards'!$AC$197+'Reference Standards'!$AC$198))),2),IF('Quantification Tool R5'!$B$13&lt;=2.5,IF('Quantification Tool R5'!$B$12="69de",ROUND(IF(E346&gt;=0.22,0,IF(E346&lt;=0.01,1,E346^2*'Reference Standards'!$AB$90+E346*'Reference Standards'!$AB$91+'Reference Standards'!$AB$92)),2),IF('Quantification Tool R5'!$B$12="68c",ROUND(IF(E346&gt;=0.87,0,IF(E346&lt;=0.01,1,E346^2*'Reference Standards'!$AC$90+E346*'Reference Standards'!$AC$91+'Reference Standards'!$AC$92)),2),IF('Quantification Tool R5'!$B$12="68a",ROUND(IF(E346&gt;=0.81,0,IF(E346&lt;=0.01,1,E346^2*'Reference Standards'!$AD$90+E346*'Reference Standards'!$AD$91+'Reference Standards'!$AD$92)),2),IF('Quantification Tool R5'!$B$12="65abei",ROUND(IF(E346&gt;=0.67,0,IF(E346&lt;=0.01,1,IF(E346&lt;=0.18,E346*'Reference Standards'!$AG$91+'Reference Standards'!$AG$92,E346*'Reference Standards'!$AE$91+'Reference Standards'!$AE$92))),2),IF('Quantification Tool R5'!$B$12="65j",ROUND(IF(E346&gt;=0.32,0,IF(E346&lt;=0.01,1,IF(E346&lt;=0.25,E346*'Reference Standards'!$AH$91+'Reference Standards'!$AH$92,E346*'Reference Standards'!$AF$91+'Reference Standards'!$AF$92))),2),IF('Quantification Tool R5'!$B$12="71f",ROUND(IF(E346&gt;=3,0,IF(E346&lt;=0,1,IF(E346&lt;=0.01,0.7,E346^2*'Reference Standards'!$AB$126+E346*'Reference Standards'!$AB$127+'Reference Standards'!$AB$128))),2),IF('Quantification Tool R5'!$B$12="74a",ROUND(IF(E346&gt;=0.14,0,IF(E346&lt;=0.01,1,IF(E346&lt;=0.02,0.7,E346^2*'Reference Standards'!$AC$126+E346*'Reference Standards'!$AC$127+'Reference Standards'!$AC$128))),2),IF(OR('Quantification Tool R5'!$B$12="67fhi",'Quantification Tool R5'!$B$12="67g"),ROUND(IF(E346&gt;=1.9,0,IF(E346&lt;=0.01,1,IF(E346&lt;=0.05,E346*'Reference Standards'!$AF$127+'Reference Standards'!$AF$128,E346^2*'Reference Standards'!$AD$126+E346*'Reference Standards'!$AD$127+'Reference Standards'!$AD$128))),2),IF('Quantification Tool R5'!$B$12="73a",ROUND(IF(E346&gt;=1.44,0,IF(E346&lt;=0.01,1,IF(E346&lt;=0.12,E346*'Reference Standards'!$AG$127+'Reference Standards'!$AG$128,E346^2*'Reference Standards'!$AE$126+E346*'Reference Standards'!$AE$127+'Reference Standards'!$AE$128))),2),IF('Quantification Tool R5'!$B$12="66d",ROUND(IF(E346&gt;=0.46,0,IF(E346&lt;=0.02,1,IF(E346&lt;=0.08,E346*'Reference Standards'!$AF$163+'Reference Standards'!$AF$164,E346^2*'Reference Standards'!$AB$162+E346*'Reference Standards'!$AB$163+'Reference Standards'!$AB$164))),2),IF(OR('Quantification Tool R5'!$B$12="71g",'Quantification Tool R5'!$B$12="71h",'Quantification Tool R5'!$B$12="71i"),ROUND(IF(E346&gt;=3,0,IF(E346&lt;=0.06,1,IF(E346&lt;=0.24,E346*'Reference Standards'!$AG$163+'Reference Standards'!$AG$164,E346^2*'Reference Standards'!$AC$162+E346*'Reference Standards'!$AC$163+'Reference Standards'!$AC$164))),2),IF('Quantification Tool R5'!$B$12="74b",ROUND(IF(E346&gt;=1.3,0,IF(E346&lt;=0.29,1,IF(E346&lt;=0.48,E346*'Reference Standards'!$AH$163+'Reference Standards'!$AH$164,E346^2*'Reference Standards'!$AD$162+E346*'Reference Standards'!$AD$163+'Reference Standards'!$AD$164))),2),IF('Quantification Tool R5'!$B$12="71e",ROUND(IF(E346&gt;=4.3,0,IF(E346&lt;=0.53,1,IF(E346&lt;=0.67,E346*'Reference Standards'!$AI$163+'Reference Standards'!$AI$164,E346^2*'Reference Standards'!$AE$162+E346*'Reference Standards'!$AE$163+'Reference Standards'!$AE$164))),2)))))))))))))),IF('Quantification Tool R5'!$B$13&gt;2.5,IF('Quantification Tool R5'!$B$12="73a",ROUND(IF(E346&gt;=0.55,0,IF(E346&lt;=0,1,E346^2*'Reference Standards'!$AB$232+E346*'Reference Standards'!$AB$233+'Reference Standards'!$AB$234)),2),IF('Quantification Tool R5'!$B$12="68a",ROUND(IF(E346&gt;=0.54,0,IF(E346&lt;=0,1,IF(E346&lt;=0.01,0.85,E346^2*'Reference Standards'!$AC$232+E346*'Reference Standards'!$AC$233+'Reference Standards'!$AC$234))),2),IF('Quantification Tool R5'!$B$12="74a",ROUND(IF(E346&gt;=0.47,0,IF(E346&lt;=0.01,1,IF(E346&lt;=0.02,0.7,E346^2*'Reference Standards'!$AD$232+E346*'Reference Standards'!$AD$233+'Reference Standards'!$AD$234))),2),IF('Quantification Tool R5'!$B$12="69de",ROUND(IF(E346&gt;=0.26,0,IF(E346&lt;=0.01,1,IF(E346&lt;=0.02,0.85,E346^2*'Reference Standards'!$AE$232+E346*'Reference Standards'!$AE$233+'Reference Standards'!$AE$234))),2),IF('Quantification Tool R5'!$B$12="71f",ROUND(IF(E346&gt;=0.87,0,IF(E346&lt;=0.01,1,IF(E346&lt;=0.04,E346*'Reference Standards'!$AF$269+'Reference Standards'!$AF$270,E346^2*'Reference Standards'!$AB$268+E346*'Reference Standards'!$AB$269+'Reference Standards'!$AB$270))),2),IF('Quantification Tool R5'!$B$12="65abei",ROUND(IF(E346&gt;=0.82,0,IF(E346&lt;=0.01,1,IF(E346&lt;=0.06,E346*'Reference Standards'!$AG$269+'Reference Standards'!$AG$270,E346^2*'Reference Standards'!$AC$268+E346*'Reference Standards'!$AC$269+'Reference Standards'!$AC$270))),2),IF('Quantification Tool R5'!$B$12="65j",ROUND(IF(E346&gt;=0.33,0,IF(E346&lt;=0.03,1,IF(E346&lt;=0.09,E346*'Reference Standards'!$AH$269+'Reference Standards'!$AH$270,E346^2*'Reference Standards'!$AD$268+E346*'Reference Standards'!$AD$269+'Reference Standards'!$AD$270))),2),IF('Quantification Tool R5'!$B$12="68c",ROUND(IF(E346&gt;=0.7,0,IF(E346&lt;=0.07,1,IF(E346&lt;=0.12,E346*'Reference Standards'!$AI$269+'Reference Standards'!$AI$270,E346^2*'Reference Standards'!$AE$268+E346*'Reference Standards'!$AE$269+'Reference Standards'!$AE$270))),2),IF(OR('Quantification Tool R5'!$B$12="67fhi",'Quantification Tool R5'!$B$12="67g"),ROUND(IF(E346&gt;=1.8,0,IF(E346&lt;=0.08,1,IF(E346&lt;=0.2,E346*'Reference Standards'!$AF$306+'Reference Standards'!$AF$307,E346^2*'Reference Standards'!$AB$305+E346*'Reference Standards'!$AB$306+'Reference Standards'!$AB$307))),2),IF('Quantification Tool R5'!$B$12="74b",ROUND(IF(E346&gt;=0.96,0,IF(E346&lt;=0.12,1,IF(E346&lt;=0.16,E346*'Reference Standards'!$AG$306+'Reference Standards'!$AG$307,E346^2*'Reference Standards'!$AC$305+E346*'Reference Standards'!$AC$306+'Reference Standards'!$AC$307))),2),IF('Quantification Tool R5'!$B$12="66d",ROUND(IF(E346&gt;=0.75,0,IF(E346&lt;=0.13,1,IF(E346&lt;=0.2,E346*'Reference Standards'!$AH$306+'Reference Standards'!$AH$307,E346^2*'Reference Standards'!$AD$305+E346*'Reference Standards'!$AD$306+'Reference Standards'!$AD$307))),2),IF(OR('Quantification Tool R5'!$B$12="71g",'Quantification Tool R5'!$B$12="71h",'Quantification Tool R5'!$B$12="71i"),ROUND(IF(E346&gt;=1.68,0,IF(E346&lt;=0.08,1,IF(E346&lt;=0.23,E346*'Reference Standards'!$AI$306+'Reference Standards'!$AI$307,E346^2*'Reference Standards'!$AE$305+E346*'Reference Standards'!$AE$306+'Reference Standards'!$AE$307))),2),IF('Quantification Tool R5'!$B$12="71e",ROUND(IF(E346&gt;=5.3,0,IF(E346&lt;=0.94,1,IF(E346&lt;=1.4,E346*'Reference Standards'!$AF$310+'Reference Standards'!$AF$311,E346^2*'Reference Standards'!$AB$309+E346*'Reference Standards'!$AB$310+'Reference Standards'!$AB$311))),2))))))))))))))))))))</f>
        <v/>
      </c>
      <c r="G346" s="255" t="str">
        <f>IFERROR(AVERAGE(F346),"")</f>
        <v/>
      </c>
      <c r="H346" s="693"/>
      <c r="I346" s="696"/>
      <c r="J346" s="684"/>
      <c r="K346" s="680"/>
      <c r="L346" s="21"/>
    </row>
    <row r="347" spans="1:12" ht="15.6" x14ac:dyDescent="0.3">
      <c r="A347" s="539"/>
      <c r="B347" s="298" t="s">
        <v>82</v>
      </c>
      <c r="C347" s="66" t="s">
        <v>280</v>
      </c>
      <c r="D347" s="66"/>
      <c r="E347" s="136"/>
      <c r="F347" s="343" t="str">
        <f>IF(E347="","", IF(ISNUMBER('Quantification Tool R5'!$B$13),IF('Quantification Tool R5'!$B$13&gt;2.5,IF(OR('Quantification Tool R5'!$B$12="71h",'Quantification Tool R5'!$B$12="71i",'Quantification Tool R5'!$B$12="73a",'Quantification Tool R5'!$B$12="74a"),IF(E347&lt;=0.01,1,IF(OR('Quantification Tool R5'!$B$12="71h",'Quantification Tool R5'!$B$12="71i"),IF(E347&gt;0.37,0,ROUND(IF(E347&gt;0.03,'Reference Standards'!$AB$425*E347^2+'Reference Standards'!$AB$426*E347+'Reference Standards'!$AB$427,'Reference Standards'!$AF$426*E347+'Reference Standards'!$AF$427),2)),  IF('Quantification Tool R5'!$B$12="73a",IF(E347&gt;0.405,0,ROUND(IF(E347&gt;0.046,'Reference Standards'!$AC$425*E347^2+'Reference Standards'!$AC$426*E347+'Reference Standards'!$AC$427,'Reference Standards'!$AG$426*E347+'Reference Standards'!$AG$427),2)),IF('Quantification Tool R5'!$B$12="74a",IF(E347&gt;0.3,0,ROUND(IF(E347&gt;0.052,'Reference Standards'!$AD$425*E347^2+'Reference Standards'!$AD$426*E347+'Reference Standards'!$AD$427,'Reference Standards'!$AH$426*E347+'Reference Standards'!$AH$427),2)))))),   IF(E347&lt;=0.002,1,IF(OR('Quantification Tool R5'!$B$12="66d",'Quantification Tool R5'!$B$12="66e",'Quantification Tool R5'!$B$12="66g"),IF(E347&gt;0.053,0,ROUND(E347^2*'Reference Standards'!$AB$347+E347*'Reference Standards'!$AB$348+'Reference Standards'!$AB$349,2)), IF('Quantification Tool R5'!$B$12="68b",IF(E347&gt;0.05,0,ROUND(E347^2*'Reference Standards'!$AC$347+E347*'Reference Standards'!$AC$348+'Reference Standards'!$AC$349,2)),  IF(OR('Quantification Tool R5'!$B$12="68a",'Quantification Tool R5'!$B$12="68c"),IF(E347&gt;0.07,0,ROUND(E347^2*'Reference Standards'!$AD$347+E347*'Reference Standards'!$AD$348+'Reference Standards'!$AD$349,2)), IF(OR('Quantification Tool R5'!$B$12="71f",'Quantification Tool R5'!$B$12="71g"),IF(E347&gt;0.13,0,ROUND(IF(E347&gt;0.042,E347*'Reference Standards'!$AE$348+'Reference Standards'!$AE$349,E347*'Reference Standards'!$AF$348+'Reference Standards'!$AF$349),2)), IF('Quantification Tool R5'!$B$12="67fhi",IF(E347&gt;0.16,0,ROUND(E347^2*'Reference Standards'!$AG$347+E347*'Reference Standards'!$AG$348+'Reference Standards'!$AG$349,2)),  IF('Quantification Tool R5'!$B$12="65j",IF(E347&gt;0.035,0,ROUND(IF(E347&lt;=0.003,0.7,E347^2*'Reference Standards'!$AB$387+E347*'Reference Standards'!$AB$388+'Reference Standards'!$AB$389),2)),IF('Quantification Tool R5'!$B$12="69de",IF(E347&gt;0.037,0,ROUND(IF(E347&lt;=0.003,0.7,E347^2*'Reference Standards'!$AC$387+E347*'Reference Standards'!$AC$388+'Reference Standards'!$AC$389),2)),IF('Quantification Tool R5'!$B$12="71e",IF(E347&gt;0.23,0,ROUND(IF(E347&lt;=0.003,0.7,E347^2*'Reference Standards'!$AD$387+E347*'Reference Standards'!$AD$388+'Reference Standards'!$AD$389),2)),IF('Quantification Tool R5'!$B$12="66f",IF(E347&gt;0.06,0,ROUND(IF(E347&lt;=0.003,0.85,IF(E347&lt;=0.004,0.7,E347^2*'Reference Standards'!$AE$387+E347*'Reference Standards'!$AE$388+'Reference Standards'!$AE$389)),2)),IF('Quantification Tool R5'!$B$12="67g",IF(E347&gt;0.11,0,ROUND(IF(E347&lt;=0.01,E347*'Reference Standards'!$AH$388+'Reference Standards'!$AH$389, E347^2*'Reference Standards'!$AF$387+E347*'Reference Standards'!$AF$388+'Reference Standards'!$AF$389),2)),IF('Quantification Tool R5'!$B$12="74b",IF(E347&gt;0.49,0,ROUND(IF(E347&lt;=0.01,E347*'Reference Standards'!$AH$388+'Reference Standards'!$AH$389, E347^2*'Reference Standards'!$AG$387+E347*'Reference Standards'!$AG$388+'Reference Standards'!$AG$389),2)),IF('Quantification Tool R5'!$B$12="65abei",IF(E347&gt;0.199,0,ROUND(IF(E347&lt;=0.01,E347*'Reference Standards'!$AI$426+'Reference Standards'!$AI$427, E347^2*'Reference Standards'!$AE$425+E347*'Reference Standards'!$AE$426+'Reference Standards'!$AE$427),2))    )))))))))))))),      IF('Quantification Tool R5'!$B$13&lt;=2.5, IF(OR('Quantification Tool R5'!$B$12="66d",'Quantification Tool R5'!$B$12="66e",'Quantification Tool R5'!$B$12="66g"),IF(E347&gt;0.05,0,ROUND(IF(E347&lt;=0.002,1,IF(E347&lt;=0.005,E347*'Reference Standards'!$AF$464+'Reference Standards'!$AF$465, E347^2*'Reference Standards'!$AB$463+E347*'Reference Standards'!$AB$464+'Reference Standards'!$AB$465)),2)), IF('Quantification Tool R5'!$B$12="67fhi",IF(E347&gt;0.1,0,ROUND(IF(E347&lt;=0.002,1,IF(E347&lt;=0.006,E347*'Reference Standards'!$AG$464+'Reference Standards'!$AG$465, E347^2*'Reference Standards'!$AC$463+E347*'Reference Standards'!$AC$464+'Reference Standards'!$AC$465)),2)), IF('Quantification Tool R5'!$B$12="65abei",IF(E347&gt;0.13,0,ROUND(IF(E347&lt;=0.003,1,IF(E347&lt;=0.008,E347*'Reference Standards'!$AH$464+'Reference Standards'!$AH$465, E347^2*'Reference Standards'!$AD$463+E347*'Reference Standards'!$AD$464+'Reference Standards'!$AD$465)),2)), IF('Quantification Tool R5'!$B$12="68b",IF(E347&gt;0.043,0,ROUND(IF(E347&lt;=0.004,1, IF(E347&lt;=0.005,0.7, E347^2*'Reference Standards'!$AE$463+E347*'Reference Standards'!$AE$464+'Reference Standards'!$AE$465)),2)), IF('Quantification Tool R5'!$B$12="69de",IF(E347&gt;=0.034,0,ROUND(IF(E347&lt;=0.003,1, IF(E347&lt;=0.006,E347*'Reference Standards'!$AG$500+'Reference Standards'!$AG$501, E347*'Reference Standards'!$AB$500+'Reference Standards'!$AB$501)),2)), IF(OR('Quantification Tool R5'!$B$12="68a",'Quantification Tool R5'!$B$12="68c"),IF(E347&gt;0.202,0,ROUND(IF(E347&lt;=0.003,1, IF(E347&lt;=0.006,E347*'Reference Standards'!$AG$500+'Reference Standards'!$AG$501, IF(E347&gt;=0.04,E347*'Reference Standards'!$AC$500+'Reference Standards'!$AC$501,E347*'Reference Standards'!$AE$500+'Reference Standards'!$AE$501))),2)), IF(OR('Quantification Tool R5'!$B$12="71f",'Quantification Tool R5'!$B$12="71g"),IF(E347&gt;0.631,0,ROUND(IF(E347&lt;=0.003,1, IF(E347&lt;=0.006,E347*'Reference Standards'!$AG$500+'Reference Standards'!$AG$501, IF(E347&gt;=0.17,E347*'Reference Standards'!$AD$500+'Reference Standards'!$AD$501,E347*'Reference Standards'!$AF$500+'Reference Standards'!$AF$501))),2)),   IF('Quantification Tool R5'!$B$12="71e",IF(E347&gt;1.23,0,ROUND(IF(E347&lt;=0.004,1,IF(E347&lt;=0.006,E347*'Reference Standards'!$AF$538+'Reference Standards'!$AF$539, E347^2*'Reference Standards'!$AB$537+E347*'Reference Standards'!$AB$538+'Reference Standards'!$AB$539)),2)), IF('Quantification Tool R5'!$B$12="67g",IF(E347&gt;0.11,0,ROUND(IF(E347&lt;=0.006,1,IF(E347&lt;=0.011,E347*'Reference Standards'!$AG$538+'Reference Standards'!$AG$539, E347^2*'Reference Standards'!$AC$537+E347*'Reference Standards'!$AC$538+'Reference Standards'!$AC$539)),2)), IF('Quantification Tool R5'!$B$12="65j",IF(E347&gt;0.046,0,ROUND(IF(E347&lt;=0.007,1,IF(E347&lt;=0.012,E347*'Reference Standards'!$AH$538+'Reference Standards'!$AH$539, E347^2*'Reference Standards'!$AD$537+E347*'Reference Standards'!$AD$538+'Reference Standards'!$AD$539)),2)), IF('Quantification Tool R5'!$B$12="66f",IF(E347&gt;0.081,0,ROUND(IF(E347&lt;=0.008,1,IF(E347&lt;=0.011,E347*'Reference Standards'!$AI$538+'Reference Standards'!$AI$539, E347^2*'Reference Standards'!$AE$537+E347*'Reference Standards'!$AE$538+'Reference Standards'!$AE$539)),2)), IF(OR('Quantification Tool R5'!$B$12="71h",'Quantification Tool R5'!$B$12="71i"),IF(E347&gt;0.37,0,ROUND(IF(E347&lt;=0.013,1,IF(E347&lt;=0.032,E347*'Reference Standards'!$AH$576+'Reference Standards'!$AH$577, IF(E347&lt;=0.3,E347*'Reference Standards'!$AF$576+'Reference Standards'!$AF$577,E347*'Reference Standards'!$AB$576+'Reference Standards'!$AB$577))),2)), IF('Quantification Tool R5'!$B$12="73a",IF(E347&gt;0.448,0,ROUND(IF(E347&lt;=0.071,1,IF(E347&lt;=0.086,E347*'Reference Standards'!$AJ$576+'Reference Standards'!$AJ$577, IF(E347&lt;=0.165,E347*'Reference Standards'!$AG$576+'Reference Standards'!$AG$577,E347*'Reference Standards'!$AE$576+'Reference Standards'!$AE$577))),2)),  IF('Quantification Tool R5'!$B$12="74b",IF(E347&gt;0.43,0,ROUND(IF(E347&lt;=0.018,1,IF(E347&lt;=0.019,0.85, IF(E347&lt;=0.02,0.7, E347^2*'Reference Standards'!$AC$575+E347*'Reference Standards'!$AC$576+'Reference Standards'!$AC$577))),2)), IF('Quantification Tool R5'!$B$12="74a",IF(E347&gt;0.217,0,ROUND(IF(E347&lt;=0.02,1,IF(E347&lt;=0.033,E347*'Reference Standards'!$AI$576+'Reference Standards'!$AI$577, E347^2*'Reference Standards'!$AD$575+E347*'Reference Standards'!$AD$576+'Reference Standards'!$AD$577)),2))     )))))))))))))))))))</f>
        <v/>
      </c>
      <c r="G347" s="256" t="str">
        <f>IFERROR(AVERAGE(F347),"")</f>
        <v/>
      </c>
      <c r="H347" s="694"/>
      <c r="I347" s="697"/>
      <c r="J347" s="684"/>
      <c r="K347" s="680"/>
      <c r="L347" s="21"/>
    </row>
    <row r="348" spans="1:12" ht="15.6" x14ac:dyDescent="0.3">
      <c r="A348" s="550" t="s">
        <v>59</v>
      </c>
      <c r="B348" s="560" t="s">
        <v>340</v>
      </c>
      <c r="C348" s="125" t="s">
        <v>331</v>
      </c>
      <c r="D348" s="126"/>
      <c r="E348" s="166"/>
      <c r="F348" s="345" t="str">
        <f>IF(E348="","",IF(OR('Quantification Tool R5'!B$12="73a",'Quantification Tool R5'!B$12="73b"),IF(E348&lt;1,0,IF(E348&gt;=30,1,ROUND(IF(E348&lt;22,'Reference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698" t="str">
        <f>IFERROR(AVERAGE(F348:F351),"")</f>
        <v/>
      </c>
      <c r="H348" s="699" t="str">
        <f>IFERROR(ROUND(AVERAGE(G348:G353),2),"")</f>
        <v/>
      </c>
      <c r="I348" s="683" t="str">
        <f>IF(H348="","",IF(H348&gt;0.69,"Functioning",IF(H348&gt;0.29,"Functioning At Risk",IF(H348&gt;-1,"Not Functioning"))))</f>
        <v/>
      </c>
      <c r="J348" s="684"/>
      <c r="K348" s="680"/>
      <c r="L348" s="21"/>
    </row>
    <row r="349" spans="1:12" ht="15.6" x14ac:dyDescent="0.3">
      <c r="A349" s="556"/>
      <c r="B349" s="561"/>
      <c r="C349" s="174" t="s">
        <v>335</v>
      </c>
      <c r="D349" s="175"/>
      <c r="E349" s="165"/>
      <c r="F349" s="346" t="str">
        <f>IF(E349="","",IF(AND('Quantification Tool R5'!$B$12="74b",'Quantification Tool R5'!$B$13&lt;=2),IF(E349&lt;0,0,IF(E349&gt;15.6,0.69,ROUND('Reference Standards'!$AL$54*E349^2+'Reference Standards'!$AL$55*E349+'Reference Standards'!$AL$56,2))),IF(AND('Quantification Tool R5'!$B$12="65abei",'Quantification Tool R5'!$B$13&lt;=2),IF(E349&lt;0,0,IF(E349&gt;=20,0.69,ROUND('Reference Standards'!$AM$54*E349^2+'Reference Standards'!$AM$55*E349+'Reference Standards'!$AM$56,2))),IF(OR(AND('Quantification Tool R5'!$B$12="74a",'Quantification Tool R5'!$B$13&gt;2,'Quantification Tool R5'!$B$19="January - June"),AND('Quantification Tool R5'!$B$12="71i",'Quantification Tool R5'!$B$13&gt;2,'Quantification Tool R5'!$B$20="SQBANK")),IF(E349&lt;0,0,IF(E349&gt;24.7,0.69,ROUND('Reference Standards'!$AN$54*E349^2+'Reference Standards'!$AN$55*E349+'Reference Standards'!$AN$56,2))),IF(OR('Quantification Tool R5'!$B$12="74b",'Quantification Tool R5'!$B$12="65abei"),IF(E349&lt;0,0,IF(E349&gt;32.7,0.69,ROUND('Reference Standards'!$AO$54*E349^2+'Reference Standards'!$AO$55*E349+'Reference Standards'!$AO$56,2))),IF(AND('Quantification Tool R5'!$B$12="68b",'Quantification Tool R5'!$B$13&gt;2),IF(E349&lt;0,0,IF(E349&gt;41.2,0.69,ROUND('Reference Standards'!$AP$54*E349^2+'Reference Standards'!$AP$55*E349+'Reference Standards'!$AP$56,2))),IF(OR(AND('Quantification Tool R5'!$B$12="71i",'Quantification Tool R5'!$B$13&lt;=2),AND(OR('Quantification Tool R5'!$B$12="68c",'Quantification Tool R5'!$B$12="68d"),'Quantification Tool R5'!$B$19="January - June")),IF(E349&lt;0,0,IF(E349&gt;49.2,0.69,ROUND('Reference Standards'!$AL$94*E349^2+'Reference Standards'!$AL$95*E349+'Reference Standards'!$AL$96,2))),IF(OR(AND('Quantification Tool R5'!$B$12="68a",'Quantification Tool R5'!$B$19="January - June"),AND(OR('Quantification Tool R5'!$B$12="68c",'Quantification Tool R5'!$B$12="68d"),'Quantification Tool R5'!$B$19="July - December")),IF(E349&lt;0,0,IF(E349&gt;53.4,0.69,ROUND('Reference Standards'!$AM$94*E349^2+'Reference Standards'!$AM$95*E349+'Reference Standards'!$AM$96,2))),IF(OR(AND('Quantification Tool R5'!$B$12="71i",'Quantification Tool R5'!$B$13&gt;2,'Quantification Tool R5'!$B$20="SQKICK"),AND(OR('Quantification Tool R5'!$B$12="67fhi",'Quantification Tool R5'!$B$12="67g"),'Quantification Tool R5'!$B$13&lt;=2),'Quantification Tool R5'!$B$12="65j"),IF(E349&lt;0,0,IF(E349&gt;57.8,0.69,ROUND('Reference Standards'!$AN$94*E349^2+'Reference Standards'!$AN$95*E349+'Reference Standards'!$AN$96,2))),IF(OR(AND('Quantification Tool R5'!$B$12="74a",'Quantification Tool R5'!$B$13&gt;2,'Quantification Tool R5'!$B$19="July - December"),AND(OR('Quantification Tool R5'!$B$12="67fhi",'Quantification Tool R5'!$B$12="67g"),'Quantification Tool R5'!$B$13&gt;2),'Quantification Tool R5'!$B$12="69de"),IF(E349&lt;0,0,IF(E349&gt;62.5,0.69,ROUND('Reference Standards'!$AO$94*E349^2+'Reference Standards'!$AO$95*E349+'Reference Standards'!$AO$96,2))),  IF(OR('Quantification Tool R5'!$B$12="66d",'Quantification Tool R5'!$B$12="66e",'Quantification Tool R5'!$B$12="66ik",'Quantification Tool R5'!$B$12="71e",'Quantification Tool R5'!$B$12="71f",'Quantification Tool R5'!$B$12="71g",'Quantification Tool R5'!$B$12="71h"),IF(E349&lt;0,0,IF(E349&gt;66.5,0.69,ROUND('Reference Standards'!$AP$94*E349^2+'Reference Standards'!$AP$95*E349+'Reference Standards'!$AP$96,2))),IF(OR('Quantification Tool R5'!$B$12="66f",'Quantification Tool R5'!$B$12="66g",'Quantification Tool R5'!$B$12="66j",AND('Quantification Tool R5'!$B$12="68a",'Quantification Tool R5'!$B$19="July - December")), IF(E349&lt;0,0,IF(E349&gt;69,0.69,ROUND('Reference Standards'!$AQ$94*E349^2+'Reference Standards'!$AQ$95*E349+'Reference Standards'!$AQ$96,2))))   )))))))))))</f>
        <v/>
      </c>
      <c r="G349" s="698"/>
      <c r="H349" s="699"/>
      <c r="I349" s="683"/>
      <c r="J349" s="684"/>
      <c r="K349" s="680"/>
      <c r="L349" s="21"/>
    </row>
    <row r="350" spans="1:12" ht="15.6" x14ac:dyDescent="0.3">
      <c r="A350" s="556"/>
      <c r="B350" s="561"/>
      <c r="C350" s="174" t="s">
        <v>339</v>
      </c>
      <c r="D350" s="175"/>
      <c r="E350" s="165"/>
      <c r="F350" s="346" t="str">
        <f>IF(E350="","",IF(AND('Quantification Tool R5'!$B$12="74b",'Quantification Tool R5'!$B$13&lt;=2),IF(E350&lt;0,0,IF(E350&gt;8.1,0.69,ROUND('Reference Standards'!$AL$131*E350^2+'Reference Standards'!$AL$132*E350+'Reference Standards'!$AL$133,2))),IF(OR('Quantification Tool R5'!$B$12="73a",'Quantification Tool R5'!$B$12="73b"),IF(E350&lt;0,0,IF(E350&gt;=28,0.69,ROUND('Reference Standards'!$AM$131*E350^2+'Reference Standards'!$AM$132*E350+'Reference Standards'!$AM$133,2))),IF(AND('Quantification Tool R5'!$B$12="74a",'Quantification Tool R5'!$B$13&gt;2,'Quantification Tool R5'!$B$19="January - June"),IF(E350&lt;0,0,IF(E350&gt;=32.5,0.69,ROUND('Reference Standards'!$AN$131*E350^2+'Reference Standards'!$AN$132*E350+'Reference Standards'!$AN$133,2))),IF(AND('Quantification Tool R5'!$B$12="71i",'Quantification Tool R5'!$B$13&gt;2,'Quantification Tool R5'!$B$20="SQBANK"),IF(E350&lt;0,0,IF(E350&gt;=37,0.69,ROUND('Reference Standards'!$AO$131*E350^2+'Reference Standards'!$AO$132*E350+'Reference Standards'!$AO$133,2))),IF(OR(AND(OR('Quantification Tool R5'!$B$12="65abei",'Quantification Tool R5'!$B$12="74b"),'Quantification Tool R5'!$B$13&gt;2),AND('Quantification Tool R5'!$B$12="71i",'Quantification Tool R5'!$B$13&gt;2,'Quantification Tool R5'!$B$20="SQKICK")),IF(E350&lt;0,0,IF(E350&gt;42.6,0.69,ROUND('Reference Standards'!$AP$131*E350^2+'Reference Standards'!$AP$132*E350+'Reference Standards'!$AP$133,2))),     IF(OR(AND('Quantification Tool R5'!$B$12="65abei",'Quantification Tool R5'!$B$13&lt;=2),AND(OR('Quantification Tool R5'!$B$12="68c",'Quantification Tool R5'!$B$12="68d"),'Quantification Tool R5'!$B$19="July - December"),'Quantification Tool R5'!$B$12="71e"),IF(E350&lt;0,0,IF(E350&gt;=48,0.69,ROUND('Reference Standards'!$AL$171*E350^2+'Reference Standards'!$AL$172*E350+'Reference Standards'!$AL$173,2))),IF(OR('Quantification Tool R5'!$B$12="65j",'Quantification Tool R5'!$B$12="67fhi",'Quantification Tool R5'!$B$12="67g",AND('Quantification Tool R5'!$B$12="74a",'Quantification Tool R5'!$B$19="July - December",'Quantification Tool R5'!$B$13&gt;2),AND('Quantification Tool R5'!$B$12="71i",'Quantification Tool R5'!$B$13&lt;=2)),IF(E350&lt;0,0,IF(E350&gt;=53,0.69,ROUND('Reference Standards'!$AM$171*E350^2+'Reference Standards'!$AM$172*E350+'Reference Standards'!$AM$173,2))),IF(OR(AND(OR('Quantification Tool R5'!$B$12="68b",'Quantification Tool R5'!$B$12="71f",'Quantification Tool R5'!$B$12="71g",'Quantification Tool R5'!$B$12="71h"),'Quantification Tool R5'!$B$13&gt;2),'Quantification Tool R5'!$B$12="68a"),IF(E350&lt;0,0,IF(E350&gt;=57,0.69,ROUND('Reference Standards'!$AN$171*E350^2+'Reference Standards'!$AN$172*E350+'Reference Standards'!$AN$173,2))),IF(OR('Quantification Tool R5'!$B$12="66f",'Quantification Tool R5'!$B$12="66g",'Quantification Tool R5'!$B$12="66j",AND(OR('Quantification Tool R5'!$B$12="71f",'Quantification Tool R5'!$B$12="71g",'Quantification Tool R5'!$B$12="71h"),'Quantification Tool R5'!$B$13&lt;=2)),IF(E350&lt;0,0,IF(E350&gt;=60,0.69,ROUND('Reference Standards'!$AO$171*E350^2+'Reference Standards'!$AO$172*E350+'Reference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December")),IF(E350&lt;0,0,IF(E350&gt;=67.5,0.69,ROUND('Reference Standards'!$AP$171*E350^2+'Reference Standards'!$AP$172*E350+'Reference Standards'!$AP$173,2))),IF(AND('Quantification Tool R5'!$B$12="69de",'Quantification Tool R5'!$B$19="January - June"), IF(E350&lt;0,0,IF(E350&gt;=72,0.69,ROUND('Reference Standards'!$AQ$171*E350^2+'Reference Standards'!$AQ$172*E350+'Reference Standards'!$AQ$173,2))))   )))))))))))</f>
        <v/>
      </c>
      <c r="G350" s="698"/>
      <c r="H350" s="699"/>
      <c r="I350" s="683"/>
      <c r="J350" s="684"/>
      <c r="K350" s="680"/>
      <c r="L350" s="21"/>
    </row>
    <row r="351" spans="1:12" ht="15.6" x14ac:dyDescent="0.3">
      <c r="A351" s="556"/>
      <c r="B351" s="562"/>
      <c r="C351" s="127" t="s">
        <v>336</v>
      </c>
      <c r="D351" s="71"/>
      <c r="E351" s="167"/>
      <c r="F351" s="346" t="str">
        <f>IF(E351="","",IF(OR('Quantification Tool R5'!$B$12="67fhi",'Quantification Tool R5'!$B$12="67g",'Quantification Tool R5'!$B$12="71e",'Quantification Tool R5'!$B$12="73a",'Quantification Tool R5'!$B$12="73b",AND(OR('Quantification Tool R5'!$B$12="71f",'Quantification Tool R5'!$B$12="71g",'Quantification Tool R5'!$B$12="71h"),'Quantification Tool R5'!$B$13&gt;2)),IF(E351&gt;100,0,IF(E351&lt;15,0.69,ROUND('Reference Standards'!$AL$208*E351^2+'Reference Standards'!$AL$209*E351+'Reference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),IF(E351&gt;100,0,IF(E351&lt;19,0.69,ROUND('Reference Standards'!$AM$208*E351^2+'Reference Standards'!$AM$209*E351+'Reference Standards'!$AM$210,2))),    IF(OR(AND('Quantification Tool R5'!$B$12="69de",'Quantification Tool R5'!$B$19="January - June"),AND('Quantification Tool R5'!$B$12="71i",'Quantification Tool R5'!$B$13&gt;2,'Quantification Tool R5'!$B$20="SQKICK" )),IF(E351&gt;100,0,IF(E351&lt;22,0.69,ROUND('Reference Standards'!$AN$208*E351^2+'Reference Standards'!$AN$209*E351+'Reference Standards'!$AN$210,2))),    IF(OR('Quantification Tool R5'!$B$12="65j",AND('Quantification Tool R5'!$B$12="68b",'Quantification Tool R5'!$B$13&gt;2)),IF(E351&gt;100,0,IF(E351&lt;24,0.69,ROUND('Reference Standards'!$AO$208*E351^2+'Reference Standards'!$AO$209*E351+'Reference Standards'!$AO$210,2))),    IF(AND(OR('Quantification Tool R5'!$B$12="65abei",'Quantification Tool R5'!$B$12="71f",'Quantification Tool R5'!$B$12="71g",'Quantification Tool R5'!$B$12="71h"),'Quantification Tool R5'!$B$13&lt;=2),IF(E351&gt;95,0,IF(E351&lt;33,0.69,ROUND('Reference Standards'!$AL$246*E351^2+'Reference Standards'!$AL$247*E351+'Reference Standards'!$AL$248,2))),   IF(AND(OR('Quantification Tool R5'!$B$12="65abei",'Quantification Tool R5'!$B$12="74b"),'Quantification Tool R5'!$B$13&gt;2),IF(E351&gt;97,0,IF(E351&lt;36,0.69,ROUND('Reference Standards'!$AM$246*E351^2+'Reference Standards'!$AM$247*E351+'Reference Standards'!$AM$248,2))),  IF(AND('Quantification Tool R5'!$B$12="74a",'Quantification Tool R5'!$B$19="January - June",'Quantification Tool R5'!$B$13&gt;2),IF(E351&gt;93,0,IF(E351&lt;52,0.69,ROUND('Reference Standards'!$AN$246*E351^2+'Reference Standards'!$AN$247*E351+'Reference Standards'!$AN$248,2))),   IF(AND('Quantification Tool R5'!$B$12="74b",'Quantification Tool R5'!$B$13&lt;=2),IF(E351&gt;97,0,IF(E351&lt;62,0.69,ROUND('Reference Standards'!$AO$246*E351^2+'Reference Standards'!$AO$247*E351+'Reference Standards'!$AO$248,2)))  )))))))))</f>
        <v/>
      </c>
      <c r="G351" s="698"/>
      <c r="H351" s="699"/>
      <c r="I351" s="683"/>
      <c r="J351" s="684"/>
      <c r="K351" s="680"/>
      <c r="L351" s="21"/>
    </row>
    <row r="352" spans="1:12" ht="15.6" x14ac:dyDescent="0.3">
      <c r="A352" s="556"/>
      <c r="B352" s="563" t="s">
        <v>74</v>
      </c>
      <c r="C352" s="125" t="s">
        <v>211</v>
      </c>
      <c r="D352" s="126"/>
      <c r="E352" s="166"/>
      <c r="F352" s="345" t="str">
        <f>IF(E352="","",IF(E352=1,0.15,IF(E352=3,0.5,IF(E352=5,0.85,0))))</f>
        <v/>
      </c>
      <c r="G352" s="672" t="str">
        <f>IFERROR(AVERAGE(F352:F353),"")</f>
        <v/>
      </c>
      <c r="H352" s="699"/>
      <c r="I352" s="683"/>
      <c r="J352" s="684"/>
      <c r="K352" s="680"/>
      <c r="L352" s="21"/>
    </row>
    <row r="353" spans="1:12" ht="15.6" x14ac:dyDescent="0.3">
      <c r="A353" s="551"/>
      <c r="B353" s="563"/>
      <c r="C353" s="127" t="s">
        <v>332</v>
      </c>
      <c r="D353" s="71"/>
      <c r="E353" s="167"/>
      <c r="F353" s="347" t="str">
        <f>IF(E353="","",IF(E353=1,0.15,IF(E353=3,0.5,IF(E353=5,0.85,0))))</f>
        <v/>
      </c>
      <c r="G353" s="673"/>
      <c r="H353" s="699"/>
      <c r="I353" s="683"/>
      <c r="J353" s="684"/>
      <c r="K353" s="680"/>
      <c r="L353" s="21"/>
    </row>
    <row r="354" spans="1:12" x14ac:dyDescent="0.3">
      <c r="L354" s="21"/>
    </row>
    <row r="355" spans="1:12" x14ac:dyDescent="0.3">
      <c r="L355" s="21"/>
    </row>
    <row r="356" spans="1:12" ht="21" x14ac:dyDescent="0.4">
      <c r="A356" s="148" t="s">
        <v>135</v>
      </c>
      <c r="B356" s="246"/>
      <c r="C356" s="249" t="s">
        <v>324</v>
      </c>
      <c r="D356" s="246"/>
      <c r="E356" s="247"/>
      <c r="F356" s="248"/>
      <c r="G356" s="544" t="s">
        <v>18</v>
      </c>
      <c r="H356" s="545"/>
      <c r="I356" s="545"/>
      <c r="J356" s="545"/>
      <c r="K356" s="546"/>
    </row>
    <row r="357" spans="1:12" ht="16.5" customHeight="1" x14ac:dyDescent="0.3">
      <c r="A357" s="158" t="s">
        <v>1</v>
      </c>
      <c r="B357" s="158" t="s">
        <v>2</v>
      </c>
      <c r="C357" s="542" t="s">
        <v>3</v>
      </c>
      <c r="D357" s="644"/>
      <c r="E357" s="158" t="s">
        <v>15</v>
      </c>
      <c r="F357" s="257" t="s">
        <v>16</v>
      </c>
      <c r="G357" s="257" t="s">
        <v>19</v>
      </c>
      <c r="H357" s="257" t="s">
        <v>20</v>
      </c>
      <c r="I357" s="325" t="s">
        <v>20</v>
      </c>
      <c r="J357" s="257" t="s">
        <v>21</v>
      </c>
      <c r="K357" s="324" t="s">
        <v>21</v>
      </c>
    </row>
    <row r="358" spans="1:12" ht="15.75" customHeight="1" x14ac:dyDescent="0.3">
      <c r="A358" s="540" t="s">
        <v>60</v>
      </c>
      <c r="B358" s="299" t="s">
        <v>86</v>
      </c>
      <c r="C358" s="52" t="s">
        <v>388</v>
      </c>
      <c r="D358" s="52"/>
      <c r="E358" s="162"/>
      <c r="F358" s="338" t="str">
        <f>IF(E358="","",IF(E358&lt;=0,0,IF(E358&gt;=0.95,1,ROUND('Reference Standards'!C$14*E358+'Reference Standards'!C$15,2))))</f>
        <v/>
      </c>
      <c r="G358" s="250" t="str">
        <f>IFERROR(AVERAGE(F358),"")</f>
        <v/>
      </c>
      <c r="H358" s="681" t="str">
        <f>IFERROR(ROUND(AVERAGE(G358:G359),2),"")</f>
        <v/>
      </c>
      <c r="I358" s="683" t="str">
        <f>IF(H358="","",IF(H358&gt;0.69,"Functioning",IF(H358&gt;0.29,"Functioning At Risk",IF(H358&gt;-1,"Not Functioning"))))</f>
        <v/>
      </c>
      <c r="J358" s="684" t="str">
        <f>IF(AND(H358="",H360="",H362="",H384="",H388=""),"",ROUND((IF(H358="",0,H358)*0.2)+(IF(H360="",0,H360)*0.2)+(IF(H362="",0,H362)*0.2)+(IF(H384="",0,H384)*0.2)+(IF(H388="",0,H388)*0.2),2))</f>
        <v/>
      </c>
      <c r="K358" s="680" t="str">
        <f>IF(J358="","",IF(J358&lt;0.3, "Not Functioning",IF(OR(H358&lt;0.7,H360&lt;0.7,H362&lt;0.7,H384&lt;0.7,H388&lt;0.7),"Functioning At Risk",IF(J358&lt;0.7,"Functioning At Risk","Functioning"))))</f>
        <v/>
      </c>
    </row>
    <row r="359" spans="1:12" ht="15.75" customHeight="1" x14ac:dyDescent="0.3">
      <c r="A359" s="541"/>
      <c r="B359" s="371" t="s">
        <v>128</v>
      </c>
      <c r="C359" s="373" t="s">
        <v>161</v>
      </c>
      <c r="D359" s="374"/>
      <c r="E359" s="43"/>
      <c r="F359" s="372" t="str">
        <f>IF(E359="","",IF(E359&gt;=1,1,IF(E359&lt;=0,0,ROUND(E359,2))))</f>
        <v/>
      </c>
      <c r="G359" s="368" t="str">
        <f>IFERROR(AVERAGE(F359:F359),"")</f>
        <v/>
      </c>
      <c r="H359" s="682"/>
      <c r="I359" s="683"/>
      <c r="J359" s="684"/>
      <c r="K359" s="680"/>
    </row>
    <row r="360" spans="1:12" ht="15" customHeight="1" x14ac:dyDescent="0.3">
      <c r="A360" s="524" t="s">
        <v>6</v>
      </c>
      <c r="B360" s="572" t="s">
        <v>7</v>
      </c>
      <c r="C360" s="54" t="s">
        <v>8</v>
      </c>
      <c r="D360" s="54"/>
      <c r="E360" s="162"/>
      <c r="F360" s="339" t="str">
        <f>IF(E360="","",ROUND(IF(E360&gt;1.6,0,IF(E360&lt;=1,1,E360^2*'Reference Standards'!K$14+E360*'Reference Standards'!K$15+'Reference Standards'!K$16)),2))</f>
        <v/>
      </c>
      <c r="G360" s="690" t="str">
        <f>IFERROR(AVERAGE(F360:F361),"")</f>
        <v/>
      </c>
      <c r="H360" s="689" t="str">
        <f>IFERROR(ROUND(AVERAGE(G360),2),"")</f>
        <v/>
      </c>
      <c r="I360" s="674" t="str">
        <f>IF(H360="","",IF(H360&gt;0.69,"Functioning",IF(H360&gt;0.29,"Functioning At Risk",IF(H360&gt;-1,"Not Functioning"))))</f>
        <v/>
      </c>
      <c r="J360" s="684"/>
      <c r="K360" s="680"/>
    </row>
    <row r="361" spans="1:12" ht="15" customHeight="1" x14ac:dyDescent="0.3">
      <c r="A361" s="525"/>
      <c r="B361" s="572"/>
      <c r="C361" s="54" t="s">
        <v>9</v>
      </c>
      <c r="D361" s="54"/>
      <c r="E361" s="163"/>
      <c r="F361" s="339" t="str">
        <f>IF(E361="","",(IF(OR('Quantification Tool R5'!B$11="A",'Quantification Tool R5'!B$11="B",'Quantification Tool R5'!$B$11="Bc"),IF(E361&lt;1.2,0,IF(E361&gt;=2.2,1,ROUND(IF(E361&lt;1.4,E361*'Reference Standards'!$K$84+'Reference Standards'!$K$85,E361*'Reference Standards'!$L$84+'Reference Standards'!$L$85),2))),IF(OR('Quantification Tool R5'!B$11="C",'Quantification Tool R5'!B$11="E"),IF(E361&lt;2,0,IF(E361&gt;=5,1,ROUND(IF(E361&lt;2.4,E361*'Reference Standards'!$L$49+'Reference Standards'!$L$50,E361*'Reference Standards'!$K$49+'Reference Standards'!$K$50),2)))))))</f>
        <v/>
      </c>
      <c r="G361" s="690"/>
      <c r="H361" s="691"/>
      <c r="I361" s="675"/>
      <c r="J361" s="684"/>
      <c r="K361" s="680"/>
    </row>
    <row r="362" spans="1:12" ht="15" customHeight="1" x14ac:dyDescent="0.3">
      <c r="A362" s="526" t="s">
        <v>26</v>
      </c>
      <c r="B362" s="557" t="s">
        <v>27</v>
      </c>
      <c r="C362" s="60" t="s">
        <v>333</v>
      </c>
      <c r="D362" s="244"/>
      <c r="E362" s="61"/>
      <c r="F362" s="340" t="str">
        <f>IF(E362="","",IF(OR(LEFT('Quantification Tool R5'!$B$12,2)="65",LEFT('Quantification Tool R5'!$B$12,2)="66",LEFT('Quantification Tool R5'!$B$12,2)="71"),IF(E362&gt;=850,1,IF(E362&lt;250,ROUND('Reference Standards'!$S$17*(E362)+'Reference Standards'!$S$18,2),ROUND('Reference Standards'!$T$17*E362+'Reference Standards'!$T$18,2))),  IF(E362&gt;=345,1,IF(E362&lt;=180,ROUND('Reference Standards'!$U$17*(E362)+'Reference Standards'!$U$18,2),ROUND('Reference Standards'!$V$17*E362+'Reference Standards'!$V$18,2))))    )</f>
        <v/>
      </c>
      <c r="G362" s="676" t="str">
        <f>IFERROR(AVERAGE(F362:F363),"")</f>
        <v/>
      </c>
      <c r="H362" s="678" t="str">
        <f>IFERROR(ROUND(AVERAGE(G362:G383),2),"")</f>
        <v/>
      </c>
      <c r="I362" s="680" t="str">
        <f>IF(H362="","",IF(H362&gt;0.69,"Functioning",IF(H362&gt;0.29,"Functioning At Risk",IF(H362&gt;-1,"Not Functioning"))))</f>
        <v/>
      </c>
      <c r="J362" s="684"/>
      <c r="K362" s="680"/>
    </row>
    <row r="363" spans="1:12" ht="15" customHeight="1" x14ac:dyDescent="0.3">
      <c r="A363" s="520"/>
      <c r="B363" s="558"/>
      <c r="C363" s="63" t="s">
        <v>323</v>
      </c>
      <c r="D363" s="245"/>
      <c r="E363" s="53"/>
      <c r="F363" s="341" t="str">
        <f>IF(E363="","",IF(OR(LEFT('Quantification Tool R5'!$B$12,2)="65",LEFT('Quantification Tool R5'!$B$12,2)="66",LEFT('Quantification Tool R5'!$B$12,2)="71"),IF(E363&gt;=30,1,IF(E363&lt;13,ROUND('Reference Standards'!$S$53*(E363)+'Reference Standards'!$S$54,2),ROUND('Reference Standards'!$T$53*E363+'Reference Standards'!$T$54,2))),  IF(E363&gt;=16,1,IF(E363&lt;=9,ROUND('Reference Standards'!$U$53*(E363)+'Reference Standards'!$U$54,2),ROUND('Reference Standards'!$V$53*E363+'Reference Standards'!$V$54,2))))    )</f>
        <v/>
      </c>
      <c r="G363" s="677"/>
      <c r="H363" s="678"/>
      <c r="I363" s="680"/>
      <c r="J363" s="684"/>
      <c r="K363" s="680"/>
    </row>
    <row r="364" spans="1:12" ht="15.6" x14ac:dyDescent="0.3">
      <c r="A364" s="520"/>
      <c r="B364" s="520" t="s">
        <v>395</v>
      </c>
      <c r="C364" s="58" t="s">
        <v>80</v>
      </c>
      <c r="D364" s="58"/>
      <c r="E364" s="165"/>
      <c r="F364" s="340" t="str">
        <f>IF(E364="","",ROUND(IF(E364&gt;0.7,0,IF(E364&lt;=0.1,1,E364^3*'Reference Standards'!S$87+E364^2*'Reference Standards'!S$88+E364*'Reference Standards'!S$89+'Reference Standards'!S$90)),2))</f>
        <v/>
      </c>
      <c r="G364" s="552" t="str">
        <f>IFERROR(ROUND(AVERAGE(F364:F367),2),"")</f>
        <v/>
      </c>
      <c r="H364" s="679"/>
      <c r="I364" s="680"/>
      <c r="J364" s="684"/>
      <c r="K364" s="680"/>
    </row>
    <row r="365" spans="1:12" ht="15.6" x14ac:dyDescent="0.3">
      <c r="A365" s="520"/>
      <c r="B365" s="520"/>
      <c r="C365" s="58" t="s">
        <v>49</v>
      </c>
      <c r="D365" s="58"/>
      <c r="E365" s="165"/>
      <c r="F365" s="84"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553"/>
      <c r="H365" s="679"/>
      <c r="I365" s="680"/>
      <c r="J365" s="684"/>
      <c r="K365" s="680"/>
    </row>
    <row r="366" spans="1:12" ht="15.6" x14ac:dyDescent="0.3">
      <c r="A366" s="520"/>
      <c r="B366" s="520"/>
      <c r="C366" s="58" t="s">
        <v>87</v>
      </c>
      <c r="D366" s="58"/>
      <c r="E366" s="165"/>
      <c r="F366" s="84" t="str">
        <f>IF(E366="","",ROUND(IF(E366&gt;40,0,IF(E366&lt;5,1,E366^3*'Reference Standards'!S$122+E366^2*'Reference Standards'!S$123+E366*'Reference Standards'!S$124+'Reference Standards'!S$125)),2))</f>
        <v/>
      </c>
      <c r="G366" s="553"/>
      <c r="H366" s="679"/>
      <c r="I366" s="680"/>
      <c r="J366" s="684"/>
      <c r="K366" s="680"/>
    </row>
    <row r="367" spans="1:12" ht="15.6" x14ac:dyDescent="0.3">
      <c r="A367" s="520"/>
      <c r="B367" s="521"/>
      <c r="C367" s="59" t="s">
        <v>394</v>
      </c>
      <c r="D367" s="59"/>
      <c r="E367" s="167"/>
      <c r="F367" s="341" t="str">
        <f>IF(E367="","",ROUND(IF(E367&gt;=30,0,IF(E367&lt;=0,1,E367*'Reference Standards'!S$156+'Reference Standards'!S$157)),2))</f>
        <v/>
      </c>
      <c r="G367" s="554"/>
      <c r="H367" s="679"/>
      <c r="I367" s="680"/>
      <c r="J367" s="684"/>
      <c r="K367" s="680"/>
    </row>
    <row r="368" spans="1:12" ht="15.6" x14ac:dyDescent="0.3">
      <c r="A368" s="520"/>
      <c r="B368" s="520" t="s">
        <v>50</v>
      </c>
      <c r="C368" s="60" t="s">
        <v>377</v>
      </c>
      <c r="D368" s="64"/>
      <c r="E368" s="136"/>
      <c r="F368" s="294" t="str">
        <f>IF(E368="","",ROUND(IF(E368&gt;9.2,1,E368*'Reference Standards'!$S$189+'Reference Standards'!$S$190),2))</f>
        <v/>
      </c>
      <c r="G368" s="685" t="str">
        <f>IFERROR(ROUND(AVERAGE(F368:F377),2),"")</f>
        <v/>
      </c>
      <c r="H368" s="679"/>
      <c r="I368" s="680"/>
      <c r="J368" s="684"/>
      <c r="K368" s="680"/>
    </row>
    <row r="369" spans="1:12" ht="15.6" x14ac:dyDescent="0.3">
      <c r="A369" s="520"/>
      <c r="B369" s="520"/>
      <c r="C369" s="62" t="s">
        <v>378</v>
      </c>
      <c r="D369" s="58"/>
      <c r="E369" s="162"/>
      <c r="F369" s="294" t="str">
        <f>IF(E369="","",ROUND(IF(E369&gt;9.2,1,E369*'Reference Standards'!$S$189+'Reference Standards'!$S$190),2))</f>
        <v/>
      </c>
      <c r="G369" s="686"/>
      <c r="H369" s="679"/>
      <c r="I369" s="680"/>
      <c r="J369" s="684"/>
      <c r="K369" s="680"/>
    </row>
    <row r="370" spans="1:12" ht="15.6" x14ac:dyDescent="0.3">
      <c r="A370" s="520"/>
      <c r="B370" s="520"/>
      <c r="C370" s="62" t="s">
        <v>379</v>
      </c>
      <c r="D370" s="58"/>
      <c r="E370" s="162"/>
      <c r="F370" s="294" t="str">
        <f>IF(E370="","",ROUND( IF(E370&gt;=200,1,IF(E370&lt;50, E370^2*'Reference Standards'!S$224+E370*'Reference Standards'!S$225+'Reference Standards'!S$226, E370*'Reference Standards'!T$224+'Reference Standards'!T$225)),2))</f>
        <v/>
      </c>
      <c r="G370" s="686"/>
      <c r="H370" s="679"/>
      <c r="I370" s="680"/>
      <c r="J370" s="684"/>
      <c r="K370" s="680"/>
    </row>
    <row r="371" spans="1:12" ht="15.6" x14ac:dyDescent="0.3">
      <c r="A371" s="520"/>
      <c r="B371" s="520"/>
      <c r="C371" s="62" t="s">
        <v>380</v>
      </c>
      <c r="D371" s="58"/>
      <c r="E371" s="162"/>
      <c r="F371" s="294" t="str">
        <f>IF(E371="","",ROUND( IF(E371&gt;=200,1,IF(E371&lt;50, E371^2*'Reference Standards'!S$224+E371*'Reference Standards'!S$225+'Reference Standards'!S$226, E371*'Reference Standards'!T$224+'Reference Standards'!T$225)),2))</f>
        <v/>
      </c>
      <c r="G371" s="686"/>
      <c r="H371" s="679"/>
      <c r="I371" s="680"/>
      <c r="J371" s="684"/>
      <c r="K371" s="680"/>
    </row>
    <row r="372" spans="1:12" ht="15.6" x14ac:dyDescent="0.3">
      <c r="A372" s="520"/>
      <c r="B372" s="520"/>
      <c r="C372" s="58" t="s">
        <v>381</v>
      </c>
      <c r="D372" s="58"/>
      <c r="E372" s="162"/>
      <c r="F372" s="294" t="str">
        <f>IF(E372="","",ROUND(IF(AND(E372&gt;=135,E372&lt;=262),1,IF(  E372&gt;=366,0.5, IF(E372&lt;135,E372*'Reference Standards'!S$259+'Reference Standards'!S$260, E372*'Reference Standards'!T$259+'Reference Standards'!T$260))),2))</f>
        <v/>
      </c>
      <c r="G372" s="686"/>
      <c r="H372" s="679"/>
      <c r="I372" s="680"/>
      <c r="J372" s="684"/>
      <c r="K372" s="680"/>
      <c r="L372" s="21"/>
    </row>
    <row r="373" spans="1:12" ht="15.6" x14ac:dyDescent="0.3">
      <c r="A373" s="520"/>
      <c r="B373" s="520"/>
      <c r="C373" s="58" t="s">
        <v>382</v>
      </c>
      <c r="D373" s="58"/>
      <c r="E373" s="162"/>
      <c r="F373" s="294" t="str">
        <f>IF(E373="","",ROUND(IF(AND(E373&gt;=135,E373&lt;=262),1,IF(  E373&gt;=366,0.5, IF(E373&lt;135,E373*'Reference Standards'!S$259+'Reference Standards'!S$260, E373*'Reference Standards'!T$259+'Reference Standards'!T$260))),2))</f>
        <v/>
      </c>
      <c r="G373" s="686"/>
      <c r="H373" s="679"/>
      <c r="I373" s="680"/>
      <c r="J373" s="684"/>
      <c r="K373" s="680"/>
      <c r="L373" s="21"/>
    </row>
    <row r="374" spans="1:12" ht="15.6" x14ac:dyDescent="0.3">
      <c r="A374" s="520"/>
      <c r="B374" s="520"/>
      <c r="C374" s="58" t="s">
        <v>383</v>
      </c>
      <c r="D374" s="58"/>
      <c r="E374" s="162"/>
      <c r="F374" s="84" t="str">
        <f>IF(E374="","",ROUND(IF(E374&gt;=75,1,IF(E374&lt;=0,0,E374*'Reference Standards'!S$330)),2))</f>
        <v/>
      </c>
      <c r="G374" s="686"/>
      <c r="H374" s="679"/>
      <c r="I374" s="680"/>
      <c r="J374" s="684"/>
      <c r="K374" s="680"/>
      <c r="L374" s="21"/>
    </row>
    <row r="375" spans="1:12" ht="15.6" x14ac:dyDescent="0.3">
      <c r="A375" s="520"/>
      <c r="B375" s="520"/>
      <c r="C375" s="58" t="s">
        <v>384</v>
      </c>
      <c r="D375" s="58"/>
      <c r="E375" s="162"/>
      <c r="F375" s="84" t="str">
        <f>IF(E375="","",ROUND(IF(E375&gt;=75,1,IF(E375&lt;=0,0,E375*'Reference Standards'!S$330)),2))</f>
        <v/>
      </c>
      <c r="G375" s="686"/>
      <c r="H375" s="679"/>
      <c r="I375" s="680"/>
      <c r="J375" s="684"/>
      <c r="K375" s="680"/>
      <c r="L375" s="21"/>
    </row>
    <row r="376" spans="1:12" ht="15.6" x14ac:dyDescent="0.3">
      <c r="A376" s="520"/>
      <c r="B376" s="520"/>
      <c r="C376" s="58" t="s">
        <v>385</v>
      </c>
      <c r="D376" s="58"/>
      <c r="E376" s="162"/>
      <c r="F376" s="294" t="str">
        <f>IF(E376="","",ROUND(IF(AND(E376&gt;=36.3,E376&lt;=68),1,IF(E376&gt;100,0,IF(E376&lt;36.3,(('Reference Standards'!S$297*(E376^2))+('Reference Standards'!S$298*E376)+'Reference Standards'!S$299),IF(E376&gt;68,(('Reference Standards'!T$297*(E376^2))+('Reference Standards'!T$298*E376)+'Reference Standards'!T$299))))),2))</f>
        <v/>
      </c>
      <c r="G376" s="686"/>
      <c r="H376" s="679"/>
      <c r="I376" s="680"/>
      <c r="J376" s="684"/>
      <c r="K376" s="680"/>
      <c r="L376" s="21"/>
    </row>
    <row r="377" spans="1:12" ht="15.6" x14ac:dyDescent="0.3">
      <c r="A377" s="520"/>
      <c r="B377" s="521"/>
      <c r="C377" s="58" t="s">
        <v>386</v>
      </c>
      <c r="D377" s="65"/>
      <c r="E377" s="162"/>
      <c r="F377" s="294" t="str">
        <f>IF(E377="","",ROUND(IF(AND(E377&gt;=36.3,E377&lt;=68),1,IF(E377&gt;100,0,IF(E377&lt;36.3,(('Reference Standards'!S$297*(E377^2))+('Reference Standards'!S$298*E377)+'Reference Standards'!S$299),IF(E377&gt;68,(('Reference Standards'!T$297*(E377^2))+('Reference Standards'!T$298*E377)+'Reference Standards'!T$299))))),2))</f>
        <v/>
      </c>
      <c r="G377" s="687"/>
      <c r="H377" s="679"/>
      <c r="I377" s="680"/>
      <c r="J377" s="684"/>
      <c r="K377" s="680"/>
      <c r="L377" s="21"/>
    </row>
    <row r="378" spans="1:12" ht="15.6" x14ac:dyDescent="0.3">
      <c r="A378" s="520"/>
      <c r="B378" s="56" t="s">
        <v>108</v>
      </c>
      <c r="C378" s="72" t="s">
        <v>130</v>
      </c>
      <c r="D378" s="58"/>
      <c r="E378" s="43"/>
      <c r="F378" s="82" t="str">
        <f>IF(E378="","",IF(OR('Quantification Tool R5'!B$14="Gravel",'Quantification Tool R5'!B$14="Cobble"),IF(E378&gt;0.1,1,IF(E378&lt;=0.01,0,ROUND(E378*'Reference Standards'!$S$362+'Reference Standards'!$S$363,2)))))</f>
        <v/>
      </c>
      <c r="G378" s="251" t="str">
        <f>IFERROR(AVERAGE(F378),"")</f>
        <v/>
      </c>
      <c r="H378" s="679"/>
      <c r="I378" s="680"/>
      <c r="J378" s="684"/>
      <c r="K378" s="680"/>
      <c r="L378" s="21"/>
    </row>
    <row r="379" spans="1:12" ht="15.6" x14ac:dyDescent="0.3">
      <c r="A379" s="520"/>
      <c r="B379" s="526" t="s">
        <v>51</v>
      </c>
      <c r="C379" s="64" t="s">
        <v>52</v>
      </c>
      <c r="D379" s="64"/>
      <c r="E379" s="166"/>
      <c r="F379" s="337" t="str">
        <f>IF(E379="","", IF(ISNUMBER('Quantification Tool R5'!$B$17), IF('Quantification Tool R5'!$B$17&lt;=2,   IF(AND(E379&gt;=3,E379&lt;=5),1, IF(OR(E379&lt;=1,E379&gt;=7), 0, ROUND( IF(E379&lt;3, E379*'Reference Standards'!S$398+'Reference Standards'!S$399,E379*'Reference Standards'!T$398+'Reference Standards'!T$399),2) ) ),   IF(E379&lt;=2.5,1, IF(E379&gt;=5.8,0, ROUND(E379*'Reference Standards'!S$430+'Reference Standards'!S$431,2))))   ))</f>
        <v/>
      </c>
      <c r="G379" s="676" t="str">
        <f>IFERROR(AVERAGE(F379:F382),"")</f>
        <v/>
      </c>
      <c r="H379" s="679"/>
      <c r="I379" s="680"/>
      <c r="J379" s="684"/>
      <c r="K379" s="680"/>
      <c r="L379" s="21"/>
    </row>
    <row r="380" spans="1:12" ht="15.6" x14ac:dyDescent="0.3">
      <c r="A380" s="520"/>
      <c r="B380" s="520"/>
      <c r="C380" s="58" t="s">
        <v>53</v>
      </c>
      <c r="D380" s="58"/>
      <c r="E380" s="165"/>
      <c r="F380" s="84" t="str">
        <f>IF(E380="","", IF( E380&gt;=2.4,1, IF(E380&lt;=1,0,  ROUND(IF(E380&lt;2.4, E380*'Reference Standards'!$S$464+'Reference Standards'!$S$465 ),2))))</f>
        <v/>
      </c>
      <c r="G380" s="688"/>
      <c r="H380" s="679"/>
      <c r="I380" s="680"/>
      <c r="J380" s="684"/>
      <c r="K380" s="680"/>
      <c r="L380" s="21"/>
    </row>
    <row r="381" spans="1:12" ht="15.6" x14ac:dyDescent="0.3">
      <c r="A381" s="520"/>
      <c r="B381" s="520"/>
      <c r="C381" s="58" t="s">
        <v>334</v>
      </c>
      <c r="D381" s="58"/>
      <c r="E381" s="165"/>
      <c r="F381" s="390" t="str">
        <f>IF(E381="","", IF(LEFT('Quantification Tool R5'!$B$12,2)="67",  IF( AND(E381&gt;=45,E381&lt;=65),1, IF(OR(E381&lt;=20,E381&gt;=90),0, ROUND(  IF(E381&lt;45, E381*'Reference Standards'!$S$498+'Reference Standards'!$S$499,E381*'Reference Standards'!$T$498+'Reference Standards'!$T$499),2))), IF(OR(  LEFT('Quantification Tool R5'!$B$12,2)="68", LEFT('Quantification Tool R5'!$B$12,2)="69",LEFT('Quantification Tool R5'!$B$12,2)="71"),  IF( AND(E381&gt;=30,E381&lt;=50),1, IF(OR(E381&lt;=10,E381&gt;=70),0, ROUND(  IF(E381&lt;30, E381*'Reference Standards'!$S$533+'Reference Standards'!$S$534,E381*'Reference Standards'!$T$533+'Reference Standards'!$T$534),2))), IF(LEFT('Quantification Tool R5'!$B$12,2)="66",  IF( AND(E381&gt;=20,E381&lt;=45),1, IF(OR(E381&lt;=0,E381&gt;=90),0, ROUND(  IF(E381&lt;20, E381*'Reference Standards'!$S$567+'Reference Standards'!$S$568,E381*'Reference Standards'!$T$567+'Reference Standards'!$T$568),2))), IF(OR(  LEFT('Quantification Tool R5'!$B$12,2)="65", LEFT('Quantification Tool R5'!$B$12,2)="74", LEFT('Quantification Tool R5'!$B$12,2)="73"),  IF( AND(E381&gt;=20,E381&lt;=30),1, IF(OR(E381&lt;=0,E381&gt;=50),0, ROUND(  IF(E381&lt;20, E381*'Reference Standards'!$S$601+'Reference Standards'!$S$602,E381*'Reference Standards'!$T$601+'Reference Standards'!$T$602),2))))))))</f>
        <v/>
      </c>
      <c r="G381" s="688"/>
      <c r="H381" s="679"/>
      <c r="I381" s="680"/>
      <c r="J381" s="684"/>
      <c r="K381" s="680"/>
      <c r="L381" s="21"/>
    </row>
    <row r="382" spans="1:12" ht="15.6" x14ac:dyDescent="0.3">
      <c r="A382" s="520"/>
      <c r="B382" s="521"/>
      <c r="C382" s="62" t="s">
        <v>210</v>
      </c>
      <c r="D382" s="58"/>
      <c r="E382" s="167"/>
      <c r="F382" s="391" t="str">
        <f>IF(E382="","",IF(E382&gt;=1.6,0,IF(E382&lt;=1,1,ROUND('Reference Standards'!$S$633*E382^3+'Reference Standards'!$S$634*E382^2+'Reference Standards'!$S$635*E382+'Reference Standards'!$S$636,2))))</f>
        <v/>
      </c>
      <c r="G382" s="677"/>
      <c r="H382" s="679"/>
      <c r="I382" s="680"/>
      <c r="J382" s="684"/>
      <c r="K382" s="680"/>
      <c r="L382" s="21"/>
    </row>
    <row r="383" spans="1:12" ht="15.6" x14ac:dyDescent="0.3">
      <c r="A383" s="521"/>
      <c r="B383" s="296" t="s">
        <v>55</v>
      </c>
      <c r="C383" s="242" t="s">
        <v>54</v>
      </c>
      <c r="D383" s="243"/>
      <c r="E383" s="163"/>
      <c r="F383" s="342" t="str">
        <f>IF(E383="","",IF(AND('Quantification Tool R5'!B$11="E",'Quantification Tool R5'!$B$14="Sand",'Quantification Tool R5'!$B$21="Unconfined Alluvial"),ROUND(IF(OR(E383&gt;1.8,E383&lt;1.3),0,IF(E383&lt;=1.6,1,E383*'Reference Standards'!S$667+'Reference Standards'!S$668)),2),    IF('Quantification Tool R5'!$B$21="Unconfined Alluvial",ROUND(IF(OR(E383&lt;1.2, E383&gt;1.5),0,IF(E383&lt;=1.4,1,E383*'Reference Standards'!$S$700+'Reference Standards'!$S$701)),2), IF('Quantification Tool R5'!$B$21="Confined Alluvial",ROUND(IF(E383&lt;1.15,0,IF(E383&lt;=1.4,E383*'Reference Standards'!$S$729+'Reference Standards'!$S$730,1)),2),  IF('Quantification Tool R5'!$B$21="Colluvial",ROUND(IF(E383&gt;1.3,0,IF(E383&gt;1.2,E383*'Reference Standards'!$S$760+'Reference Standards'!$S$761,1)),2) )))))</f>
        <v/>
      </c>
      <c r="G383" s="252" t="str">
        <f>IFERROR(AVERAGE(F383),"")</f>
        <v/>
      </c>
      <c r="H383" s="679"/>
      <c r="I383" s="680"/>
      <c r="J383" s="684"/>
      <c r="K383" s="680"/>
      <c r="L383" s="21"/>
    </row>
    <row r="384" spans="1:12" ht="15.6" x14ac:dyDescent="0.3">
      <c r="A384" s="537" t="s">
        <v>58</v>
      </c>
      <c r="B384" s="67" t="s">
        <v>88</v>
      </c>
      <c r="C384" s="70" t="s">
        <v>338</v>
      </c>
      <c r="D384" s="70"/>
      <c r="E384" s="43"/>
      <c r="F384" s="343" t="str">
        <f>IF(E384="","",ROUND(IF(E384&gt;=942,0,IF(E384&lt;=487,E384*'Reference Standards'!AB$15+'Reference Standards'!AB$16,E384*'Reference Standards'!$AC$15+'Reference Standards'!$AC$16)),2))</f>
        <v/>
      </c>
      <c r="G384" s="253" t="str">
        <f>IFERROR(AVERAGE(F384),"")</f>
        <v/>
      </c>
      <c r="H384" s="692" t="str">
        <f>IFERROR(ROUND(AVERAGE(G384:G387),2),"")</f>
        <v/>
      </c>
      <c r="I384" s="695" t="str">
        <f>IF(H384="","",IF(H384&gt;0.69,"Functioning",IF(H384&gt;0.29,"Functioning At Risk",IF(H384&gt;-1,"Not Functioning"))))</f>
        <v/>
      </c>
      <c r="J384" s="684"/>
      <c r="K384" s="680"/>
      <c r="L384" s="21"/>
    </row>
    <row r="385" spans="1:12" ht="15.75" customHeight="1" x14ac:dyDescent="0.3">
      <c r="A385" s="538"/>
      <c r="B385" s="297" t="s">
        <v>362</v>
      </c>
      <c r="C385" s="66" t="s">
        <v>354</v>
      </c>
      <c r="D385" s="66"/>
      <c r="E385" s="163"/>
      <c r="F385" s="344" t="str">
        <f>IF(E385="","",IF(OR('Quantification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June")),IF(E385&gt;93,0,IF(E385&lt;13,1,ROUND('Reference Standards'!$AB$53*E385^2+'Reference Standards'!$AB$54*E385+'Reference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R5'!$B$12="73b"),IF(E385&gt;94,0,IF(E385&lt;17,1,ROUND('Reference Standards'!$AC$53*E385^2+'Reference Standards'!$AC$54*E385+'Reference Standards'!$AC$55,2))),    IF(OR(AND(OR('Quantification Tool R5'!$B$12="68b",'Quantification Tool R5'!$B$12="71i"),'Quantification Tool R5'!$B$13&gt;2), 'Quantification Tool R5'!$B$12="71e"),IF(E385&gt;91,0,IF(E385&lt;24,1,ROUND('Reference Standards'!$AD$53*E385^2+'Reference Standards'!$AD$54*E385+'Reference Standards'!$AD$55,2))),  IF(OR(AND(OR('Quantification Tool R5'!$B$12="71f",'Quantification Tool R5'!$B$12="71g",'Quantification Tool R5'!$B$12="71h",'Quantification Tool R5'!$B$12="71i"),'Quantification Tool R5'!$B$13&lt;=2), AND('Quantification Tool R5'!$B$12="74a",'Quantification Tool R5'!$B$13&gt;2)),IF(E385&gt;95,0,IF(E385&lt;=36,1,ROUND('Reference Standards'!$AE$53*E385^2+'Reference Standards'!$AE$54*E385+'Reference Standards'!$AE$55,2))))))))</f>
        <v/>
      </c>
      <c r="G385" s="254" t="str">
        <f>IFERROR(AVERAGE(F385:F385),"")</f>
        <v/>
      </c>
      <c r="H385" s="693"/>
      <c r="I385" s="696"/>
      <c r="J385" s="684"/>
      <c r="K385" s="680"/>
    </row>
    <row r="386" spans="1:12" ht="15.75" customHeight="1" x14ac:dyDescent="0.3">
      <c r="A386" s="538"/>
      <c r="B386" s="67" t="s">
        <v>81</v>
      </c>
      <c r="C386" s="68" t="s">
        <v>281</v>
      </c>
      <c r="D386" s="68"/>
      <c r="E386" s="162"/>
      <c r="F386" s="344" t="str">
        <f>IF(E386="","",IF(ISNUMBER('Quantification Tool R5'!$B$13),IF(OR('Quantification Tool R5'!$B$12="66e",'Quantification Tool R5'!$B$12="66f",'Quantification Tool R5'!$B$12="66g"),ROUND(IF(E386&gt;=0.61,0,IF(E386&lt;=0.01,1,IF(E386&lt;=0.06,E386*'Reference Standards'!$AD$197+'Reference Standards'!$AD$198,E386^2*'Reference Standards'!$AB$196+E386*'Reference Standards'!$AB$197+'Reference Standards'!$AB$198))),2),IF('Quantification Tool R5'!$B$12="68b",ROUND(IF(E386&gt;=1.1,0,IF(E386&lt;=0.17,1,IF(E386&lt;=0.22,E386*'Reference Standards'!$AE$197+'Reference Standards'!$AE$198,E386^2*'Reference Standards'!$AC$196+E386*'Reference Standards'!$AC$197+'Reference Standards'!$AC$198))),2),IF('Quantification Tool R5'!$B$13&lt;=2.5,IF('Quantification Tool R5'!$B$12="69de",ROUND(IF(E386&gt;=0.22,0,IF(E386&lt;=0.01,1,E386^2*'Reference Standards'!$AB$90+E386*'Reference Standards'!$AB$91+'Reference Standards'!$AB$92)),2),IF('Quantification Tool R5'!$B$12="68c",ROUND(IF(E386&gt;=0.87,0,IF(E386&lt;=0.01,1,E386^2*'Reference Standards'!$AC$90+E386*'Reference Standards'!$AC$91+'Reference Standards'!$AC$92)),2),IF('Quantification Tool R5'!$B$12="68a",ROUND(IF(E386&gt;=0.81,0,IF(E386&lt;=0.01,1,E386^2*'Reference Standards'!$AD$90+E386*'Reference Standards'!$AD$91+'Reference Standards'!$AD$92)),2),IF('Quantification Tool R5'!$B$12="65abei",ROUND(IF(E386&gt;=0.67,0,IF(E386&lt;=0.01,1,IF(E386&lt;=0.18,E386*'Reference Standards'!$AG$91+'Reference Standards'!$AG$92,E386*'Reference Standards'!$AE$91+'Reference Standards'!$AE$92))),2),IF('Quantification Tool R5'!$B$12="65j",ROUND(IF(E386&gt;=0.32,0,IF(E386&lt;=0.01,1,IF(E386&lt;=0.25,E386*'Reference Standards'!$AH$91+'Reference Standards'!$AH$92,E386*'Reference Standards'!$AF$91+'Reference Standards'!$AF$92))),2),IF('Quantification Tool R5'!$B$12="71f",ROUND(IF(E386&gt;=3,0,IF(E386&lt;=0,1,IF(E386&lt;=0.01,0.7,E386^2*'Reference Standards'!$AB$126+E386*'Reference Standards'!$AB$127+'Reference Standards'!$AB$128))),2),IF('Quantification Tool R5'!$B$12="74a",ROUND(IF(E386&gt;=0.14,0,IF(E386&lt;=0.01,1,IF(E386&lt;=0.02,0.7,E386^2*'Reference Standards'!$AC$126+E386*'Reference Standards'!$AC$127+'Reference Standards'!$AC$128))),2),IF(OR('Quantification Tool R5'!$B$12="67fhi",'Quantification Tool R5'!$B$12="67g"),ROUND(IF(E386&gt;=1.9,0,IF(E386&lt;=0.01,1,IF(E386&lt;=0.05,E386*'Reference Standards'!$AF$127+'Reference Standards'!$AF$128,E386^2*'Reference Standards'!$AD$126+E386*'Reference Standards'!$AD$127+'Reference Standards'!$AD$128))),2),IF('Quantification Tool R5'!$B$12="73a",ROUND(IF(E386&gt;=1.44,0,IF(E386&lt;=0.01,1,IF(E386&lt;=0.12,E386*'Reference Standards'!$AG$127+'Reference Standards'!$AG$128,E386^2*'Reference Standards'!$AE$126+E386*'Reference Standards'!$AE$127+'Reference Standards'!$AE$128))),2),IF('Quantification Tool R5'!$B$12="66d",ROUND(IF(E386&gt;=0.46,0,IF(E386&lt;=0.02,1,IF(E386&lt;=0.08,E386*'Reference Standards'!$AF$163+'Reference Standards'!$AF$164,E386^2*'Reference Standards'!$AB$162+E386*'Reference Standards'!$AB$163+'Reference Standards'!$AB$164))),2),IF(OR('Quantification Tool R5'!$B$12="71g",'Quantification Tool R5'!$B$12="71h",'Quantification Tool R5'!$B$12="71i"),ROUND(IF(E386&gt;=3,0,IF(E386&lt;=0.06,1,IF(E386&lt;=0.24,E386*'Reference Standards'!$AG$163+'Reference Standards'!$AG$164,E386^2*'Reference Standards'!$AC$162+E386*'Reference Standards'!$AC$163+'Reference Standards'!$AC$164))),2),IF('Quantification Tool R5'!$B$12="74b",ROUND(IF(E386&gt;=1.3,0,IF(E386&lt;=0.29,1,IF(E386&lt;=0.48,E386*'Reference Standards'!$AH$163+'Reference Standards'!$AH$164,E386^2*'Reference Standards'!$AD$162+E386*'Reference Standards'!$AD$163+'Reference Standards'!$AD$164))),2),IF('Quantification Tool R5'!$B$12="71e",ROUND(IF(E386&gt;=4.3,0,IF(E386&lt;=0.53,1,IF(E386&lt;=0.67,E386*'Reference Standards'!$AI$163+'Reference Standards'!$AI$164,E386^2*'Reference Standards'!$AE$162+E386*'Reference Standards'!$AE$163+'Reference Standards'!$AE$164))),2)))))))))))))),IF('Quantification Tool R5'!$B$13&gt;2.5,IF('Quantification Tool R5'!$B$12="73a",ROUND(IF(E386&gt;=0.55,0,IF(E386&lt;=0,1,E386^2*'Reference Standards'!$AB$232+E386*'Reference Standards'!$AB$233+'Reference Standards'!$AB$234)),2),IF('Quantification Tool R5'!$B$12="68a",ROUND(IF(E386&gt;=0.54,0,IF(E386&lt;=0,1,IF(E386&lt;=0.01,0.85,E386^2*'Reference Standards'!$AC$232+E386*'Reference Standards'!$AC$233+'Reference Standards'!$AC$234))),2),IF('Quantification Tool R5'!$B$12="74a",ROUND(IF(E386&gt;=0.47,0,IF(E386&lt;=0.01,1,IF(E386&lt;=0.02,0.7,E386^2*'Reference Standards'!$AD$232+E386*'Reference Standards'!$AD$233+'Reference Standards'!$AD$234))),2),IF('Quantification Tool R5'!$B$12="69de",ROUND(IF(E386&gt;=0.26,0,IF(E386&lt;=0.01,1,IF(E386&lt;=0.02,0.85,E386^2*'Reference Standards'!$AE$232+E386*'Reference Standards'!$AE$233+'Reference Standards'!$AE$234))),2),IF('Quantification Tool R5'!$B$12="71f",ROUND(IF(E386&gt;=0.87,0,IF(E386&lt;=0.01,1,IF(E386&lt;=0.04,E386*'Reference Standards'!$AF$269+'Reference Standards'!$AF$270,E386^2*'Reference Standards'!$AB$268+E386*'Reference Standards'!$AB$269+'Reference Standards'!$AB$270))),2),IF('Quantification Tool R5'!$B$12="65abei",ROUND(IF(E386&gt;=0.82,0,IF(E386&lt;=0.01,1,IF(E386&lt;=0.06,E386*'Reference Standards'!$AG$269+'Reference Standards'!$AG$270,E386^2*'Reference Standards'!$AC$268+E386*'Reference Standards'!$AC$269+'Reference Standards'!$AC$270))),2),IF('Quantification Tool R5'!$B$12="65j",ROUND(IF(E386&gt;=0.33,0,IF(E386&lt;=0.03,1,IF(E386&lt;=0.09,E386*'Reference Standards'!$AH$269+'Reference Standards'!$AH$270,E386^2*'Reference Standards'!$AD$268+E386*'Reference Standards'!$AD$269+'Reference Standards'!$AD$270))),2),IF('Quantification Tool R5'!$B$12="68c",ROUND(IF(E386&gt;=0.7,0,IF(E386&lt;=0.07,1,IF(E386&lt;=0.12,E386*'Reference Standards'!$AI$269+'Reference Standards'!$AI$270,E386^2*'Reference Standards'!$AE$268+E386*'Reference Standards'!$AE$269+'Reference Standards'!$AE$270))),2),IF(OR('Quantification Tool R5'!$B$12="67fhi",'Quantification Tool R5'!$B$12="67g"),ROUND(IF(E386&gt;=1.8,0,IF(E386&lt;=0.08,1,IF(E386&lt;=0.2,E386*'Reference Standards'!$AF$306+'Reference Standards'!$AF$307,E386^2*'Reference Standards'!$AB$305+E386*'Reference Standards'!$AB$306+'Reference Standards'!$AB$307))),2),IF('Quantification Tool R5'!$B$12="74b",ROUND(IF(E386&gt;=0.96,0,IF(E386&lt;=0.12,1,IF(E386&lt;=0.16,E386*'Reference Standards'!$AG$306+'Reference Standards'!$AG$307,E386^2*'Reference Standards'!$AC$305+E386*'Reference Standards'!$AC$306+'Reference Standards'!$AC$307))),2),IF('Quantification Tool R5'!$B$12="66d",ROUND(IF(E386&gt;=0.75,0,IF(E386&lt;=0.13,1,IF(E386&lt;=0.2,E386*'Reference Standards'!$AH$306+'Reference Standards'!$AH$307,E386^2*'Reference Standards'!$AD$305+E386*'Reference Standards'!$AD$306+'Reference Standards'!$AD$307))),2),IF(OR('Quantification Tool R5'!$B$12="71g",'Quantification Tool R5'!$B$12="71h",'Quantification Tool R5'!$B$12="71i"),ROUND(IF(E386&gt;=1.68,0,IF(E386&lt;=0.08,1,IF(E386&lt;=0.23,E386*'Reference Standards'!$AI$306+'Reference Standards'!$AI$307,E386^2*'Reference Standards'!$AE$305+E386*'Reference Standards'!$AE$306+'Reference Standards'!$AE$307))),2),IF('Quantification Tool R5'!$B$12="71e",ROUND(IF(E386&gt;=5.3,0,IF(E386&lt;=0.94,1,IF(E386&lt;=1.4,E386*'Reference Standards'!$AF$310+'Reference Standards'!$AF$311,E386^2*'Reference Standards'!$AB$309+E386*'Reference Standards'!$AB$310+'Reference Standards'!$AB$311))),2))))))))))))))))))))</f>
        <v/>
      </c>
      <c r="G386" s="255" t="str">
        <f>IFERROR(AVERAGE(F386),"")</f>
        <v/>
      </c>
      <c r="H386" s="693"/>
      <c r="I386" s="696"/>
      <c r="J386" s="684"/>
      <c r="K386" s="680"/>
    </row>
    <row r="387" spans="1:12" ht="15.75" customHeight="1" x14ac:dyDescent="0.3">
      <c r="A387" s="539"/>
      <c r="B387" s="298" t="s">
        <v>82</v>
      </c>
      <c r="C387" s="66" t="s">
        <v>280</v>
      </c>
      <c r="D387" s="66"/>
      <c r="E387" s="136"/>
      <c r="F387" s="343" t="str">
        <f>IF(E387="","", IF(ISNUMBER('Quantification Tool R5'!$B$13),IF('Quantification Tool R5'!$B$13&gt;2.5,IF(OR('Quantification Tool R5'!$B$12="71h",'Quantification Tool R5'!$B$12="71i",'Quantification Tool R5'!$B$12="73a",'Quantification Tool R5'!$B$12="74a"),IF(E387&lt;=0.01,1,IF(OR('Quantification Tool R5'!$B$12="71h",'Quantification Tool R5'!$B$12="71i"),IF(E387&gt;0.37,0,ROUND(IF(E387&gt;0.03,'Reference Standards'!$AB$425*E387^2+'Reference Standards'!$AB$426*E387+'Reference Standards'!$AB$427,'Reference Standards'!$AF$426*E387+'Reference Standards'!$AF$427),2)),  IF('Quantification Tool R5'!$B$12="73a",IF(E387&gt;0.405,0,ROUND(IF(E387&gt;0.046,'Reference Standards'!$AC$425*E387^2+'Reference Standards'!$AC$426*E387+'Reference Standards'!$AC$427,'Reference Standards'!$AG$426*E387+'Reference Standards'!$AG$427),2)),IF('Quantification Tool R5'!$B$12="74a",IF(E387&gt;0.3,0,ROUND(IF(E387&gt;0.052,'Reference Standards'!$AD$425*E387^2+'Reference Standards'!$AD$426*E387+'Reference Standards'!$AD$427,'Reference Standards'!$AH$426*E387+'Reference Standards'!$AH$427),2)))))),   IF(E387&lt;=0.002,1,IF(OR('Quantification Tool R5'!$B$12="66d",'Quantification Tool R5'!$B$12="66e",'Quantification Tool R5'!$B$12="66g"),IF(E387&gt;0.053,0,ROUND(E387^2*'Reference Standards'!$AB$347+E387*'Reference Standards'!$AB$348+'Reference Standards'!$AB$349,2)), IF('Quantification Tool R5'!$B$12="68b",IF(E387&gt;0.05,0,ROUND(E387^2*'Reference Standards'!$AC$347+E387*'Reference Standards'!$AC$348+'Reference Standards'!$AC$349,2)),  IF(OR('Quantification Tool R5'!$B$12="68a",'Quantification Tool R5'!$B$12="68c"),IF(E387&gt;0.07,0,ROUND(E387^2*'Reference Standards'!$AD$347+E387*'Reference Standards'!$AD$348+'Reference Standards'!$AD$349,2)), IF(OR('Quantification Tool R5'!$B$12="71f",'Quantification Tool R5'!$B$12="71g"),IF(E387&gt;0.13,0,ROUND(IF(E387&gt;0.042,E387*'Reference Standards'!$AE$348+'Reference Standards'!$AE$349,E387*'Reference Standards'!$AF$348+'Reference Standards'!$AF$349),2)), IF('Quantification Tool R5'!$B$12="67fhi",IF(E387&gt;0.16,0,ROUND(E387^2*'Reference Standards'!$AG$347+E387*'Reference Standards'!$AG$348+'Reference Standards'!$AG$349,2)),  IF('Quantification Tool R5'!$B$12="65j",IF(E387&gt;0.035,0,ROUND(IF(E387&lt;=0.003,0.7,E387^2*'Reference Standards'!$AB$387+E387*'Reference Standards'!$AB$388+'Reference Standards'!$AB$389),2)),IF('Quantification Tool R5'!$B$12="69de",IF(E387&gt;0.037,0,ROUND(IF(E387&lt;=0.003,0.7,E387^2*'Reference Standards'!$AC$387+E387*'Reference Standards'!$AC$388+'Reference Standards'!$AC$389),2)),IF('Quantification Tool R5'!$B$12="71e",IF(E387&gt;0.23,0,ROUND(IF(E387&lt;=0.003,0.7,E387^2*'Reference Standards'!$AD$387+E387*'Reference Standards'!$AD$388+'Reference Standards'!$AD$389),2)),IF('Quantification Tool R5'!$B$12="66f",IF(E387&gt;0.06,0,ROUND(IF(E387&lt;=0.003,0.85,IF(E387&lt;=0.004,0.7,E387^2*'Reference Standards'!$AE$387+E387*'Reference Standards'!$AE$388+'Reference Standards'!$AE$389)),2)),IF('Quantification Tool R5'!$B$12="67g",IF(E387&gt;0.11,0,ROUND(IF(E387&lt;=0.01,E387*'Reference Standards'!$AH$388+'Reference Standards'!$AH$389, E387^2*'Reference Standards'!$AF$387+E387*'Reference Standards'!$AF$388+'Reference Standards'!$AF$389),2)),IF('Quantification Tool R5'!$B$12="74b",IF(E387&gt;0.49,0,ROUND(IF(E387&lt;=0.01,E387*'Reference Standards'!$AH$388+'Reference Standards'!$AH$389, E387^2*'Reference Standards'!$AG$387+E387*'Reference Standards'!$AG$388+'Reference Standards'!$AG$389),2)),IF('Quantification Tool R5'!$B$12="65abei",IF(E387&gt;0.199,0,ROUND(IF(E387&lt;=0.01,E387*'Reference Standards'!$AI$426+'Reference Standards'!$AI$427, E387^2*'Reference Standards'!$AE$425+E387*'Reference Standards'!$AE$426+'Reference Standards'!$AE$427),2))    )))))))))))))),      IF('Quantification Tool R5'!$B$13&lt;=2.5, IF(OR('Quantification Tool R5'!$B$12="66d",'Quantification Tool R5'!$B$12="66e",'Quantification Tool R5'!$B$12="66g"),IF(E387&gt;0.05,0,ROUND(IF(E387&lt;=0.002,1,IF(E387&lt;=0.005,E387*'Reference Standards'!$AF$464+'Reference Standards'!$AF$465, E387^2*'Reference Standards'!$AB$463+E387*'Reference Standards'!$AB$464+'Reference Standards'!$AB$465)),2)), IF('Quantification Tool R5'!$B$12="67fhi",IF(E387&gt;0.1,0,ROUND(IF(E387&lt;=0.002,1,IF(E387&lt;=0.006,E387*'Reference Standards'!$AG$464+'Reference Standards'!$AG$465, E387^2*'Reference Standards'!$AC$463+E387*'Reference Standards'!$AC$464+'Reference Standards'!$AC$465)),2)), IF('Quantification Tool R5'!$B$12="65abei",IF(E387&gt;0.13,0,ROUND(IF(E387&lt;=0.003,1,IF(E387&lt;=0.008,E387*'Reference Standards'!$AH$464+'Reference Standards'!$AH$465, E387^2*'Reference Standards'!$AD$463+E387*'Reference Standards'!$AD$464+'Reference Standards'!$AD$465)),2)), IF('Quantification Tool R5'!$B$12="68b",IF(E387&gt;0.043,0,ROUND(IF(E387&lt;=0.004,1, IF(E387&lt;=0.005,0.7, E387^2*'Reference Standards'!$AE$463+E387*'Reference Standards'!$AE$464+'Reference Standards'!$AE$465)),2)), IF('Quantification Tool R5'!$B$12="69de",IF(E387&gt;=0.034,0,ROUND(IF(E387&lt;=0.003,1, IF(E387&lt;=0.006,E387*'Reference Standards'!$AG$500+'Reference Standards'!$AG$501, E387*'Reference Standards'!$AB$500+'Reference Standards'!$AB$501)),2)), IF(OR('Quantification Tool R5'!$B$12="68a",'Quantification Tool R5'!$B$12="68c"),IF(E387&gt;0.202,0,ROUND(IF(E387&lt;=0.003,1, IF(E387&lt;=0.006,E387*'Reference Standards'!$AG$500+'Reference Standards'!$AG$501, IF(E387&gt;=0.04,E387*'Reference Standards'!$AC$500+'Reference Standards'!$AC$501,E387*'Reference Standards'!$AE$500+'Reference Standards'!$AE$501))),2)), IF(OR('Quantification Tool R5'!$B$12="71f",'Quantification Tool R5'!$B$12="71g"),IF(E387&gt;0.631,0,ROUND(IF(E387&lt;=0.003,1, IF(E387&lt;=0.006,E387*'Reference Standards'!$AG$500+'Reference Standards'!$AG$501, IF(E387&gt;=0.17,E387*'Reference Standards'!$AD$500+'Reference Standards'!$AD$501,E387*'Reference Standards'!$AF$500+'Reference Standards'!$AF$501))),2)),   IF('Quantification Tool R5'!$B$12="71e",IF(E387&gt;1.23,0,ROUND(IF(E387&lt;=0.004,1,IF(E387&lt;=0.006,E387*'Reference Standards'!$AF$538+'Reference Standards'!$AF$539, E387^2*'Reference Standards'!$AB$537+E387*'Reference Standards'!$AB$538+'Reference Standards'!$AB$539)),2)), IF('Quantification Tool R5'!$B$12="67g",IF(E387&gt;0.11,0,ROUND(IF(E387&lt;=0.006,1,IF(E387&lt;=0.011,E387*'Reference Standards'!$AG$538+'Reference Standards'!$AG$539, E387^2*'Reference Standards'!$AC$537+E387*'Reference Standards'!$AC$538+'Reference Standards'!$AC$539)),2)), IF('Quantification Tool R5'!$B$12="65j",IF(E387&gt;0.046,0,ROUND(IF(E387&lt;=0.007,1,IF(E387&lt;=0.012,E387*'Reference Standards'!$AH$538+'Reference Standards'!$AH$539, E387^2*'Reference Standards'!$AD$537+E387*'Reference Standards'!$AD$538+'Reference Standards'!$AD$539)),2)), IF('Quantification Tool R5'!$B$12="66f",IF(E387&gt;0.081,0,ROUND(IF(E387&lt;=0.008,1,IF(E387&lt;=0.011,E387*'Reference Standards'!$AI$538+'Reference Standards'!$AI$539, E387^2*'Reference Standards'!$AE$537+E387*'Reference Standards'!$AE$538+'Reference Standards'!$AE$539)),2)), IF(OR('Quantification Tool R5'!$B$12="71h",'Quantification Tool R5'!$B$12="71i"),IF(E387&gt;0.37,0,ROUND(IF(E387&lt;=0.013,1,IF(E387&lt;=0.032,E387*'Reference Standards'!$AH$576+'Reference Standards'!$AH$577, IF(E387&lt;=0.3,E387*'Reference Standards'!$AF$576+'Reference Standards'!$AF$577,E387*'Reference Standards'!$AB$576+'Reference Standards'!$AB$577))),2)), IF('Quantification Tool R5'!$B$12="73a",IF(E387&gt;0.448,0,ROUND(IF(E387&lt;=0.071,1,IF(E387&lt;=0.086,E387*'Reference Standards'!$AJ$576+'Reference Standards'!$AJ$577, IF(E387&lt;=0.165,E387*'Reference Standards'!$AG$576+'Reference Standards'!$AG$577,E387*'Reference Standards'!$AE$576+'Reference Standards'!$AE$577))),2)),  IF('Quantification Tool R5'!$B$12="74b",IF(E387&gt;0.43,0,ROUND(IF(E387&lt;=0.018,1,IF(E387&lt;=0.019,0.85, IF(E387&lt;=0.02,0.7, E387^2*'Reference Standards'!$AC$575+E387*'Reference Standards'!$AC$576+'Reference Standards'!$AC$577))),2)), IF('Quantification Tool R5'!$B$12="74a",IF(E387&gt;0.217,0,ROUND(IF(E387&lt;=0.02,1,IF(E387&lt;=0.033,E387*'Reference Standards'!$AI$576+'Reference Standards'!$AI$577, E387^2*'Reference Standards'!$AD$575+E387*'Reference Standards'!$AD$576+'Reference Standards'!$AD$577)),2))     )))))))))))))))))))</f>
        <v/>
      </c>
      <c r="G387" s="256" t="str">
        <f>IFERROR(AVERAGE(F387),"")</f>
        <v/>
      </c>
      <c r="H387" s="694"/>
      <c r="I387" s="697"/>
      <c r="J387" s="684"/>
      <c r="K387" s="680"/>
    </row>
    <row r="388" spans="1:12" ht="15.6" x14ac:dyDescent="0.3">
      <c r="A388" s="550" t="s">
        <v>59</v>
      </c>
      <c r="B388" s="560" t="s">
        <v>340</v>
      </c>
      <c r="C388" s="125" t="s">
        <v>331</v>
      </c>
      <c r="D388" s="126"/>
      <c r="E388" s="166"/>
      <c r="F388" s="345" t="str">
        <f>IF(E388="","",IF(OR('Quantification Tool R5'!B$12="73a",'Quantification Tool R5'!B$12="73b"),IF(E388&lt;1,0,IF(E388&gt;=30,1,ROUND(IF(E388&lt;22,'Reference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698" t="str">
        <f>IFERROR(AVERAGE(F388:F391),"")</f>
        <v/>
      </c>
      <c r="H388" s="699" t="str">
        <f>IFERROR(ROUND(AVERAGE(G388:G393),2),"")</f>
        <v/>
      </c>
      <c r="I388" s="683" t="str">
        <f>IF(H388="","",IF(H388&gt;0.69,"Functioning",IF(H388&gt;0.29,"Functioning At Risk",IF(H388&gt;-1,"Not Functioning"))))</f>
        <v/>
      </c>
      <c r="J388" s="684"/>
      <c r="K388" s="680"/>
    </row>
    <row r="389" spans="1:12" ht="15.6" x14ac:dyDescent="0.3">
      <c r="A389" s="556"/>
      <c r="B389" s="561"/>
      <c r="C389" s="174" t="s">
        <v>335</v>
      </c>
      <c r="D389" s="175"/>
      <c r="E389" s="165"/>
      <c r="F389" s="346" t="str">
        <f>IF(E389="","",IF(AND('Quantification Tool R5'!$B$12="74b",'Quantification Tool R5'!$B$13&lt;=2),IF(E389&lt;0,0,IF(E389&gt;15.6,0.69,ROUND('Reference Standards'!$AL$54*E389^2+'Reference Standards'!$AL$55*E389+'Reference Standards'!$AL$56,2))),IF(AND('Quantification Tool R5'!$B$12="65abei",'Quantification Tool R5'!$B$13&lt;=2),IF(E389&lt;0,0,IF(E389&gt;=20,0.69,ROUND('Reference Standards'!$AM$54*E389^2+'Reference Standards'!$AM$55*E389+'Reference Standards'!$AM$56,2))),IF(OR(AND('Quantification Tool R5'!$B$12="74a",'Quantification Tool R5'!$B$13&gt;2,'Quantification Tool R5'!$B$19="January - June"),AND('Quantification Tool R5'!$B$12="71i",'Quantification Tool R5'!$B$13&gt;2,'Quantification Tool R5'!$B$20="SQBANK")),IF(E389&lt;0,0,IF(E389&gt;24.7,0.69,ROUND('Reference Standards'!$AN$54*E389^2+'Reference Standards'!$AN$55*E389+'Reference Standards'!$AN$56,2))),IF(OR('Quantification Tool R5'!$B$12="74b",'Quantification Tool R5'!$B$12="65abei"),IF(E389&lt;0,0,IF(E389&gt;32.7,0.69,ROUND('Reference Standards'!$AO$54*E389^2+'Reference Standards'!$AO$55*E389+'Reference Standards'!$AO$56,2))),IF(AND('Quantification Tool R5'!$B$12="68b",'Quantification Tool R5'!$B$13&gt;2),IF(E389&lt;0,0,IF(E389&gt;41.2,0.69,ROUND('Reference Standards'!$AP$54*E389^2+'Reference Standards'!$AP$55*E389+'Reference Standards'!$AP$56,2))),IF(OR(AND('Quantification Tool R5'!$B$12="71i",'Quantification Tool R5'!$B$13&lt;=2),AND(OR('Quantification Tool R5'!$B$12="68c",'Quantification Tool R5'!$B$12="68d"),'Quantification Tool R5'!$B$19="January - June")),IF(E389&lt;0,0,IF(E389&gt;49.2,0.69,ROUND('Reference Standards'!$AL$94*E389^2+'Reference Standards'!$AL$95*E389+'Reference Standards'!$AL$96,2))),IF(OR(AND('Quantification Tool R5'!$B$12="68a",'Quantification Tool R5'!$B$19="January - June"),AND(OR('Quantification Tool R5'!$B$12="68c",'Quantification Tool R5'!$B$12="68d"),'Quantification Tool R5'!$B$19="July - December")),IF(E389&lt;0,0,IF(E389&gt;53.4,0.69,ROUND('Reference Standards'!$AM$94*E389^2+'Reference Standards'!$AM$95*E389+'Reference Standards'!$AM$96,2))),IF(OR(AND('Quantification Tool R5'!$B$12="71i",'Quantification Tool R5'!$B$13&gt;2,'Quantification Tool R5'!$B$20="SQKICK"),AND(OR('Quantification Tool R5'!$B$12="67fhi",'Quantification Tool R5'!$B$12="67g"),'Quantification Tool R5'!$B$13&lt;=2),'Quantification Tool R5'!$B$12="65j"),IF(E389&lt;0,0,IF(E389&gt;57.8,0.69,ROUND('Reference Standards'!$AN$94*E389^2+'Reference Standards'!$AN$95*E389+'Reference Standards'!$AN$96,2))),IF(OR(AND('Quantification Tool R5'!$B$12="74a",'Quantification Tool R5'!$B$13&gt;2,'Quantification Tool R5'!$B$19="July - December"),AND(OR('Quantification Tool R5'!$B$12="67fhi",'Quantification Tool R5'!$B$12="67g"),'Quantification Tool R5'!$B$13&gt;2),'Quantification Tool R5'!$B$12="69de"),IF(E389&lt;0,0,IF(E389&gt;62.5,0.69,ROUND('Reference Standards'!$AO$94*E389^2+'Reference Standards'!$AO$95*E389+'Reference Standards'!$AO$96,2))),  IF(OR('Quantification Tool R5'!$B$12="66d",'Quantification Tool R5'!$B$12="66e",'Quantification Tool R5'!$B$12="66ik",'Quantification Tool R5'!$B$12="71e",'Quantification Tool R5'!$B$12="71f",'Quantification Tool R5'!$B$12="71g",'Quantification Tool R5'!$B$12="71h"),IF(E389&lt;0,0,IF(E389&gt;66.5,0.69,ROUND('Reference Standards'!$AP$94*E389^2+'Reference Standards'!$AP$95*E389+'Reference Standards'!$AP$96,2))),IF(OR('Quantification Tool R5'!$B$12="66f",'Quantification Tool R5'!$B$12="66g",'Quantification Tool R5'!$B$12="66j",AND('Quantification Tool R5'!$B$12="68a",'Quantification Tool R5'!$B$19="July - December")), IF(E389&lt;0,0,IF(E389&gt;69,0.69,ROUND('Reference Standards'!$AQ$94*E389^2+'Reference Standards'!$AQ$95*E389+'Reference Standards'!$AQ$96,2))))   )))))))))))</f>
        <v/>
      </c>
      <c r="G389" s="698"/>
      <c r="H389" s="699"/>
      <c r="I389" s="683"/>
      <c r="J389" s="684"/>
      <c r="K389" s="680"/>
    </row>
    <row r="390" spans="1:12" ht="15.6" x14ac:dyDescent="0.3">
      <c r="A390" s="556"/>
      <c r="B390" s="561"/>
      <c r="C390" s="174" t="s">
        <v>339</v>
      </c>
      <c r="D390" s="175"/>
      <c r="E390" s="165"/>
      <c r="F390" s="346" t="str">
        <f>IF(E390="","",IF(AND('Quantification Tool R5'!$B$12="74b",'Quantification Tool R5'!$B$13&lt;=2),IF(E390&lt;0,0,IF(E390&gt;8.1,0.69,ROUND('Reference Standards'!$AL$131*E390^2+'Reference Standards'!$AL$132*E390+'Reference Standards'!$AL$133,2))),IF(OR('Quantification Tool R5'!$B$12="73a",'Quantification Tool R5'!$B$12="73b"),IF(E390&lt;0,0,IF(E390&gt;=28,0.69,ROUND('Reference Standards'!$AM$131*E390^2+'Reference Standards'!$AM$132*E390+'Reference Standards'!$AM$133,2))),IF(AND('Quantification Tool R5'!$B$12="74a",'Quantification Tool R5'!$B$13&gt;2,'Quantification Tool R5'!$B$19="January - June"),IF(E390&lt;0,0,IF(E390&gt;=32.5,0.69,ROUND('Reference Standards'!$AN$131*E390^2+'Reference Standards'!$AN$132*E390+'Reference Standards'!$AN$133,2))),IF(AND('Quantification Tool R5'!$B$12="71i",'Quantification Tool R5'!$B$13&gt;2,'Quantification Tool R5'!$B$20="SQBANK"),IF(E390&lt;0,0,IF(E390&gt;=37,0.69,ROUND('Reference Standards'!$AO$131*E390^2+'Reference Standards'!$AO$132*E390+'Reference Standards'!$AO$133,2))),IF(OR(AND(OR('Quantification Tool R5'!$B$12="65abei",'Quantification Tool R5'!$B$12="74b"),'Quantification Tool R5'!$B$13&gt;2),AND('Quantification Tool R5'!$B$12="71i",'Quantification Tool R5'!$B$13&gt;2,'Quantification Tool R5'!$B$20="SQKICK")),IF(E390&lt;0,0,IF(E390&gt;42.6,0.69,ROUND('Reference Standards'!$AP$131*E390^2+'Reference Standards'!$AP$132*E390+'Reference Standards'!$AP$133,2))),     IF(OR(AND('Quantification Tool R5'!$B$12="65abei",'Quantification Tool R5'!$B$13&lt;=2),AND(OR('Quantification Tool R5'!$B$12="68c",'Quantification Tool R5'!$B$12="68d"),'Quantification Tool R5'!$B$19="July - December"),'Quantification Tool R5'!$B$12="71e"),IF(E390&lt;0,0,IF(E390&gt;=48,0.69,ROUND('Reference Standards'!$AL$171*E390^2+'Reference Standards'!$AL$172*E390+'Reference Standards'!$AL$173,2))),IF(OR('Quantification Tool R5'!$B$12="65j",'Quantification Tool R5'!$B$12="67fhi",'Quantification Tool R5'!$B$12="67g",AND('Quantification Tool R5'!$B$12="74a",'Quantification Tool R5'!$B$19="July - December",'Quantification Tool R5'!$B$13&gt;2),AND('Quantification Tool R5'!$B$12="71i",'Quantification Tool R5'!$B$13&lt;=2)),IF(E390&lt;0,0,IF(E390&gt;=53,0.69,ROUND('Reference Standards'!$AM$171*E390^2+'Reference Standards'!$AM$172*E390+'Reference Standards'!$AM$173,2))),IF(OR(AND(OR('Quantification Tool R5'!$B$12="68b",'Quantification Tool R5'!$B$12="71f",'Quantification Tool R5'!$B$12="71g",'Quantification Tool R5'!$B$12="71h"),'Quantification Tool R5'!$B$13&gt;2),'Quantification Tool R5'!$B$12="68a"),IF(E390&lt;0,0,IF(E390&gt;=57,0.69,ROUND('Reference Standards'!$AN$171*E390^2+'Reference Standards'!$AN$172*E390+'Reference Standards'!$AN$173,2))),IF(OR('Quantification Tool R5'!$B$12="66f",'Quantification Tool R5'!$B$12="66g",'Quantification Tool R5'!$B$12="66j",AND(OR('Quantification Tool R5'!$B$12="71f",'Quantification Tool R5'!$B$12="71g",'Quantification Tool R5'!$B$12="71h"),'Quantification Tool R5'!$B$13&lt;=2)),IF(E390&lt;0,0,IF(E390&gt;=60,0.69,ROUND('Reference Standards'!$AO$171*E390^2+'Reference Standards'!$AO$172*E390+'Reference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December")),IF(E390&lt;0,0,IF(E390&gt;=67.5,0.69,ROUND('Reference Standards'!$AP$171*E390^2+'Reference Standards'!$AP$172*E390+'Reference Standards'!$AP$173,2))),IF(AND('Quantification Tool R5'!$B$12="69de",'Quantification Tool R5'!$B$19="January - June"), IF(E390&lt;0,0,IF(E390&gt;=72,0.69,ROUND('Reference Standards'!$AQ$171*E390^2+'Reference Standards'!$AQ$172*E390+'Reference Standards'!$AQ$173,2))))   )))))))))))</f>
        <v/>
      </c>
      <c r="G390" s="698"/>
      <c r="H390" s="699"/>
      <c r="I390" s="683"/>
      <c r="J390" s="684"/>
      <c r="K390" s="680"/>
    </row>
    <row r="391" spans="1:12" ht="15.6" x14ac:dyDescent="0.3">
      <c r="A391" s="556"/>
      <c r="B391" s="562"/>
      <c r="C391" s="127" t="s">
        <v>336</v>
      </c>
      <c r="D391" s="71"/>
      <c r="E391" s="167"/>
      <c r="F391" s="346" t="str">
        <f>IF(E391="","",IF(OR('Quantification Tool R5'!$B$12="67fhi",'Quantification Tool R5'!$B$12="67g",'Quantification Tool R5'!$B$12="71e",'Quantification Tool R5'!$B$12="73a",'Quantification Tool R5'!$B$12="73b",AND(OR('Quantification Tool R5'!$B$12="71f",'Quantification Tool R5'!$B$12="71g",'Quantification Tool R5'!$B$12="71h"),'Quantification Tool R5'!$B$13&gt;2)),IF(E391&gt;100,0,IF(E391&lt;15,0.69,ROUND('Reference Standards'!$AL$208*E391^2+'Reference Standards'!$AL$209*E391+'Reference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),IF(E391&gt;100,0,IF(E391&lt;19,0.69,ROUND('Reference Standards'!$AM$208*E391^2+'Reference Standards'!$AM$209*E391+'Reference Standards'!$AM$210,2))),    IF(OR(AND('Quantification Tool R5'!$B$12="69de",'Quantification Tool R5'!$B$19="January - June"),AND('Quantification Tool R5'!$B$12="71i",'Quantification Tool R5'!$B$13&gt;2,'Quantification Tool R5'!$B$20="SQKICK" )),IF(E391&gt;100,0,IF(E391&lt;22,0.69,ROUND('Reference Standards'!$AN$208*E391^2+'Reference Standards'!$AN$209*E391+'Reference Standards'!$AN$210,2))),    IF(OR('Quantification Tool R5'!$B$12="65j",AND('Quantification Tool R5'!$B$12="68b",'Quantification Tool R5'!$B$13&gt;2)),IF(E391&gt;100,0,IF(E391&lt;24,0.69,ROUND('Reference Standards'!$AO$208*E391^2+'Reference Standards'!$AO$209*E391+'Reference Standards'!$AO$210,2))),    IF(AND(OR('Quantification Tool R5'!$B$12="65abei",'Quantification Tool R5'!$B$12="71f",'Quantification Tool R5'!$B$12="71g",'Quantification Tool R5'!$B$12="71h"),'Quantification Tool R5'!$B$13&lt;=2),IF(E391&gt;95,0,IF(E391&lt;33,0.69,ROUND('Reference Standards'!$AL$246*E391^2+'Reference Standards'!$AL$247*E391+'Reference Standards'!$AL$248,2))),   IF(AND(OR('Quantification Tool R5'!$B$12="65abei",'Quantification Tool R5'!$B$12="74b"),'Quantification Tool R5'!$B$13&gt;2),IF(E391&gt;97,0,IF(E391&lt;36,0.69,ROUND('Reference Standards'!$AM$246*E391^2+'Reference Standards'!$AM$247*E391+'Reference Standards'!$AM$248,2))),  IF(AND('Quantification Tool R5'!$B$12="74a",'Quantification Tool R5'!$B$19="January - June",'Quantification Tool R5'!$B$13&gt;2),IF(E391&gt;93,0,IF(E391&lt;52,0.69,ROUND('Reference Standards'!$AN$246*E391^2+'Reference Standards'!$AN$247*E391+'Reference Standards'!$AN$248,2))),   IF(AND('Quantification Tool R5'!$B$12="74b",'Quantification Tool R5'!$B$13&lt;=2),IF(E391&gt;97,0,IF(E391&lt;62,0.69,ROUND('Reference Standards'!$AO$246*E391^2+'Reference Standards'!$AO$247*E391+'Reference Standards'!$AO$248,2)))  )))))))))</f>
        <v/>
      </c>
      <c r="G391" s="698"/>
      <c r="H391" s="699"/>
      <c r="I391" s="683"/>
      <c r="J391" s="684"/>
      <c r="K391" s="680"/>
    </row>
    <row r="392" spans="1:12" ht="15.6" x14ac:dyDescent="0.3">
      <c r="A392" s="556"/>
      <c r="B392" s="563" t="s">
        <v>74</v>
      </c>
      <c r="C392" s="125" t="s">
        <v>211</v>
      </c>
      <c r="D392" s="126"/>
      <c r="E392" s="166"/>
      <c r="F392" s="345" t="str">
        <f>IF(E392="","",IF(E392=1,0.15,IF(E392=3,0.5,IF(E392=5,0.85,0))))</f>
        <v/>
      </c>
      <c r="G392" s="672" t="str">
        <f>IFERROR(AVERAGE(F392:F393),"")</f>
        <v/>
      </c>
      <c r="H392" s="699"/>
      <c r="I392" s="683"/>
      <c r="J392" s="684"/>
      <c r="K392" s="680"/>
    </row>
    <row r="393" spans="1:12" ht="15.6" x14ac:dyDescent="0.3">
      <c r="A393" s="551"/>
      <c r="B393" s="563"/>
      <c r="C393" s="127" t="s">
        <v>332</v>
      </c>
      <c r="D393" s="71"/>
      <c r="E393" s="167"/>
      <c r="F393" s="347" t="str">
        <f>IF(E393="","",IF(E393=1,0.15,IF(E393=3,0.5,IF(E393=5,0.85,0))))</f>
        <v/>
      </c>
      <c r="G393" s="673"/>
      <c r="H393" s="699"/>
      <c r="I393" s="683"/>
      <c r="J393" s="684"/>
      <c r="K393" s="680"/>
    </row>
    <row r="394" spans="1:12" x14ac:dyDescent="0.3">
      <c r="L394" s="21"/>
    </row>
    <row r="395" spans="1:12" x14ac:dyDescent="0.3">
      <c r="L395" s="21"/>
    </row>
    <row r="396" spans="1:12" ht="21" x14ac:dyDescent="0.4">
      <c r="A396" s="148" t="s">
        <v>135</v>
      </c>
      <c r="B396" s="246"/>
      <c r="C396" s="249" t="s">
        <v>324</v>
      </c>
      <c r="D396" s="246"/>
      <c r="E396" s="247"/>
      <c r="F396" s="248"/>
      <c r="G396" s="544" t="s">
        <v>18</v>
      </c>
      <c r="H396" s="545"/>
      <c r="I396" s="545"/>
      <c r="J396" s="545"/>
      <c r="K396" s="546"/>
    </row>
    <row r="397" spans="1:12" ht="16.5" customHeight="1" x14ac:dyDescent="0.3">
      <c r="A397" s="158" t="s">
        <v>1</v>
      </c>
      <c r="B397" s="158" t="s">
        <v>2</v>
      </c>
      <c r="C397" s="542" t="s">
        <v>3</v>
      </c>
      <c r="D397" s="644"/>
      <c r="E397" s="158" t="s">
        <v>15</v>
      </c>
      <c r="F397" s="158" t="s">
        <v>16</v>
      </c>
      <c r="G397" s="158" t="s">
        <v>19</v>
      </c>
      <c r="H397" s="158" t="s">
        <v>20</v>
      </c>
      <c r="I397" s="314" t="s">
        <v>20</v>
      </c>
      <c r="J397" s="158" t="s">
        <v>21</v>
      </c>
      <c r="K397" s="315" t="s">
        <v>21</v>
      </c>
    </row>
    <row r="398" spans="1:12" ht="15.75" customHeight="1" x14ac:dyDescent="0.3">
      <c r="A398" s="540" t="s">
        <v>60</v>
      </c>
      <c r="B398" s="299" t="s">
        <v>86</v>
      </c>
      <c r="C398" s="52" t="s">
        <v>388</v>
      </c>
      <c r="D398" s="52"/>
      <c r="E398" s="162"/>
      <c r="F398" s="338" t="str">
        <f>IF(E398="","",IF(E398&lt;=0,0,IF(E398&gt;=0.95,1,ROUND('Reference Standards'!C$14*E398+'Reference Standards'!C$15,2))))</f>
        <v/>
      </c>
      <c r="G398" s="250" t="str">
        <f>IFERROR(AVERAGE(F398),"")</f>
        <v/>
      </c>
      <c r="H398" s="681" t="str">
        <f>IFERROR(ROUND(AVERAGE(G398:G399),2),"")</f>
        <v/>
      </c>
      <c r="I398" s="683" t="str">
        <f>IF(H398="","",IF(H398&gt;0.69,"Functioning",IF(H398&gt;0.29,"Functioning At Risk",IF(H398&gt;-1,"Not Functioning"))))</f>
        <v/>
      </c>
      <c r="J398" s="684" t="str">
        <f>IF(AND(H398="",H400="",H402="",H424="",H428=""),"",ROUND((IF(H398="",0,H398)*0.2)+(IF(H400="",0,H400)*0.2)+(IF(H402="",0,H402)*0.2)+(IF(H424="",0,H424)*0.2)+(IF(H428="",0,H428)*0.2),2))</f>
        <v/>
      </c>
      <c r="K398" s="680" t="str">
        <f>IF(J398="","",IF(J398&lt;0.3, "Not Functioning",IF(OR(H398&lt;0.7,H400&lt;0.7,H402&lt;0.7,H424&lt;0.7,H428&lt;0.7),"Functioning At Risk",IF(J398&lt;0.7,"Functioning At Risk","Functioning"))))</f>
        <v/>
      </c>
    </row>
    <row r="399" spans="1:12" ht="15.75" customHeight="1" x14ac:dyDescent="0.3">
      <c r="A399" s="541"/>
      <c r="B399" s="371" t="s">
        <v>128</v>
      </c>
      <c r="C399" s="373" t="s">
        <v>161</v>
      </c>
      <c r="D399" s="374"/>
      <c r="E399" s="43"/>
      <c r="F399" s="372" t="str">
        <f>IF(E399="","",IF(E399&gt;=1,1,IF(E399&lt;=0,0,ROUND(E399,2))))</f>
        <v/>
      </c>
      <c r="G399" s="368" t="str">
        <f>IFERROR(AVERAGE(F399:F399),"")</f>
        <v/>
      </c>
      <c r="H399" s="682"/>
      <c r="I399" s="683"/>
      <c r="J399" s="684"/>
      <c r="K399" s="680"/>
    </row>
    <row r="400" spans="1:12" ht="15" customHeight="1" x14ac:dyDescent="0.3">
      <c r="A400" s="524" t="s">
        <v>6</v>
      </c>
      <c r="B400" s="572" t="s">
        <v>7</v>
      </c>
      <c r="C400" s="54" t="s">
        <v>8</v>
      </c>
      <c r="D400" s="54"/>
      <c r="E400" s="162"/>
      <c r="F400" s="339" t="str">
        <f>IF(E400="","",ROUND(IF(E400&gt;1.6,0,IF(E400&lt;=1,1,E400^2*'Reference Standards'!K$14+E400*'Reference Standards'!K$15+'Reference Standards'!K$16)),2))</f>
        <v/>
      </c>
      <c r="G400" s="690" t="str">
        <f>IFERROR(AVERAGE(F400:F401),"")</f>
        <v/>
      </c>
      <c r="H400" s="689" t="str">
        <f>IFERROR(ROUND(AVERAGE(G400),2),"")</f>
        <v/>
      </c>
      <c r="I400" s="674" t="str">
        <f>IF(H400="","",IF(H400&gt;0.69,"Functioning",IF(H400&gt;0.29,"Functioning At Risk",IF(H400&gt;-1,"Not Functioning"))))</f>
        <v/>
      </c>
      <c r="J400" s="684"/>
      <c r="K400" s="680"/>
    </row>
    <row r="401" spans="1:12" ht="15" customHeight="1" x14ac:dyDescent="0.3">
      <c r="A401" s="525"/>
      <c r="B401" s="572"/>
      <c r="C401" s="54" t="s">
        <v>9</v>
      </c>
      <c r="D401" s="54"/>
      <c r="E401" s="163"/>
      <c r="F401" s="339" t="str">
        <f>IF(E401="","",(IF(OR('Quantification Tool R5'!B$11="A",'Quantification Tool R5'!B$11="B",'Quantification Tool R5'!$B$11="Bc"),IF(E401&lt;1.2,0,IF(E401&gt;=2.2,1,ROUND(IF(E401&lt;1.4,E401*'Reference Standards'!$K$84+'Reference Standards'!$K$85,E401*'Reference Standards'!$L$84+'Reference Standards'!$L$85),2))),IF(OR('Quantification Tool R5'!B$11="C",'Quantification Tool R5'!B$11="E"),IF(E401&lt;2,0,IF(E401&gt;=5,1,ROUND(IF(E401&lt;2.4,E401*'Reference Standards'!$L$49+'Reference Standards'!$L$50,E401*'Reference Standards'!$K$49+'Reference Standards'!$K$50),2)))))))</f>
        <v/>
      </c>
      <c r="G401" s="690"/>
      <c r="H401" s="691"/>
      <c r="I401" s="675"/>
      <c r="J401" s="684"/>
      <c r="K401" s="680"/>
    </row>
    <row r="402" spans="1:12" ht="15" customHeight="1" x14ac:dyDescent="0.3">
      <c r="A402" s="526" t="s">
        <v>26</v>
      </c>
      <c r="B402" s="557" t="s">
        <v>27</v>
      </c>
      <c r="C402" s="60" t="s">
        <v>333</v>
      </c>
      <c r="D402" s="244"/>
      <c r="E402" s="61"/>
      <c r="F402" s="340" t="str">
        <f>IF(E402="","",IF(OR(LEFT('Quantification Tool R5'!$B$12,2)="65",LEFT('Quantification Tool R5'!$B$12,2)="66",LEFT('Quantification Tool R5'!$B$12,2)="71"),IF(E402&gt;=850,1,IF(E402&lt;250,ROUND('Reference Standards'!$S$17*(E402)+'Reference Standards'!$S$18,2),ROUND('Reference Standards'!$T$17*E402+'Reference Standards'!$T$18,2))),  IF(E402&gt;=345,1,IF(E402&lt;=180,ROUND('Reference Standards'!$U$17*(E402)+'Reference Standards'!$U$18,2),ROUND('Reference Standards'!$V$17*E402+'Reference Standards'!$V$18,2))))    )</f>
        <v/>
      </c>
      <c r="G402" s="676" t="str">
        <f>IFERROR(AVERAGE(F402:F403),"")</f>
        <v/>
      </c>
      <c r="H402" s="678" t="str">
        <f>IFERROR(ROUND(AVERAGE(G402:G423),2),"")</f>
        <v/>
      </c>
      <c r="I402" s="680" t="str">
        <f>IF(H402="","",IF(H402&gt;0.69,"Functioning",IF(H402&gt;0.29,"Functioning At Risk",IF(H402&gt;-1,"Not Functioning"))))</f>
        <v/>
      </c>
      <c r="J402" s="684"/>
      <c r="K402" s="680"/>
    </row>
    <row r="403" spans="1:12" ht="15" customHeight="1" x14ac:dyDescent="0.3">
      <c r="A403" s="520"/>
      <c r="B403" s="558"/>
      <c r="C403" s="63" t="s">
        <v>323</v>
      </c>
      <c r="D403" s="245"/>
      <c r="E403" s="53"/>
      <c r="F403" s="341" t="str">
        <f>IF(E403="","",IF(OR(LEFT('Quantification Tool R5'!$B$12,2)="65",LEFT('Quantification Tool R5'!$B$12,2)="66",LEFT('Quantification Tool R5'!$B$12,2)="71"),IF(E403&gt;=30,1,IF(E403&lt;13,ROUND('Reference Standards'!$S$53*(E403)+'Reference Standards'!$S$54,2),ROUND('Reference Standards'!$T$53*E403+'Reference Standards'!$T$54,2))),  IF(E403&gt;=16,1,IF(E403&lt;=9,ROUND('Reference Standards'!$U$53*(E403)+'Reference Standards'!$U$54,2),ROUND('Reference Standards'!$V$53*E403+'Reference Standards'!$V$54,2))))    )</f>
        <v/>
      </c>
      <c r="G403" s="677"/>
      <c r="H403" s="678"/>
      <c r="I403" s="680"/>
      <c r="J403" s="684"/>
      <c r="K403" s="680"/>
    </row>
    <row r="404" spans="1:12" ht="15.6" x14ac:dyDescent="0.3">
      <c r="A404" s="520"/>
      <c r="B404" s="520" t="s">
        <v>395</v>
      </c>
      <c r="C404" s="58" t="s">
        <v>80</v>
      </c>
      <c r="D404" s="58"/>
      <c r="E404" s="165"/>
      <c r="F404" s="340" t="str">
        <f>IF(E404="","",ROUND(IF(E404&gt;0.7,0,IF(E404&lt;=0.1,1,E404^3*'Reference Standards'!S$87+E404^2*'Reference Standards'!S$88+E404*'Reference Standards'!S$89+'Reference Standards'!S$90)),2))</f>
        <v/>
      </c>
      <c r="G404" s="552" t="str">
        <f>IFERROR(ROUND(AVERAGE(F404:F407),2),"")</f>
        <v/>
      </c>
      <c r="H404" s="679"/>
      <c r="I404" s="680"/>
      <c r="J404" s="684"/>
      <c r="K404" s="680"/>
    </row>
    <row r="405" spans="1:12" ht="15.6" x14ac:dyDescent="0.3">
      <c r="A405" s="520"/>
      <c r="B405" s="520"/>
      <c r="C405" s="58" t="s">
        <v>49</v>
      </c>
      <c r="D405" s="58"/>
      <c r="E405" s="165"/>
      <c r="F405" s="84"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553"/>
      <c r="H405" s="679"/>
      <c r="I405" s="680"/>
      <c r="J405" s="684"/>
      <c r="K405" s="680"/>
    </row>
    <row r="406" spans="1:12" ht="15.6" x14ac:dyDescent="0.3">
      <c r="A406" s="520"/>
      <c r="B406" s="520"/>
      <c r="C406" s="58" t="s">
        <v>87</v>
      </c>
      <c r="D406" s="58"/>
      <c r="E406" s="165"/>
      <c r="F406" s="84" t="str">
        <f>IF(E406="","",ROUND(IF(E406&gt;40,0,IF(E406&lt;5,1,E406^3*'Reference Standards'!S$122+E406^2*'Reference Standards'!S$123+E406*'Reference Standards'!S$124+'Reference Standards'!S$125)),2))</f>
        <v/>
      </c>
      <c r="G406" s="553"/>
      <c r="H406" s="679"/>
      <c r="I406" s="680"/>
      <c r="J406" s="684"/>
      <c r="K406" s="680"/>
    </row>
    <row r="407" spans="1:12" ht="15.6" x14ac:dyDescent="0.3">
      <c r="A407" s="520"/>
      <c r="B407" s="521"/>
      <c r="C407" s="59" t="s">
        <v>394</v>
      </c>
      <c r="D407" s="59"/>
      <c r="E407" s="167"/>
      <c r="F407" s="341" t="str">
        <f>IF(E407="","",ROUND(IF(E407&gt;=30,0,IF(E407&lt;=0,1,E407*'Reference Standards'!S$156+'Reference Standards'!S$157)),2))</f>
        <v/>
      </c>
      <c r="G407" s="554"/>
      <c r="H407" s="679"/>
      <c r="I407" s="680"/>
      <c r="J407" s="684"/>
      <c r="K407" s="680"/>
    </row>
    <row r="408" spans="1:12" ht="15.6" x14ac:dyDescent="0.3">
      <c r="A408" s="520"/>
      <c r="B408" s="520" t="s">
        <v>50</v>
      </c>
      <c r="C408" s="60" t="s">
        <v>377</v>
      </c>
      <c r="D408" s="64"/>
      <c r="E408" s="136"/>
      <c r="F408" s="294" t="str">
        <f>IF(E408="","",ROUND(IF(E408&gt;9.2,1,E408*'Reference Standards'!$S$189+'Reference Standards'!$S$190),2))</f>
        <v/>
      </c>
      <c r="G408" s="685" t="str">
        <f>IFERROR(ROUND(AVERAGE(F408:F417),2),"")</f>
        <v/>
      </c>
      <c r="H408" s="679"/>
      <c r="I408" s="680"/>
      <c r="J408" s="684"/>
      <c r="K408" s="680"/>
    </row>
    <row r="409" spans="1:12" ht="15.6" x14ac:dyDescent="0.3">
      <c r="A409" s="520"/>
      <c r="B409" s="520"/>
      <c r="C409" s="62" t="s">
        <v>378</v>
      </c>
      <c r="D409" s="58"/>
      <c r="E409" s="162"/>
      <c r="F409" s="294" t="str">
        <f>IF(E409="","",ROUND(IF(E409&gt;9.2,1,E409*'Reference Standards'!$S$189+'Reference Standards'!$S$190),2))</f>
        <v/>
      </c>
      <c r="G409" s="686"/>
      <c r="H409" s="679"/>
      <c r="I409" s="680"/>
      <c r="J409" s="684"/>
      <c r="K409" s="680"/>
    </row>
    <row r="410" spans="1:12" ht="15.6" x14ac:dyDescent="0.3">
      <c r="A410" s="520"/>
      <c r="B410" s="520"/>
      <c r="C410" s="62" t="s">
        <v>379</v>
      </c>
      <c r="D410" s="58"/>
      <c r="E410" s="162"/>
      <c r="F410" s="294" t="str">
        <f>IF(E410="","",ROUND( IF(E410&gt;=200,1,IF(E410&lt;50, E410^2*'Reference Standards'!S$224+E410*'Reference Standards'!S$225+'Reference Standards'!S$226, E410*'Reference Standards'!T$224+'Reference Standards'!T$225)),2))</f>
        <v/>
      </c>
      <c r="G410" s="686"/>
      <c r="H410" s="679"/>
      <c r="I410" s="680"/>
      <c r="J410" s="684"/>
      <c r="K410" s="680"/>
    </row>
    <row r="411" spans="1:12" ht="15.6" x14ac:dyDescent="0.3">
      <c r="A411" s="520"/>
      <c r="B411" s="520"/>
      <c r="C411" s="62" t="s">
        <v>380</v>
      </c>
      <c r="D411" s="58"/>
      <c r="E411" s="162"/>
      <c r="F411" s="294" t="str">
        <f>IF(E411="","",ROUND( IF(E411&gt;=200,1,IF(E411&lt;50, E411^2*'Reference Standards'!S$224+E411*'Reference Standards'!S$225+'Reference Standards'!S$226, E411*'Reference Standards'!T$224+'Reference Standards'!T$225)),2))</f>
        <v/>
      </c>
      <c r="G411" s="686"/>
      <c r="H411" s="679"/>
      <c r="I411" s="680"/>
      <c r="J411" s="684"/>
      <c r="K411" s="680"/>
    </row>
    <row r="412" spans="1:12" ht="15.6" x14ac:dyDescent="0.3">
      <c r="A412" s="520"/>
      <c r="B412" s="520"/>
      <c r="C412" s="58" t="s">
        <v>381</v>
      </c>
      <c r="D412" s="58"/>
      <c r="E412" s="162"/>
      <c r="F412" s="294" t="str">
        <f>IF(E412="","",ROUND(IF(AND(E412&gt;=135,E412&lt;=262),1,IF(  E412&gt;=366,0.5, IF(E412&lt;135,E412*'Reference Standards'!S$259+'Reference Standards'!S$260, E412*'Reference Standards'!T$259+'Reference Standards'!T$260))),2))</f>
        <v/>
      </c>
      <c r="G412" s="686"/>
      <c r="H412" s="679"/>
      <c r="I412" s="680"/>
      <c r="J412" s="684"/>
      <c r="K412" s="680"/>
      <c r="L412" s="21"/>
    </row>
    <row r="413" spans="1:12" ht="15.6" x14ac:dyDescent="0.3">
      <c r="A413" s="520"/>
      <c r="B413" s="520"/>
      <c r="C413" s="58" t="s">
        <v>382</v>
      </c>
      <c r="D413" s="58"/>
      <c r="E413" s="162"/>
      <c r="F413" s="294" t="str">
        <f>IF(E413="","",ROUND(IF(AND(E413&gt;=135,E413&lt;=262),1,IF(  E413&gt;=366,0.5, IF(E413&lt;135,E413*'Reference Standards'!S$259+'Reference Standards'!S$260, E413*'Reference Standards'!T$259+'Reference Standards'!T$260))),2))</f>
        <v/>
      </c>
      <c r="G413" s="686"/>
      <c r="H413" s="679"/>
      <c r="I413" s="680"/>
      <c r="J413" s="684"/>
      <c r="K413" s="680"/>
      <c r="L413" s="21"/>
    </row>
    <row r="414" spans="1:12" ht="15.6" x14ac:dyDescent="0.3">
      <c r="A414" s="520"/>
      <c r="B414" s="520"/>
      <c r="C414" s="58" t="s">
        <v>383</v>
      </c>
      <c r="D414" s="58"/>
      <c r="E414" s="162"/>
      <c r="F414" s="84" t="str">
        <f>IF(E414="","",ROUND(IF(E414&gt;=75,1,IF(E414&lt;=0,0,E414*'Reference Standards'!S$330)),2))</f>
        <v/>
      </c>
      <c r="G414" s="686"/>
      <c r="H414" s="679"/>
      <c r="I414" s="680"/>
      <c r="J414" s="684"/>
      <c r="K414" s="680"/>
      <c r="L414" s="21"/>
    </row>
    <row r="415" spans="1:12" ht="15.6" x14ac:dyDescent="0.3">
      <c r="A415" s="520"/>
      <c r="B415" s="520"/>
      <c r="C415" s="58" t="s">
        <v>384</v>
      </c>
      <c r="D415" s="58"/>
      <c r="E415" s="162"/>
      <c r="F415" s="84" t="str">
        <f>IF(E415="","",ROUND(IF(E415&gt;=75,1,IF(E415&lt;=0,0,E415*'Reference Standards'!S$330)),2))</f>
        <v/>
      </c>
      <c r="G415" s="686"/>
      <c r="H415" s="679"/>
      <c r="I415" s="680"/>
      <c r="J415" s="684"/>
      <c r="K415" s="680"/>
      <c r="L415" s="21"/>
    </row>
    <row r="416" spans="1:12" ht="15.6" x14ac:dyDescent="0.3">
      <c r="A416" s="520"/>
      <c r="B416" s="520"/>
      <c r="C416" s="58" t="s">
        <v>385</v>
      </c>
      <c r="D416" s="58"/>
      <c r="E416" s="162"/>
      <c r="F416" s="294" t="str">
        <f>IF(E416="","",ROUND(IF(AND(E416&gt;=36.3,E416&lt;=68),1,IF(E416&gt;100,0,IF(E416&lt;36.3,(('Reference Standards'!S$297*(E416^2))+('Reference Standards'!S$298*E416)+'Reference Standards'!S$299),IF(E416&gt;68,(('Reference Standards'!T$297*(E416^2))+('Reference Standards'!T$298*E416)+'Reference Standards'!T$299))))),2))</f>
        <v/>
      </c>
      <c r="G416" s="686"/>
      <c r="H416" s="679"/>
      <c r="I416" s="680"/>
      <c r="J416" s="684"/>
      <c r="K416" s="680"/>
      <c r="L416" s="21"/>
    </row>
    <row r="417" spans="1:12" ht="15.6" x14ac:dyDescent="0.3">
      <c r="A417" s="520"/>
      <c r="B417" s="521"/>
      <c r="C417" s="58" t="s">
        <v>386</v>
      </c>
      <c r="D417" s="65"/>
      <c r="E417" s="162"/>
      <c r="F417" s="294" t="str">
        <f>IF(E417="","",ROUND(IF(AND(E417&gt;=36.3,E417&lt;=68),1,IF(E417&gt;100,0,IF(E417&lt;36.3,(('Reference Standards'!S$297*(E417^2))+('Reference Standards'!S$298*E417)+'Reference Standards'!S$299),IF(E417&gt;68,(('Reference Standards'!T$297*(E417^2))+('Reference Standards'!T$298*E417)+'Reference Standards'!T$299))))),2))</f>
        <v/>
      </c>
      <c r="G417" s="687"/>
      <c r="H417" s="679"/>
      <c r="I417" s="680"/>
      <c r="J417" s="684"/>
      <c r="K417" s="680"/>
      <c r="L417" s="21"/>
    </row>
    <row r="418" spans="1:12" ht="15.6" x14ac:dyDescent="0.3">
      <c r="A418" s="520"/>
      <c r="B418" s="56" t="s">
        <v>108</v>
      </c>
      <c r="C418" s="72" t="s">
        <v>130</v>
      </c>
      <c r="D418" s="58"/>
      <c r="E418" s="43"/>
      <c r="F418" s="82" t="str">
        <f>IF(E418="","",IF(OR('Quantification Tool R5'!B$14="Gravel",'Quantification Tool R5'!B$14="Cobble"),IF(E418&gt;0.1,1,IF(E418&lt;=0.01,0,ROUND(E418*'Reference Standards'!$S$362+'Reference Standards'!$S$363,2)))))</f>
        <v/>
      </c>
      <c r="G418" s="251" t="str">
        <f>IFERROR(AVERAGE(F418),"")</f>
        <v/>
      </c>
      <c r="H418" s="679"/>
      <c r="I418" s="680"/>
      <c r="J418" s="684"/>
      <c r="K418" s="680"/>
      <c r="L418" s="21"/>
    </row>
    <row r="419" spans="1:12" ht="15.6" x14ac:dyDescent="0.3">
      <c r="A419" s="520"/>
      <c r="B419" s="526" t="s">
        <v>51</v>
      </c>
      <c r="C419" s="64" t="s">
        <v>52</v>
      </c>
      <c r="D419" s="64"/>
      <c r="E419" s="166"/>
      <c r="F419" s="337" t="str">
        <f>IF(E419="","", IF(ISNUMBER('Quantification Tool R5'!$B$17), IF('Quantification Tool R5'!$B$17&lt;=2,   IF(AND(E419&gt;=3,E419&lt;=5),1, IF(OR(E419&lt;=1,E419&gt;=7), 0, ROUND( IF(E419&lt;3, E419*'Reference Standards'!S$398+'Reference Standards'!S$399,E419*'Reference Standards'!T$398+'Reference Standards'!T$399),2) ) ),   IF(E419&lt;=2.5,1, IF(E419&gt;=5.8,0, ROUND(E419*'Reference Standards'!S$430+'Reference Standards'!S$431,2))))   ))</f>
        <v/>
      </c>
      <c r="G419" s="676" t="str">
        <f>IFERROR(AVERAGE(F419:F422),"")</f>
        <v/>
      </c>
      <c r="H419" s="679"/>
      <c r="I419" s="680"/>
      <c r="J419" s="684"/>
      <c r="K419" s="680"/>
      <c r="L419" s="21"/>
    </row>
    <row r="420" spans="1:12" ht="15.6" x14ac:dyDescent="0.3">
      <c r="A420" s="520"/>
      <c r="B420" s="520"/>
      <c r="C420" s="58" t="s">
        <v>53</v>
      </c>
      <c r="D420" s="58"/>
      <c r="E420" s="165"/>
      <c r="F420" s="84" t="str">
        <f>IF(E420="","", IF( E420&gt;=2.4,1, IF(E420&lt;=1,0,  ROUND(IF(E420&lt;2.4, E420*'Reference Standards'!$S$464+'Reference Standards'!$S$465 ),2))))</f>
        <v/>
      </c>
      <c r="G420" s="688"/>
      <c r="H420" s="679"/>
      <c r="I420" s="680"/>
      <c r="J420" s="684"/>
      <c r="K420" s="680"/>
      <c r="L420" s="21"/>
    </row>
    <row r="421" spans="1:12" ht="15.6" x14ac:dyDescent="0.3">
      <c r="A421" s="520"/>
      <c r="B421" s="520"/>
      <c r="C421" s="58" t="s">
        <v>334</v>
      </c>
      <c r="D421" s="58"/>
      <c r="E421" s="165"/>
      <c r="F421" s="390" t="str">
        <f>IF(E421="","", IF(LEFT('Quantification Tool R5'!$B$12,2)="67",  IF( AND(E421&gt;=45,E421&lt;=65),1, IF(OR(E421&lt;=20,E421&gt;=90),0, ROUND(  IF(E421&lt;45, E421*'Reference Standards'!$S$498+'Reference Standards'!$S$499,E421*'Reference Standards'!$T$498+'Reference Standards'!$T$499),2))), IF(OR(  LEFT('Quantification Tool R5'!$B$12,2)="68", LEFT('Quantification Tool R5'!$B$12,2)="69",LEFT('Quantification Tool R5'!$B$12,2)="71"),  IF( AND(E421&gt;=30,E421&lt;=50),1, IF(OR(E421&lt;=10,E421&gt;=70),0, ROUND(  IF(E421&lt;30, E421*'Reference Standards'!$S$533+'Reference Standards'!$S$534,E421*'Reference Standards'!$T$533+'Reference Standards'!$T$534),2))), IF(LEFT('Quantification Tool R5'!$B$12,2)="66",  IF( AND(E421&gt;=20,E421&lt;=45),1, IF(OR(E421&lt;=0,E421&gt;=90),0, ROUND(  IF(E421&lt;20, E421*'Reference Standards'!$S$567+'Reference Standards'!$S$568,E421*'Reference Standards'!$T$567+'Reference Standards'!$T$568),2))), IF(OR(  LEFT('Quantification Tool R5'!$B$12,2)="65", LEFT('Quantification Tool R5'!$B$12,2)="74", LEFT('Quantification Tool R5'!$B$12,2)="73"),  IF( AND(E421&gt;=20,E421&lt;=30),1, IF(OR(E421&lt;=0,E421&gt;=50),0, ROUND(  IF(E421&lt;20, E421*'Reference Standards'!$S$601+'Reference Standards'!$S$602,E421*'Reference Standards'!$T$601+'Reference Standards'!$T$602),2))))))))</f>
        <v/>
      </c>
      <c r="G421" s="688"/>
      <c r="H421" s="679"/>
      <c r="I421" s="680"/>
      <c r="J421" s="684"/>
      <c r="K421" s="680"/>
      <c r="L421" s="21"/>
    </row>
    <row r="422" spans="1:12" ht="15.6" x14ac:dyDescent="0.3">
      <c r="A422" s="520"/>
      <c r="B422" s="521"/>
      <c r="C422" s="62" t="s">
        <v>210</v>
      </c>
      <c r="D422" s="58"/>
      <c r="E422" s="167"/>
      <c r="F422" s="391" t="str">
        <f>IF(E422="","",IF(E422&gt;=1.6,0,IF(E422&lt;=1,1,ROUND('Reference Standards'!$S$633*E422^3+'Reference Standards'!$S$634*E422^2+'Reference Standards'!$S$635*E422+'Reference Standards'!$S$636,2))))</f>
        <v/>
      </c>
      <c r="G422" s="677"/>
      <c r="H422" s="679"/>
      <c r="I422" s="680"/>
      <c r="J422" s="684"/>
      <c r="K422" s="680"/>
      <c r="L422" s="21"/>
    </row>
    <row r="423" spans="1:12" ht="15.6" x14ac:dyDescent="0.3">
      <c r="A423" s="521"/>
      <c r="B423" s="296" t="s">
        <v>55</v>
      </c>
      <c r="C423" s="242" t="s">
        <v>54</v>
      </c>
      <c r="D423" s="243"/>
      <c r="E423" s="163"/>
      <c r="F423" s="342" t="str">
        <f>IF(E423="","",IF(AND('Quantification Tool R5'!B$11="E",'Quantification Tool R5'!$B$14="Sand",'Quantification Tool R5'!$B$21="Unconfined Alluvial"),ROUND(IF(OR(E423&gt;1.8,E423&lt;1.3),0,IF(E423&lt;=1.6,1,E423*'Reference Standards'!S$667+'Reference Standards'!S$668)),2),    IF('Quantification Tool R5'!$B$21="Unconfined Alluvial",ROUND(IF(OR(E423&lt;1.2, E423&gt;1.5),0,IF(E423&lt;=1.4,1,E423*'Reference Standards'!$S$700+'Reference Standards'!$S$701)),2), IF('Quantification Tool R5'!$B$21="Confined Alluvial",ROUND(IF(E423&lt;1.15,0,IF(E423&lt;=1.4,E423*'Reference Standards'!$S$729+'Reference Standards'!$S$730,1)),2),  IF('Quantification Tool R5'!$B$21="Colluvial",ROUND(IF(E423&gt;1.3,0,IF(E423&gt;1.2,E423*'Reference Standards'!$S$760+'Reference Standards'!$S$761,1)),2) )))))</f>
        <v/>
      </c>
      <c r="G423" s="252" t="str">
        <f>IFERROR(AVERAGE(F423),"")</f>
        <v/>
      </c>
      <c r="H423" s="679"/>
      <c r="I423" s="680"/>
      <c r="J423" s="684"/>
      <c r="K423" s="680"/>
      <c r="L423" s="21"/>
    </row>
    <row r="424" spans="1:12" ht="15.6" x14ac:dyDescent="0.3">
      <c r="A424" s="537" t="s">
        <v>58</v>
      </c>
      <c r="B424" s="67" t="s">
        <v>88</v>
      </c>
      <c r="C424" s="70" t="s">
        <v>338</v>
      </c>
      <c r="D424" s="70"/>
      <c r="E424" s="43"/>
      <c r="F424" s="343" t="str">
        <f>IF(E424="","",ROUND(IF(E424&gt;=942,0,IF(E424&lt;=487,E424*'Reference Standards'!AB$15+'Reference Standards'!AB$16,E424*'Reference Standards'!$AC$15+'Reference Standards'!$AC$16)),2))</f>
        <v/>
      </c>
      <c r="G424" s="253" t="str">
        <f>IFERROR(AVERAGE(F424),"")</f>
        <v/>
      </c>
      <c r="H424" s="692" t="str">
        <f>IFERROR(ROUND(AVERAGE(G424:G427),2),"")</f>
        <v/>
      </c>
      <c r="I424" s="695" t="str">
        <f>IF(H424="","",IF(H424&gt;0.69,"Functioning",IF(H424&gt;0.29,"Functioning At Risk",IF(H424&gt;-1,"Not Functioning"))))</f>
        <v/>
      </c>
      <c r="J424" s="684"/>
      <c r="K424" s="680"/>
      <c r="L424" s="21"/>
    </row>
    <row r="425" spans="1:12" ht="15.75" customHeight="1" x14ac:dyDescent="0.3">
      <c r="A425" s="538"/>
      <c r="B425" s="297" t="s">
        <v>362</v>
      </c>
      <c r="C425" s="66" t="s">
        <v>354</v>
      </c>
      <c r="D425" s="66"/>
      <c r="E425" s="163"/>
      <c r="F425" s="344" t="str">
        <f>IF(E425="","",IF(OR('Quantification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June")),IF(E425&gt;93,0,IF(E425&lt;13,1,ROUND('Reference Standards'!$AB$53*E425^2+'Reference Standards'!$AB$54*E425+'Reference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R5'!$B$12="73b"),IF(E425&gt;94,0,IF(E425&lt;17,1,ROUND('Reference Standards'!$AC$53*E425^2+'Reference Standards'!$AC$54*E425+'Reference Standards'!$AC$55,2))),    IF(OR(AND(OR('Quantification Tool R5'!$B$12="68b",'Quantification Tool R5'!$B$12="71i"),'Quantification Tool R5'!$B$13&gt;2), 'Quantification Tool R5'!$B$12="71e"),IF(E425&gt;91,0,IF(E425&lt;24,1,ROUND('Reference Standards'!$AD$53*E425^2+'Reference Standards'!$AD$54*E425+'Reference Standards'!$AD$55,2))),  IF(OR(AND(OR('Quantification Tool R5'!$B$12="71f",'Quantification Tool R5'!$B$12="71g",'Quantification Tool R5'!$B$12="71h",'Quantification Tool R5'!$B$12="71i"),'Quantification Tool R5'!$B$13&lt;=2), AND('Quantification Tool R5'!$B$12="74a",'Quantification Tool R5'!$B$13&gt;2)),IF(E425&gt;95,0,IF(E425&lt;=36,1,ROUND('Reference Standards'!$AE$53*E425^2+'Reference Standards'!$AE$54*E425+'Reference Standards'!$AE$55,2))))))))</f>
        <v/>
      </c>
      <c r="G425" s="254" t="str">
        <f>IFERROR(AVERAGE(F425:F425),"")</f>
        <v/>
      </c>
      <c r="H425" s="693"/>
      <c r="I425" s="696"/>
      <c r="J425" s="684"/>
      <c r="K425" s="680"/>
    </row>
    <row r="426" spans="1:12" ht="15.75" customHeight="1" x14ac:dyDescent="0.3">
      <c r="A426" s="538"/>
      <c r="B426" s="67" t="s">
        <v>81</v>
      </c>
      <c r="C426" s="68" t="s">
        <v>281</v>
      </c>
      <c r="D426" s="68"/>
      <c r="E426" s="162"/>
      <c r="F426" s="344" t="str">
        <f>IF(E426="","",IF(ISNUMBER('Quantification Tool R5'!$B$13),IF(OR('Quantification Tool R5'!$B$12="66e",'Quantification Tool R5'!$B$12="66f",'Quantification Tool R5'!$B$12="66g"),ROUND(IF(E426&gt;=0.61,0,IF(E426&lt;=0.01,1,IF(E426&lt;=0.06,E426*'Reference Standards'!$AD$197+'Reference Standards'!$AD$198,E426^2*'Reference Standards'!$AB$196+E426*'Reference Standards'!$AB$197+'Reference Standards'!$AB$198))),2),IF('Quantification Tool R5'!$B$12="68b",ROUND(IF(E426&gt;=1.1,0,IF(E426&lt;=0.17,1,IF(E426&lt;=0.22,E426*'Reference Standards'!$AE$197+'Reference Standards'!$AE$198,E426^2*'Reference Standards'!$AC$196+E426*'Reference Standards'!$AC$197+'Reference Standards'!$AC$198))),2),IF('Quantification Tool R5'!$B$13&lt;=2.5,IF('Quantification Tool R5'!$B$12="69de",ROUND(IF(E426&gt;=0.22,0,IF(E426&lt;=0.01,1,E426^2*'Reference Standards'!$AB$90+E426*'Reference Standards'!$AB$91+'Reference Standards'!$AB$92)),2),IF('Quantification Tool R5'!$B$12="68c",ROUND(IF(E426&gt;=0.87,0,IF(E426&lt;=0.01,1,E426^2*'Reference Standards'!$AC$90+E426*'Reference Standards'!$AC$91+'Reference Standards'!$AC$92)),2),IF('Quantification Tool R5'!$B$12="68a",ROUND(IF(E426&gt;=0.81,0,IF(E426&lt;=0.01,1,E426^2*'Reference Standards'!$AD$90+E426*'Reference Standards'!$AD$91+'Reference Standards'!$AD$92)),2),IF('Quantification Tool R5'!$B$12="65abei",ROUND(IF(E426&gt;=0.67,0,IF(E426&lt;=0.01,1,IF(E426&lt;=0.18,E426*'Reference Standards'!$AG$91+'Reference Standards'!$AG$92,E426*'Reference Standards'!$AE$91+'Reference Standards'!$AE$92))),2),IF('Quantification Tool R5'!$B$12="65j",ROUND(IF(E426&gt;=0.32,0,IF(E426&lt;=0.01,1,IF(E426&lt;=0.25,E426*'Reference Standards'!$AH$91+'Reference Standards'!$AH$92,E426*'Reference Standards'!$AF$91+'Reference Standards'!$AF$92))),2),IF('Quantification Tool R5'!$B$12="71f",ROUND(IF(E426&gt;=3,0,IF(E426&lt;=0,1,IF(E426&lt;=0.01,0.7,E426^2*'Reference Standards'!$AB$126+E426*'Reference Standards'!$AB$127+'Reference Standards'!$AB$128))),2),IF('Quantification Tool R5'!$B$12="74a",ROUND(IF(E426&gt;=0.14,0,IF(E426&lt;=0.01,1,IF(E426&lt;=0.02,0.7,E426^2*'Reference Standards'!$AC$126+E426*'Reference Standards'!$AC$127+'Reference Standards'!$AC$128))),2),IF(OR('Quantification Tool R5'!$B$12="67fhi",'Quantification Tool R5'!$B$12="67g"),ROUND(IF(E426&gt;=1.9,0,IF(E426&lt;=0.01,1,IF(E426&lt;=0.05,E426*'Reference Standards'!$AF$127+'Reference Standards'!$AF$128,E426^2*'Reference Standards'!$AD$126+E426*'Reference Standards'!$AD$127+'Reference Standards'!$AD$128))),2),IF('Quantification Tool R5'!$B$12="73a",ROUND(IF(E426&gt;=1.44,0,IF(E426&lt;=0.01,1,IF(E426&lt;=0.12,E426*'Reference Standards'!$AG$127+'Reference Standards'!$AG$128,E426^2*'Reference Standards'!$AE$126+E426*'Reference Standards'!$AE$127+'Reference Standards'!$AE$128))),2),IF('Quantification Tool R5'!$B$12="66d",ROUND(IF(E426&gt;=0.46,0,IF(E426&lt;=0.02,1,IF(E426&lt;=0.08,E426*'Reference Standards'!$AF$163+'Reference Standards'!$AF$164,E426^2*'Reference Standards'!$AB$162+E426*'Reference Standards'!$AB$163+'Reference Standards'!$AB$164))),2),IF(OR('Quantification Tool R5'!$B$12="71g",'Quantification Tool R5'!$B$12="71h",'Quantification Tool R5'!$B$12="71i"),ROUND(IF(E426&gt;=3,0,IF(E426&lt;=0.06,1,IF(E426&lt;=0.24,E426*'Reference Standards'!$AG$163+'Reference Standards'!$AG$164,E426^2*'Reference Standards'!$AC$162+E426*'Reference Standards'!$AC$163+'Reference Standards'!$AC$164))),2),IF('Quantification Tool R5'!$B$12="74b",ROUND(IF(E426&gt;=1.3,0,IF(E426&lt;=0.29,1,IF(E426&lt;=0.48,E426*'Reference Standards'!$AH$163+'Reference Standards'!$AH$164,E426^2*'Reference Standards'!$AD$162+E426*'Reference Standards'!$AD$163+'Reference Standards'!$AD$164))),2),IF('Quantification Tool R5'!$B$12="71e",ROUND(IF(E426&gt;=4.3,0,IF(E426&lt;=0.53,1,IF(E426&lt;=0.67,E426*'Reference Standards'!$AI$163+'Reference Standards'!$AI$164,E426^2*'Reference Standards'!$AE$162+E426*'Reference Standards'!$AE$163+'Reference Standards'!$AE$164))),2)))))))))))))),IF('Quantification Tool R5'!$B$13&gt;2.5,IF('Quantification Tool R5'!$B$12="73a",ROUND(IF(E426&gt;=0.55,0,IF(E426&lt;=0,1,E426^2*'Reference Standards'!$AB$232+E426*'Reference Standards'!$AB$233+'Reference Standards'!$AB$234)),2),IF('Quantification Tool R5'!$B$12="68a",ROUND(IF(E426&gt;=0.54,0,IF(E426&lt;=0,1,IF(E426&lt;=0.01,0.85,E426^2*'Reference Standards'!$AC$232+E426*'Reference Standards'!$AC$233+'Reference Standards'!$AC$234))),2),IF('Quantification Tool R5'!$B$12="74a",ROUND(IF(E426&gt;=0.47,0,IF(E426&lt;=0.01,1,IF(E426&lt;=0.02,0.7,E426^2*'Reference Standards'!$AD$232+E426*'Reference Standards'!$AD$233+'Reference Standards'!$AD$234))),2),IF('Quantification Tool R5'!$B$12="69de",ROUND(IF(E426&gt;=0.26,0,IF(E426&lt;=0.01,1,IF(E426&lt;=0.02,0.85,E426^2*'Reference Standards'!$AE$232+E426*'Reference Standards'!$AE$233+'Reference Standards'!$AE$234))),2),IF('Quantification Tool R5'!$B$12="71f",ROUND(IF(E426&gt;=0.87,0,IF(E426&lt;=0.01,1,IF(E426&lt;=0.04,E426*'Reference Standards'!$AF$269+'Reference Standards'!$AF$270,E426^2*'Reference Standards'!$AB$268+E426*'Reference Standards'!$AB$269+'Reference Standards'!$AB$270))),2),IF('Quantification Tool R5'!$B$12="65abei",ROUND(IF(E426&gt;=0.82,0,IF(E426&lt;=0.01,1,IF(E426&lt;=0.06,E426*'Reference Standards'!$AG$269+'Reference Standards'!$AG$270,E426^2*'Reference Standards'!$AC$268+E426*'Reference Standards'!$AC$269+'Reference Standards'!$AC$270))),2),IF('Quantification Tool R5'!$B$12="65j",ROUND(IF(E426&gt;=0.33,0,IF(E426&lt;=0.03,1,IF(E426&lt;=0.09,E426*'Reference Standards'!$AH$269+'Reference Standards'!$AH$270,E426^2*'Reference Standards'!$AD$268+E426*'Reference Standards'!$AD$269+'Reference Standards'!$AD$270))),2),IF('Quantification Tool R5'!$B$12="68c",ROUND(IF(E426&gt;=0.7,0,IF(E426&lt;=0.07,1,IF(E426&lt;=0.12,E426*'Reference Standards'!$AI$269+'Reference Standards'!$AI$270,E426^2*'Reference Standards'!$AE$268+E426*'Reference Standards'!$AE$269+'Reference Standards'!$AE$270))),2),IF(OR('Quantification Tool R5'!$B$12="67fhi",'Quantification Tool R5'!$B$12="67g"),ROUND(IF(E426&gt;=1.8,0,IF(E426&lt;=0.08,1,IF(E426&lt;=0.2,E426*'Reference Standards'!$AF$306+'Reference Standards'!$AF$307,E426^2*'Reference Standards'!$AB$305+E426*'Reference Standards'!$AB$306+'Reference Standards'!$AB$307))),2),IF('Quantification Tool R5'!$B$12="74b",ROUND(IF(E426&gt;=0.96,0,IF(E426&lt;=0.12,1,IF(E426&lt;=0.16,E426*'Reference Standards'!$AG$306+'Reference Standards'!$AG$307,E426^2*'Reference Standards'!$AC$305+E426*'Reference Standards'!$AC$306+'Reference Standards'!$AC$307))),2),IF('Quantification Tool R5'!$B$12="66d",ROUND(IF(E426&gt;=0.75,0,IF(E426&lt;=0.13,1,IF(E426&lt;=0.2,E426*'Reference Standards'!$AH$306+'Reference Standards'!$AH$307,E426^2*'Reference Standards'!$AD$305+E426*'Reference Standards'!$AD$306+'Reference Standards'!$AD$307))),2),IF(OR('Quantification Tool R5'!$B$12="71g",'Quantification Tool R5'!$B$12="71h",'Quantification Tool R5'!$B$12="71i"),ROUND(IF(E426&gt;=1.68,0,IF(E426&lt;=0.08,1,IF(E426&lt;=0.23,E426*'Reference Standards'!$AI$306+'Reference Standards'!$AI$307,E426^2*'Reference Standards'!$AE$305+E426*'Reference Standards'!$AE$306+'Reference Standards'!$AE$307))),2),IF('Quantification Tool R5'!$B$12="71e",ROUND(IF(E426&gt;=5.3,0,IF(E426&lt;=0.94,1,IF(E426&lt;=1.4,E426*'Reference Standards'!$AF$310+'Reference Standards'!$AF$311,E426^2*'Reference Standards'!$AB$309+E426*'Reference Standards'!$AB$310+'Reference Standards'!$AB$311))),2))))))))))))))))))))</f>
        <v/>
      </c>
      <c r="G426" s="255" t="str">
        <f>IFERROR(AVERAGE(F426),"")</f>
        <v/>
      </c>
      <c r="H426" s="693"/>
      <c r="I426" s="696"/>
      <c r="J426" s="684"/>
      <c r="K426" s="680"/>
    </row>
    <row r="427" spans="1:12" ht="15.75" customHeight="1" x14ac:dyDescent="0.3">
      <c r="A427" s="539"/>
      <c r="B427" s="298" t="s">
        <v>82</v>
      </c>
      <c r="C427" s="66" t="s">
        <v>280</v>
      </c>
      <c r="D427" s="66"/>
      <c r="E427" s="136"/>
      <c r="F427" s="343" t="str">
        <f>IF(E427="","", IF(ISNUMBER('Quantification Tool R5'!$B$13),IF('Quantification Tool R5'!$B$13&gt;2.5,IF(OR('Quantification Tool R5'!$B$12="71h",'Quantification Tool R5'!$B$12="71i",'Quantification Tool R5'!$B$12="73a",'Quantification Tool R5'!$B$12="74a"),IF(E427&lt;=0.01,1,IF(OR('Quantification Tool R5'!$B$12="71h",'Quantification Tool R5'!$B$12="71i"),IF(E427&gt;0.37,0,ROUND(IF(E427&gt;0.03,'Reference Standards'!$AB$425*E427^2+'Reference Standards'!$AB$426*E427+'Reference Standards'!$AB$427,'Reference Standards'!$AF$426*E427+'Reference Standards'!$AF$427),2)),  IF('Quantification Tool R5'!$B$12="73a",IF(E427&gt;0.405,0,ROUND(IF(E427&gt;0.046,'Reference Standards'!$AC$425*E427^2+'Reference Standards'!$AC$426*E427+'Reference Standards'!$AC$427,'Reference Standards'!$AG$426*E427+'Reference Standards'!$AG$427),2)),IF('Quantification Tool R5'!$B$12="74a",IF(E427&gt;0.3,0,ROUND(IF(E427&gt;0.052,'Reference Standards'!$AD$425*E427^2+'Reference Standards'!$AD$426*E427+'Reference Standards'!$AD$427,'Reference Standards'!$AH$426*E427+'Reference Standards'!$AH$427),2)))))),   IF(E427&lt;=0.002,1,IF(OR('Quantification Tool R5'!$B$12="66d",'Quantification Tool R5'!$B$12="66e",'Quantification Tool R5'!$B$12="66g"),IF(E427&gt;0.053,0,ROUND(E427^2*'Reference Standards'!$AB$347+E427*'Reference Standards'!$AB$348+'Reference Standards'!$AB$349,2)), IF('Quantification Tool R5'!$B$12="68b",IF(E427&gt;0.05,0,ROUND(E427^2*'Reference Standards'!$AC$347+E427*'Reference Standards'!$AC$348+'Reference Standards'!$AC$349,2)),  IF(OR('Quantification Tool R5'!$B$12="68a",'Quantification Tool R5'!$B$12="68c"),IF(E427&gt;0.07,0,ROUND(E427^2*'Reference Standards'!$AD$347+E427*'Reference Standards'!$AD$348+'Reference Standards'!$AD$349,2)), IF(OR('Quantification Tool R5'!$B$12="71f",'Quantification Tool R5'!$B$12="71g"),IF(E427&gt;0.13,0,ROUND(IF(E427&gt;0.042,E427*'Reference Standards'!$AE$348+'Reference Standards'!$AE$349,E427*'Reference Standards'!$AF$348+'Reference Standards'!$AF$349),2)), IF('Quantification Tool R5'!$B$12="67fhi",IF(E427&gt;0.16,0,ROUND(E427^2*'Reference Standards'!$AG$347+E427*'Reference Standards'!$AG$348+'Reference Standards'!$AG$349,2)),  IF('Quantification Tool R5'!$B$12="65j",IF(E427&gt;0.035,0,ROUND(IF(E427&lt;=0.003,0.7,E427^2*'Reference Standards'!$AB$387+E427*'Reference Standards'!$AB$388+'Reference Standards'!$AB$389),2)),IF('Quantification Tool R5'!$B$12="69de",IF(E427&gt;0.037,0,ROUND(IF(E427&lt;=0.003,0.7,E427^2*'Reference Standards'!$AC$387+E427*'Reference Standards'!$AC$388+'Reference Standards'!$AC$389),2)),IF('Quantification Tool R5'!$B$12="71e",IF(E427&gt;0.23,0,ROUND(IF(E427&lt;=0.003,0.7,E427^2*'Reference Standards'!$AD$387+E427*'Reference Standards'!$AD$388+'Reference Standards'!$AD$389),2)),IF('Quantification Tool R5'!$B$12="66f",IF(E427&gt;0.06,0,ROUND(IF(E427&lt;=0.003,0.85,IF(E427&lt;=0.004,0.7,E427^2*'Reference Standards'!$AE$387+E427*'Reference Standards'!$AE$388+'Reference Standards'!$AE$389)),2)),IF('Quantification Tool R5'!$B$12="67g",IF(E427&gt;0.11,0,ROUND(IF(E427&lt;=0.01,E427*'Reference Standards'!$AH$388+'Reference Standards'!$AH$389, E427^2*'Reference Standards'!$AF$387+E427*'Reference Standards'!$AF$388+'Reference Standards'!$AF$389),2)),IF('Quantification Tool R5'!$B$12="74b",IF(E427&gt;0.49,0,ROUND(IF(E427&lt;=0.01,E427*'Reference Standards'!$AH$388+'Reference Standards'!$AH$389, E427^2*'Reference Standards'!$AG$387+E427*'Reference Standards'!$AG$388+'Reference Standards'!$AG$389),2)),IF('Quantification Tool R5'!$B$12="65abei",IF(E427&gt;0.199,0,ROUND(IF(E427&lt;=0.01,E427*'Reference Standards'!$AI$426+'Reference Standards'!$AI$427, E427^2*'Reference Standards'!$AE$425+E427*'Reference Standards'!$AE$426+'Reference Standards'!$AE$427),2))    )))))))))))))),      IF('Quantification Tool R5'!$B$13&lt;=2.5, IF(OR('Quantification Tool R5'!$B$12="66d",'Quantification Tool R5'!$B$12="66e",'Quantification Tool R5'!$B$12="66g"),IF(E427&gt;0.05,0,ROUND(IF(E427&lt;=0.002,1,IF(E427&lt;=0.005,E427*'Reference Standards'!$AF$464+'Reference Standards'!$AF$465, E427^2*'Reference Standards'!$AB$463+E427*'Reference Standards'!$AB$464+'Reference Standards'!$AB$465)),2)), IF('Quantification Tool R5'!$B$12="67fhi",IF(E427&gt;0.1,0,ROUND(IF(E427&lt;=0.002,1,IF(E427&lt;=0.006,E427*'Reference Standards'!$AG$464+'Reference Standards'!$AG$465, E427^2*'Reference Standards'!$AC$463+E427*'Reference Standards'!$AC$464+'Reference Standards'!$AC$465)),2)), IF('Quantification Tool R5'!$B$12="65abei",IF(E427&gt;0.13,0,ROUND(IF(E427&lt;=0.003,1,IF(E427&lt;=0.008,E427*'Reference Standards'!$AH$464+'Reference Standards'!$AH$465, E427^2*'Reference Standards'!$AD$463+E427*'Reference Standards'!$AD$464+'Reference Standards'!$AD$465)),2)), IF('Quantification Tool R5'!$B$12="68b",IF(E427&gt;0.043,0,ROUND(IF(E427&lt;=0.004,1, IF(E427&lt;=0.005,0.7, E427^2*'Reference Standards'!$AE$463+E427*'Reference Standards'!$AE$464+'Reference Standards'!$AE$465)),2)), IF('Quantification Tool R5'!$B$12="69de",IF(E427&gt;=0.034,0,ROUND(IF(E427&lt;=0.003,1, IF(E427&lt;=0.006,E427*'Reference Standards'!$AG$500+'Reference Standards'!$AG$501, E427*'Reference Standards'!$AB$500+'Reference Standards'!$AB$501)),2)), IF(OR('Quantification Tool R5'!$B$12="68a",'Quantification Tool R5'!$B$12="68c"),IF(E427&gt;0.202,0,ROUND(IF(E427&lt;=0.003,1, IF(E427&lt;=0.006,E427*'Reference Standards'!$AG$500+'Reference Standards'!$AG$501, IF(E427&gt;=0.04,E427*'Reference Standards'!$AC$500+'Reference Standards'!$AC$501,E427*'Reference Standards'!$AE$500+'Reference Standards'!$AE$501))),2)), IF(OR('Quantification Tool R5'!$B$12="71f",'Quantification Tool R5'!$B$12="71g"),IF(E427&gt;0.631,0,ROUND(IF(E427&lt;=0.003,1, IF(E427&lt;=0.006,E427*'Reference Standards'!$AG$500+'Reference Standards'!$AG$501, IF(E427&gt;=0.17,E427*'Reference Standards'!$AD$500+'Reference Standards'!$AD$501,E427*'Reference Standards'!$AF$500+'Reference Standards'!$AF$501))),2)),   IF('Quantification Tool R5'!$B$12="71e",IF(E427&gt;1.23,0,ROUND(IF(E427&lt;=0.004,1,IF(E427&lt;=0.006,E427*'Reference Standards'!$AF$538+'Reference Standards'!$AF$539, E427^2*'Reference Standards'!$AB$537+E427*'Reference Standards'!$AB$538+'Reference Standards'!$AB$539)),2)), IF('Quantification Tool R5'!$B$12="67g",IF(E427&gt;0.11,0,ROUND(IF(E427&lt;=0.006,1,IF(E427&lt;=0.011,E427*'Reference Standards'!$AG$538+'Reference Standards'!$AG$539, E427^2*'Reference Standards'!$AC$537+E427*'Reference Standards'!$AC$538+'Reference Standards'!$AC$539)),2)), IF('Quantification Tool R5'!$B$12="65j",IF(E427&gt;0.046,0,ROUND(IF(E427&lt;=0.007,1,IF(E427&lt;=0.012,E427*'Reference Standards'!$AH$538+'Reference Standards'!$AH$539, E427^2*'Reference Standards'!$AD$537+E427*'Reference Standards'!$AD$538+'Reference Standards'!$AD$539)),2)), IF('Quantification Tool R5'!$B$12="66f",IF(E427&gt;0.081,0,ROUND(IF(E427&lt;=0.008,1,IF(E427&lt;=0.011,E427*'Reference Standards'!$AI$538+'Reference Standards'!$AI$539, E427^2*'Reference Standards'!$AE$537+E427*'Reference Standards'!$AE$538+'Reference Standards'!$AE$539)),2)), IF(OR('Quantification Tool R5'!$B$12="71h",'Quantification Tool R5'!$B$12="71i"),IF(E427&gt;0.37,0,ROUND(IF(E427&lt;=0.013,1,IF(E427&lt;=0.032,E427*'Reference Standards'!$AH$576+'Reference Standards'!$AH$577, IF(E427&lt;=0.3,E427*'Reference Standards'!$AF$576+'Reference Standards'!$AF$577,E427*'Reference Standards'!$AB$576+'Reference Standards'!$AB$577))),2)), IF('Quantification Tool R5'!$B$12="73a",IF(E427&gt;0.448,0,ROUND(IF(E427&lt;=0.071,1,IF(E427&lt;=0.086,E427*'Reference Standards'!$AJ$576+'Reference Standards'!$AJ$577, IF(E427&lt;=0.165,E427*'Reference Standards'!$AG$576+'Reference Standards'!$AG$577,E427*'Reference Standards'!$AE$576+'Reference Standards'!$AE$577))),2)),  IF('Quantification Tool R5'!$B$12="74b",IF(E427&gt;0.43,0,ROUND(IF(E427&lt;=0.018,1,IF(E427&lt;=0.019,0.85, IF(E427&lt;=0.02,0.7, E427^2*'Reference Standards'!$AC$575+E427*'Reference Standards'!$AC$576+'Reference Standards'!$AC$577))),2)), IF('Quantification Tool R5'!$B$12="74a",IF(E427&gt;0.217,0,ROUND(IF(E427&lt;=0.02,1,IF(E427&lt;=0.033,E427*'Reference Standards'!$AI$576+'Reference Standards'!$AI$577, E427^2*'Reference Standards'!$AD$575+E427*'Reference Standards'!$AD$576+'Reference Standards'!$AD$577)),2))     )))))))))))))))))))</f>
        <v/>
      </c>
      <c r="G427" s="256" t="str">
        <f>IFERROR(AVERAGE(F427),"")</f>
        <v/>
      </c>
      <c r="H427" s="694"/>
      <c r="I427" s="697"/>
      <c r="J427" s="684"/>
      <c r="K427" s="680"/>
    </row>
    <row r="428" spans="1:12" ht="15.6" x14ac:dyDescent="0.3">
      <c r="A428" s="550" t="s">
        <v>59</v>
      </c>
      <c r="B428" s="560" t="s">
        <v>340</v>
      </c>
      <c r="C428" s="125" t="s">
        <v>331</v>
      </c>
      <c r="D428" s="126"/>
      <c r="E428" s="166"/>
      <c r="F428" s="345" t="str">
        <f>IF(E428="","",IF(OR('Quantification Tool R5'!B$12="73a",'Quantification Tool R5'!B$12="73b"),IF(E428&lt;1,0,IF(E428&gt;=30,1,ROUND(IF(E428&lt;22,'Reference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698" t="str">
        <f>IFERROR(AVERAGE(F428:F431),"")</f>
        <v/>
      </c>
      <c r="H428" s="699" t="str">
        <f>IFERROR(ROUND(AVERAGE(G428:G433),2),"")</f>
        <v/>
      </c>
      <c r="I428" s="683" t="str">
        <f>IF(H428="","",IF(H428&gt;0.69,"Functioning",IF(H428&gt;0.29,"Functioning At Risk",IF(H428&gt;-1,"Not Functioning"))))</f>
        <v/>
      </c>
      <c r="J428" s="684"/>
      <c r="K428" s="680"/>
    </row>
    <row r="429" spans="1:12" ht="15.6" x14ac:dyDescent="0.3">
      <c r="A429" s="556"/>
      <c r="B429" s="561"/>
      <c r="C429" s="174" t="s">
        <v>335</v>
      </c>
      <c r="D429" s="175"/>
      <c r="E429" s="165"/>
      <c r="F429" s="346" t="str">
        <f>IF(E429="","",IF(AND('Quantification Tool R5'!$B$12="74b",'Quantification Tool R5'!$B$13&lt;=2),IF(E429&lt;0,0,IF(E429&gt;15.6,0.69,ROUND('Reference Standards'!$AL$54*E429^2+'Reference Standards'!$AL$55*E429+'Reference Standards'!$AL$56,2))),IF(AND('Quantification Tool R5'!$B$12="65abei",'Quantification Tool R5'!$B$13&lt;=2),IF(E429&lt;0,0,IF(E429&gt;=20,0.69,ROUND('Reference Standards'!$AM$54*E429^2+'Reference Standards'!$AM$55*E429+'Reference Standards'!$AM$56,2))),IF(OR(AND('Quantification Tool R5'!$B$12="74a",'Quantification Tool R5'!$B$13&gt;2,'Quantification Tool R5'!$B$19="January - June"),AND('Quantification Tool R5'!$B$12="71i",'Quantification Tool R5'!$B$13&gt;2,'Quantification Tool R5'!$B$20="SQBANK")),IF(E429&lt;0,0,IF(E429&gt;24.7,0.69,ROUND('Reference Standards'!$AN$54*E429^2+'Reference Standards'!$AN$55*E429+'Reference Standards'!$AN$56,2))),IF(OR('Quantification Tool R5'!$B$12="74b",'Quantification Tool R5'!$B$12="65abei"),IF(E429&lt;0,0,IF(E429&gt;32.7,0.69,ROUND('Reference Standards'!$AO$54*E429^2+'Reference Standards'!$AO$55*E429+'Reference Standards'!$AO$56,2))),IF(AND('Quantification Tool R5'!$B$12="68b",'Quantification Tool R5'!$B$13&gt;2),IF(E429&lt;0,0,IF(E429&gt;41.2,0.69,ROUND('Reference Standards'!$AP$54*E429^2+'Reference Standards'!$AP$55*E429+'Reference Standards'!$AP$56,2))),IF(OR(AND('Quantification Tool R5'!$B$12="71i",'Quantification Tool R5'!$B$13&lt;=2),AND(OR('Quantification Tool R5'!$B$12="68c",'Quantification Tool R5'!$B$12="68d"),'Quantification Tool R5'!$B$19="January - June")),IF(E429&lt;0,0,IF(E429&gt;49.2,0.69,ROUND('Reference Standards'!$AL$94*E429^2+'Reference Standards'!$AL$95*E429+'Reference Standards'!$AL$96,2))),IF(OR(AND('Quantification Tool R5'!$B$12="68a",'Quantification Tool R5'!$B$19="January - June"),AND(OR('Quantification Tool R5'!$B$12="68c",'Quantification Tool R5'!$B$12="68d"),'Quantification Tool R5'!$B$19="July - December")),IF(E429&lt;0,0,IF(E429&gt;53.4,0.69,ROUND('Reference Standards'!$AM$94*E429^2+'Reference Standards'!$AM$95*E429+'Reference Standards'!$AM$96,2))),IF(OR(AND('Quantification Tool R5'!$B$12="71i",'Quantification Tool R5'!$B$13&gt;2,'Quantification Tool R5'!$B$20="SQKICK"),AND(OR('Quantification Tool R5'!$B$12="67fhi",'Quantification Tool R5'!$B$12="67g"),'Quantification Tool R5'!$B$13&lt;=2),'Quantification Tool R5'!$B$12="65j"),IF(E429&lt;0,0,IF(E429&gt;57.8,0.69,ROUND('Reference Standards'!$AN$94*E429^2+'Reference Standards'!$AN$95*E429+'Reference Standards'!$AN$96,2))),IF(OR(AND('Quantification Tool R5'!$B$12="74a",'Quantification Tool R5'!$B$13&gt;2,'Quantification Tool R5'!$B$19="July - December"),AND(OR('Quantification Tool R5'!$B$12="67fhi",'Quantification Tool R5'!$B$12="67g"),'Quantification Tool R5'!$B$13&gt;2),'Quantification Tool R5'!$B$12="69de"),IF(E429&lt;0,0,IF(E429&gt;62.5,0.69,ROUND('Reference Standards'!$AO$94*E429^2+'Reference Standards'!$AO$95*E429+'Reference Standards'!$AO$96,2))),  IF(OR('Quantification Tool R5'!$B$12="66d",'Quantification Tool R5'!$B$12="66e",'Quantification Tool R5'!$B$12="66ik",'Quantification Tool R5'!$B$12="71e",'Quantification Tool R5'!$B$12="71f",'Quantification Tool R5'!$B$12="71g",'Quantification Tool R5'!$B$12="71h"),IF(E429&lt;0,0,IF(E429&gt;66.5,0.69,ROUND('Reference Standards'!$AP$94*E429^2+'Reference Standards'!$AP$95*E429+'Reference Standards'!$AP$96,2))),IF(OR('Quantification Tool R5'!$B$12="66f",'Quantification Tool R5'!$B$12="66g",'Quantification Tool R5'!$B$12="66j",AND('Quantification Tool R5'!$B$12="68a",'Quantification Tool R5'!$B$19="July - December")), IF(E429&lt;0,0,IF(E429&gt;69,0.69,ROUND('Reference Standards'!$AQ$94*E429^2+'Reference Standards'!$AQ$95*E429+'Reference Standards'!$AQ$96,2))))   )))))))))))</f>
        <v/>
      </c>
      <c r="G429" s="698"/>
      <c r="H429" s="699"/>
      <c r="I429" s="683"/>
      <c r="J429" s="684"/>
      <c r="K429" s="680"/>
    </row>
    <row r="430" spans="1:12" ht="15.6" x14ac:dyDescent="0.3">
      <c r="A430" s="556"/>
      <c r="B430" s="561"/>
      <c r="C430" s="174" t="s">
        <v>339</v>
      </c>
      <c r="D430" s="175"/>
      <c r="E430" s="165"/>
      <c r="F430" s="346" t="str">
        <f>IF(E430="","",IF(AND('Quantification Tool R5'!$B$12="74b",'Quantification Tool R5'!$B$13&lt;=2),IF(E430&lt;0,0,IF(E430&gt;8.1,0.69,ROUND('Reference Standards'!$AL$131*E430^2+'Reference Standards'!$AL$132*E430+'Reference Standards'!$AL$133,2))),IF(OR('Quantification Tool R5'!$B$12="73a",'Quantification Tool R5'!$B$12="73b"),IF(E430&lt;0,0,IF(E430&gt;=28,0.69,ROUND('Reference Standards'!$AM$131*E430^2+'Reference Standards'!$AM$132*E430+'Reference Standards'!$AM$133,2))),IF(AND('Quantification Tool R5'!$B$12="74a",'Quantification Tool R5'!$B$13&gt;2,'Quantification Tool R5'!$B$19="January - June"),IF(E430&lt;0,0,IF(E430&gt;=32.5,0.69,ROUND('Reference Standards'!$AN$131*E430^2+'Reference Standards'!$AN$132*E430+'Reference Standards'!$AN$133,2))),IF(AND('Quantification Tool R5'!$B$12="71i",'Quantification Tool R5'!$B$13&gt;2,'Quantification Tool R5'!$B$20="SQBANK"),IF(E430&lt;0,0,IF(E430&gt;=37,0.69,ROUND('Reference Standards'!$AO$131*E430^2+'Reference Standards'!$AO$132*E430+'Reference Standards'!$AO$133,2))),IF(OR(AND(OR('Quantification Tool R5'!$B$12="65abei",'Quantification Tool R5'!$B$12="74b"),'Quantification Tool R5'!$B$13&gt;2),AND('Quantification Tool R5'!$B$12="71i",'Quantification Tool R5'!$B$13&gt;2,'Quantification Tool R5'!$B$20="SQKICK")),IF(E430&lt;0,0,IF(E430&gt;42.6,0.69,ROUND('Reference Standards'!$AP$131*E430^2+'Reference Standards'!$AP$132*E430+'Reference Standards'!$AP$133,2))),     IF(OR(AND('Quantification Tool R5'!$B$12="65abei",'Quantification Tool R5'!$B$13&lt;=2),AND(OR('Quantification Tool R5'!$B$12="68c",'Quantification Tool R5'!$B$12="68d"),'Quantification Tool R5'!$B$19="July - December"),'Quantification Tool R5'!$B$12="71e"),IF(E430&lt;0,0,IF(E430&gt;=48,0.69,ROUND('Reference Standards'!$AL$171*E430^2+'Reference Standards'!$AL$172*E430+'Reference Standards'!$AL$173,2))),IF(OR('Quantification Tool R5'!$B$12="65j",'Quantification Tool R5'!$B$12="67fhi",'Quantification Tool R5'!$B$12="67g",AND('Quantification Tool R5'!$B$12="74a",'Quantification Tool R5'!$B$19="July - December",'Quantification Tool R5'!$B$13&gt;2),AND('Quantification Tool R5'!$B$12="71i",'Quantification Tool R5'!$B$13&lt;=2)),IF(E430&lt;0,0,IF(E430&gt;=53,0.69,ROUND('Reference Standards'!$AM$171*E430^2+'Reference Standards'!$AM$172*E430+'Reference Standards'!$AM$173,2))),IF(OR(AND(OR('Quantification Tool R5'!$B$12="68b",'Quantification Tool R5'!$B$12="71f",'Quantification Tool R5'!$B$12="71g",'Quantification Tool R5'!$B$12="71h"),'Quantification Tool R5'!$B$13&gt;2),'Quantification Tool R5'!$B$12="68a"),IF(E430&lt;0,0,IF(E430&gt;=57,0.69,ROUND('Reference Standards'!$AN$171*E430^2+'Reference Standards'!$AN$172*E430+'Reference Standards'!$AN$173,2))),IF(OR('Quantification Tool R5'!$B$12="66f",'Quantification Tool R5'!$B$12="66g",'Quantification Tool R5'!$B$12="66j",AND(OR('Quantification Tool R5'!$B$12="71f",'Quantification Tool R5'!$B$12="71g",'Quantification Tool R5'!$B$12="71h"),'Quantification Tool R5'!$B$13&lt;=2)),IF(E430&lt;0,0,IF(E430&gt;=60,0.69,ROUND('Reference Standards'!$AO$171*E430^2+'Reference Standards'!$AO$172*E430+'Reference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December")),IF(E430&lt;0,0,IF(E430&gt;=67.5,0.69,ROUND('Reference Standards'!$AP$171*E430^2+'Reference Standards'!$AP$172*E430+'Reference Standards'!$AP$173,2))),IF(AND('Quantification Tool R5'!$B$12="69de",'Quantification Tool R5'!$B$19="January - June"), IF(E430&lt;0,0,IF(E430&gt;=72,0.69,ROUND('Reference Standards'!$AQ$171*E430^2+'Reference Standards'!$AQ$172*E430+'Reference Standards'!$AQ$173,2))))   )))))))))))</f>
        <v/>
      </c>
      <c r="G430" s="698"/>
      <c r="H430" s="699"/>
      <c r="I430" s="683"/>
      <c r="J430" s="684"/>
      <c r="K430" s="680"/>
    </row>
    <row r="431" spans="1:12" ht="15.6" x14ac:dyDescent="0.3">
      <c r="A431" s="556"/>
      <c r="B431" s="562"/>
      <c r="C431" s="127" t="s">
        <v>336</v>
      </c>
      <c r="D431" s="71"/>
      <c r="E431" s="167"/>
      <c r="F431" s="346" t="str">
        <f>IF(E431="","",IF(OR('Quantification Tool R5'!$B$12="67fhi",'Quantification Tool R5'!$B$12="67g",'Quantification Tool R5'!$B$12="71e",'Quantification Tool R5'!$B$12="73a",'Quantification Tool R5'!$B$12="73b",AND(OR('Quantification Tool R5'!$B$12="71f",'Quantification Tool R5'!$B$12="71g",'Quantification Tool R5'!$B$12="71h"),'Quantification Tool R5'!$B$13&gt;2)),IF(E431&gt;100,0,IF(E431&lt;15,0.69,ROUND('Reference Standards'!$AL$208*E431^2+'Reference Standards'!$AL$209*E431+'Reference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),IF(E431&gt;100,0,IF(E431&lt;19,0.69,ROUND('Reference Standards'!$AM$208*E431^2+'Reference Standards'!$AM$209*E431+'Reference Standards'!$AM$210,2))),    IF(OR(AND('Quantification Tool R5'!$B$12="69de",'Quantification Tool R5'!$B$19="January - June"),AND('Quantification Tool R5'!$B$12="71i",'Quantification Tool R5'!$B$13&gt;2,'Quantification Tool R5'!$B$20="SQKICK" )),IF(E431&gt;100,0,IF(E431&lt;22,0.69,ROUND('Reference Standards'!$AN$208*E431^2+'Reference Standards'!$AN$209*E431+'Reference Standards'!$AN$210,2))),    IF(OR('Quantification Tool R5'!$B$12="65j",AND('Quantification Tool R5'!$B$12="68b",'Quantification Tool R5'!$B$13&gt;2)),IF(E431&gt;100,0,IF(E431&lt;24,0.69,ROUND('Reference Standards'!$AO$208*E431^2+'Reference Standards'!$AO$209*E431+'Reference Standards'!$AO$210,2))),    IF(AND(OR('Quantification Tool R5'!$B$12="65abei",'Quantification Tool R5'!$B$12="71f",'Quantification Tool R5'!$B$12="71g",'Quantification Tool R5'!$B$12="71h"),'Quantification Tool R5'!$B$13&lt;=2),IF(E431&gt;95,0,IF(E431&lt;33,0.69,ROUND('Reference Standards'!$AL$246*E431^2+'Reference Standards'!$AL$247*E431+'Reference Standards'!$AL$248,2))),   IF(AND(OR('Quantification Tool R5'!$B$12="65abei",'Quantification Tool R5'!$B$12="74b"),'Quantification Tool R5'!$B$13&gt;2),IF(E431&gt;97,0,IF(E431&lt;36,0.69,ROUND('Reference Standards'!$AM$246*E431^2+'Reference Standards'!$AM$247*E431+'Reference Standards'!$AM$248,2))),  IF(AND('Quantification Tool R5'!$B$12="74a",'Quantification Tool R5'!$B$19="January - June",'Quantification Tool R5'!$B$13&gt;2),IF(E431&gt;93,0,IF(E431&lt;52,0.69,ROUND('Reference Standards'!$AN$246*E431^2+'Reference Standards'!$AN$247*E431+'Reference Standards'!$AN$248,2))),   IF(AND('Quantification Tool R5'!$B$12="74b",'Quantification Tool R5'!$B$13&lt;=2),IF(E431&gt;97,0,IF(E431&lt;62,0.69,ROUND('Reference Standards'!$AO$246*E431^2+'Reference Standards'!$AO$247*E431+'Reference Standards'!$AO$248,2)))  )))))))))</f>
        <v/>
      </c>
      <c r="G431" s="698"/>
      <c r="H431" s="699"/>
      <c r="I431" s="683"/>
      <c r="J431" s="684"/>
      <c r="K431" s="680"/>
    </row>
    <row r="432" spans="1:12" ht="15.6" x14ac:dyDescent="0.3">
      <c r="A432" s="556"/>
      <c r="B432" s="563" t="s">
        <v>74</v>
      </c>
      <c r="C432" s="125" t="s">
        <v>211</v>
      </c>
      <c r="D432" s="126"/>
      <c r="E432" s="166"/>
      <c r="F432" s="345" t="str">
        <f>IF(E432="","",IF(E432=1,0.15,IF(E432=3,0.5,IF(E432=5,0.85,0))))</f>
        <v/>
      </c>
      <c r="G432" s="672" t="str">
        <f>IFERROR(AVERAGE(F432:F433),"")</f>
        <v/>
      </c>
      <c r="H432" s="699"/>
      <c r="I432" s="683"/>
      <c r="J432" s="684"/>
      <c r="K432" s="680"/>
    </row>
    <row r="433" spans="1:11" ht="15.6" x14ac:dyDescent="0.3">
      <c r="A433" s="551"/>
      <c r="B433" s="563"/>
      <c r="C433" s="127" t="s">
        <v>332</v>
      </c>
      <c r="D433" s="71"/>
      <c r="E433" s="167"/>
      <c r="F433" s="347" t="str">
        <f>IF(E433="","",IF(E433=1,0.15,IF(E433=3,0.5,IF(E433=5,0.85,0))))</f>
        <v/>
      </c>
      <c r="G433" s="673"/>
      <c r="H433" s="699"/>
      <c r="I433" s="683"/>
      <c r="J433" s="684"/>
      <c r="K433" s="680"/>
    </row>
  </sheetData>
  <sheetProtection password="9A90" sheet="1" objects="1" scenarios="1" selectLockedCells="1"/>
  <dataConsolidate/>
  <mergeCells count="364">
    <mergeCell ref="A1:F1"/>
    <mergeCell ref="G1:K1"/>
    <mergeCell ref="C2:D2"/>
    <mergeCell ref="A3:A4"/>
    <mergeCell ref="H3:H4"/>
    <mergeCell ref="I3:I4"/>
    <mergeCell ref="J3:J38"/>
    <mergeCell ref="K3:K38"/>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 ref="I33:I38"/>
    <mergeCell ref="B37:B38"/>
    <mergeCell ref="G37:G38"/>
    <mergeCell ref="H5:H6"/>
    <mergeCell ref="I5:I6"/>
    <mergeCell ref="A7:A28"/>
    <mergeCell ref="B7:B8"/>
    <mergeCell ref="G7:G8"/>
    <mergeCell ref="H7:H28"/>
    <mergeCell ref="I7:I28"/>
    <mergeCell ref="B9:B12"/>
    <mergeCell ref="G9:G12"/>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B76:B77"/>
    <mergeCell ref="G76:G77"/>
    <mergeCell ref="I44:I45"/>
    <mergeCell ref="A46:A67"/>
    <mergeCell ref="B46:B47"/>
    <mergeCell ref="G46:G47"/>
    <mergeCell ref="H46:H67"/>
    <mergeCell ref="I46:I67"/>
    <mergeCell ref="B48:B51"/>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115:B116"/>
    <mergeCell ref="G115:G116"/>
    <mergeCell ref="I83:I84"/>
    <mergeCell ref="A85:A106"/>
    <mergeCell ref="B85:B86"/>
    <mergeCell ref="G85:G86"/>
    <mergeCell ref="H85:H106"/>
    <mergeCell ref="I85:I106"/>
    <mergeCell ref="B87:B90"/>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54:B155"/>
    <mergeCell ref="G154:G155"/>
    <mergeCell ref="I122:I123"/>
    <mergeCell ref="A124:A145"/>
    <mergeCell ref="B124:B125"/>
    <mergeCell ref="G124:G125"/>
    <mergeCell ref="H124:H145"/>
    <mergeCell ref="I124:I145"/>
    <mergeCell ref="B126:B129"/>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93:B194"/>
    <mergeCell ref="G193:G194"/>
    <mergeCell ref="I161:I162"/>
    <mergeCell ref="A163:A184"/>
    <mergeCell ref="B163:B164"/>
    <mergeCell ref="G163:G164"/>
    <mergeCell ref="H163:H184"/>
    <mergeCell ref="I163:I184"/>
    <mergeCell ref="B165:B168"/>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232:B233"/>
    <mergeCell ref="G232:G233"/>
    <mergeCell ref="I200:I201"/>
    <mergeCell ref="A202:A223"/>
    <mergeCell ref="B202:B203"/>
    <mergeCell ref="G202:G203"/>
    <mergeCell ref="H202:H223"/>
    <mergeCell ref="I202:I223"/>
    <mergeCell ref="B204:B20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72:B273"/>
    <mergeCell ref="G272:G273"/>
    <mergeCell ref="I240:I241"/>
    <mergeCell ref="A242:A263"/>
    <mergeCell ref="B242:B243"/>
    <mergeCell ref="G242:G243"/>
    <mergeCell ref="H242:H263"/>
    <mergeCell ref="I242:I263"/>
    <mergeCell ref="B244:B24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312:B313"/>
    <mergeCell ref="G312:G313"/>
    <mergeCell ref="I280:I281"/>
    <mergeCell ref="A282:A303"/>
    <mergeCell ref="B282:B283"/>
    <mergeCell ref="G282:G283"/>
    <mergeCell ref="H282:H303"/>
    <mergeCell ref="I282:I303"/>
    <mergeCell ref="B284:B28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52:B353"/>
    <mergeCell ref="G352:G353"/>
    <mergeCell ref="I320:I321"/>
    <mergeCell ref="A322:A343"/>
    <mergeCell ref="B322:B323"/>
    <mergeCell ref="G322:G323"/>
    <mergeCell ref="H322:H343"/>
    <mergeCell ref="I322:I343"/>
    <mergeCell ref="B324:B32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92:B393"/>
    <mergeCell ref="G392:G393"/>
    <mergeCell ref="I360:I361"/>
    <mergeCell ref="A362:A383"/>
    <mergeCell ref="B362:B363"/>
    <mergeCell ref="G362:G363"/>
    <mergeCell ref="H362:H383"/>
    <mergeCell ref="I362:I383"/>
    <mergeCell ref="B364:B36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432:B433"/>
    <mergeCell ref="G432:G433"/>
    <mergeCell ref="I400:I401"/>
    <mergeCell ref="A402:A423"/>
    <mergeCell ref="B402:B403"/>
    <mergeCell ref="G402:G403"/>
    <mergeCell ref="H402:H423"/>
    <mergeCell ref="I402:I423"/>
    <mergeCell ref="B404:B407"/>
  </mergeCells>
  <conditionalFormatting sqref="A2:C2 L378:L384 L365:L372 L1:M4 G1 A41:C41 G40 M356:M359 E2:K2 E41:K41 M51:M65 L66:L78 L105:L115 L144:L156 L183:L195 L223:L235 L263:L273 L303:L313 L343:L355 M380:M393 M420:M434 D30:D31 D69:D70 D108:D109 D147:D148 D186:D187 D225:D226 D265:D266 D305:D306 D345:D346 D385:D386 D425:D426 L5:L37 L316:M326 L276:M286 L236:M246 L196:M206 L157:M167 L118:M128 L79:M89 L38:M50">
    <cfRule type="beginsWith" dxfId="1917" priority="2662" stopIfTrue="1" operator="beginsWith" text="Functioning At Risk">
      <formula>LEFT(A1,LEN("Functioning At Risk"))="Functioning At Risk"</formula>
    </cfRule>
    <cfRule type="beginsWith" dxfId="1916" priority="2663" stopIfTrue="1" operator="beginsWith" text="Not Functioning">
      <formula>LEFT(A1,LEN("Not Functioning"))="Not Functioning"</formula>
    </cfRule>
    <cfRule type="containsText" dxfId="1915" priority="2664" operator="containsText" text="Functioning">
      <formula>NOT(ISERROR(SEARCH("Functioning",A1)))</formula>
    </cfRule>
  </conditionalFormatting>
  <conditionalFormatting sqref="A80:C80 G79 E80:K80 M90:M104">
    <cfRule type="beginsWith" dxfId="1914" priority="2659" stopIfTrue="1" operator="beginsWith" text="Functioning At Risk">
      <formula>LEFT(A79,LEN("Functioning At Risk"))="Functioning At Risk"</formula>
    </cfRule>
    <cfRule type="beginsWith" dxfId="1913" priority="2660" stopIfTrue="1" operator="beginsWith" text="Not Functioning">
      <formula>LEFT(A79,LEN("Not Functioning"))="Not Functioning"</formula>
    </cfRule>
    <cfRule type="containsText" dxfId="1912" priority="2661" operator="containsText" text="Functioning">
      <formula>NOT(ISERROR(SEARCH("Functioning",A79)))</formula>
    </cfRule>
  </conditionalFormatting>
  <conditionalFormatting sqref="A197:C197 G196 E197:K197 M207:M222">
    <cfRule type="beginsWith" dxfId="1911" priority="2647" stopIfTrue="1" operator="beginsWith" text="Functioning At Risk">
      <formula>LEFT(A196,LEN("Functioning At Risk"))="Functioning At Risk"</formula>
    </cfRule>
    <cfRule type="beginsWith" dxfId="1910" priority="2648" stopIfTrue="1" operator="beginsWith" text="Not Functioning">
      <formula>LEFT(A196,LEN("Not Functioning"))="Not Functioning"</formula>
    </cfRule>
    <cfRule type="containsText" dxfId="1909" priority="2649" operator="containsText" text="Functioning">
      <formula>NOT(ISERROR(SEARCH("Functioning",A196)))</formula>
    </cfRule>
  </conditionalFormatting>
  <conditionalFormatting sqref="L116:L117">
    <cfRule type="beginsWith" dxfId="1908" priority="2656" stopIfTrue="1" operator="beginsWith" text="Functioning At Risk">
      <formula>LEFT(L116,LEN("Functioning At Risk"))="Functioning At Risk"</formula>
    </cfRule>
    <cfRule type="beginsWith" dxfId="1907" priority="2657" stopIfTrue="1" operator="beginsWith" text="Not Functioning">
      <formula>LEFT(L116,LEN("Not Functioning"))="Not Functioning"</formula>
    </cfRule>
    <cfRule type="containsText" dxfId="1906" priority="2658" operator="containsText" text="Functioning">
      <formula>NOT(ISERROR(SEARCH("Functioning",L116)))</formula>
    </cfRule>
  </conditionalFormatting>
  <conditionalFormatting sqref="A119:C119 G118 E119:K119 M129:M143">
    <cfRule type="beginsWith" dxfId="1905" priority="2653" stopIfTrue="1" operator="beginsWith" text="Functioning At Risk">
      <formula>LEFT(A118,LEN("Functioning At Risk"))="Functioning At Risk"</formula>
    </cfRule>
    <cfRule type="beginsWith" dxfId="1904" priority="2654" stopIfTrue="1" operator="beginsWith" text="Not Functioning">
      <formula>LEFT(A118,LEN("Not Functioning"))="Not Functioning"</formula>
    </cfRule>
    <cfRule type="containsText" dxfId="1903" priority="2655" operator="containsText" text="Functioning">
      <formula>NOT(ISERROR(SEARCH("Functioning",A118)))</formula>
    </cfRule>
  </conditionalFormatting>
  <conditionalFormatting sqref="A158:C158 G157 E158:K158 M168:M182">
    <cfRule type="beginsWith" dxfId="1902" priority="2650" stopIfTrue="1" operator="beginsWith" text="Functioning At Risk">
      <formula>LEFT(A157,LEN("Functioning At Risk"))="Functioning At Risk"</formula>
    </cfRule>
    <cfRule type="beginsWith" dxfId="1901" priority="2651" stopIfTrue="1" operator="beginsWith" text="Not Functioning">
      <formula>LEFT(A157,LEN("Not Functioning"))="Not Functioning"</formula>
    </cfRule>
    <cfRule type="containsText" dxfId="1900" priority="2652" operator="containsText" text="Functioning">
      <formula>NOT(ISERROR(SEARCH("Functioning",A157)))</formula>
    </cfRule>
  </conditionalFormatting>
  <conditionalFormatting sqref="A237:C237 G236 E237:K237 M247:M262">
    <cfRule type="beginsWith" dxfId="1899" priority="2644" stopIfTrue="1" operator="beginsWith" text="Functioning At Risk">
      <formula>LEFT(A236,LEN("Functioning At Risk"))="Functioning At Risk"</formula>
    </cfRule>
    <cfRule type="beginsWith" dxfId="1898" priority="2645" stopIfTrue="1" operator="beginsWith" text="Not Functioning">
      <formula>LEFT(A236,LEN("Not Functioning"))="Not Functioning"</formula>
    </cfRule>
    <cfRule type="containsText" dxfId="1897" priority="2646" operator="containsText" text="Functioning">
      <formula>NOT(ISERROR(SEARCH("Functioning",A236)))</formula>
    </cfRule>
  </conditionalFormatting>
  <conditionalFormatting sqref="L274:L275">
    <cfRule type="beginsWith" dxfId="1896" priority="2641" stopIfTrue="1" operator="beginsWith" text="Functioning At Risk">
      <formula>LEFT(L274,LEN("Functioning At Risk"))="Functioning At Risk"</formula>
    </cfRule>
    <cfRule type="beginsWith" dxfId="1895" priority="2642" stopIfTrue="1" operator="beginsWith" text="Not Functioning">
      <formula>LEFT(L274,LEN("Not Functioning"))="Not Functioning"</formula>
    </cfRule>
    <cfRule type="containsText" dxfId="1894" priority="2643" operator="containsText" text="Functioning">
      <formula>NOT(ISERROR(SEARCH("Functioning",L274)))</formula>
    </cfRule>
  </conditionalFormatting>
  <conditionalFormatting sqref="A277:C277 G276 E277:K277 M287:M302">
    <cfRule type="beginsWith" dxfId="1893" priority="2638" stopIfTrue="1" operator="beginsWith" text="Functioning At Risk">
      <formula>LEFT(A276,LEN("Functioning At Risk"))="Functioning At Risk"</formula>
    </cfRule>
    <cfRule type="beginsWith" dxfId="1892" priority="2639" stopIfTrue="1" operator="beginsWith" text="Not Functioning">
      <formula>LEFT(A276,LEN("Not Functioning"))="Not Functioning"</formula>
    </cfRule>
    <cfRule type="containsText" dxfId="1891" priority="2640" operator="containsText" text="Functioning">
      <formula>NOT(ISERROR(SEARCH("Functioning",A276)))</formula>
    </cfRule>
  </conditionalFormatting>
  <conditionalFormatting sqref="L314:L315">
    <cfRule type="beginsWith" dxfId="1890" priority="2635" stopIfTrue="1" operator="beginsWith" text="Functioning At Risk">
      <formula>LEFT(L314,LEN("Functioning At Risk"))="Functioning At Risk"</formula>
    </cfRule>
    <cfRule type="beginsWith" dxfId="1889" priority="2636" stopIfTrue="1" operator="beginsWith" text="Not Functioning">
      <formula>LEFT(L314,LEN("Not Functioning"))="Not Functioning"</formula>
    </cfRule>
    <cfRule type="containsText" dxfId="1888" priority="2637" operator="containsText" text="Functioning">
      <formula>NOT(ISERROR(SEARCH("Functioning",L314)))</formula>
    </cfRule>
  </conditionalFormatting>
  <conditionalFormatting sqref="A317:C317 G316 E317:K317 M327:M342">
    <cfRule type="beginsWith" dxfId="1887" priority="2632" stopIfTrue="1" operator="beginsWith" text="Functioning At Risk">
      <formula>LEFT(A316,LEN("Functioning At Risk"))="Functioning At Risk"</formula>
    </cfRule>
    <cfRule type="beginsWith" dxfId="1886" priority="2633" stopIfTrue="1" operator="beginsWith" text="Not Functioning">
      <formula>LEFT(A316,LEN("Not Functioning"))="Not Functioning"</formula>
    </cfRule>
    <cfRule type="containsText" dxfId="1885" priority="2634" operator="containsText" text="Functioning">
      <formula>NOT(ISERROR(SEARCH("Functioning",A316)))</formula>
    </cfRule>
  </conditionalFormatting>
  <conditionalFormatting sqref="A357:C357 G356 E357:K357">
    <cfRule type="beginsWith" dxfId="1884" priority="2629" stopIfTrue="1" operator="beginsWith" text="Functioning At Risk">
      <formula>LEFT(A356,LEN("Functioning At Risk"))="Functioning At Risk"</formula>
    </cfRule>
    <cfRule type="beginsWith" dxfId="1883" priority="2630" stopIfTrue="1" operator="beginsWith" text="Not Functioning">
      <formula>LEFT(A356,LEN("Not Functioning"))="Not Functioning"</formula>
    </cfRule>
    <cfRule type="containsText" dxfId="1882" priority="2631" operator="containsText" text="Functioning">
      <formula>NOT(ISERROR(SEARCH("Functioning",A356)))</formula>
    </cfRule>
  </conditionalFormatting>
  <conditionalFormatting sqref="L418:L424 L405:L412 M396:M399 L394:L395">
    <cfRule type="beginsWith" dxfId="1881" priority="2626" stopIfTrue="1" operator="beginsWith" text="Functioning At Risk">
      <formula>LEFT(L394,LEN("Functioning At Risk"))="Functioning At Risk"</formula>
    </cfRule>
    <cfRule type="beginsWith" dxfId="1880" priority="2627" stopIfTrue="1" operator="beginsWith" text="Not Functioning">
      <formula>LEFT(L394,LEN("Not Functioning"))="Not Functioning"</formula>
    </cfRule>
    <cfRule type="containsText" dxfId="1879" priority="2628" operator="containsText" text="Functioning">
      <formula>NOT(ISERROR(SEARCH("Functioning",L394)))</formula>
    </cfRule>
  </conditionalFormatting>
  <conditionalFormatting sqref="A397:C397 G396 E397:K397">
    <cfRule type="beginsWith" dxfId="1878" priority="2623" stopIfTrue="1" operator="beginsWith" text="Functioning At Risk">
      <formula>LEFT(A396,LEN("Functioning At Risk"))="Functioning At Risk"</formula>
    </cfRule>
    <cfRule type="beginsWith" dxfId="1877" priority="2624" stopIfTrue="1" operator="beginsWith" text="Not Functioning">
      <formula>LEFT(A396,LEN("Not Functioning"))="Not Functioning"</formula>
    </cfRule>
    <cfRule type="containsText" dxfId="1876" priority="2625" operator="containsText" text="Functioning">
      <formula>NOT(ISERROR(SEARCH("Functioning",A396)))</formula>
    </cfRule>
  </conditionalFormatting>
  <conditionalFormatting sqref="I33:I37 B31:B32 D21 B24 A5:B5 A33:B35 H7:I8 H5:I5 H3:K4 A7:B7 A36:A37 D13:D15 B28:B29 A8 D33:D36 D5:D8 D24:D28">
    <cfRule type="beginsWith" dxfId="1875" priority="2620" stopIfTrue="1" operator="beginsWith" text="Functioning At Risk">
      <formula>LEFT(A3,LEN("Functioning At Risk"))="Functioning At Risk"</formula>
    </cfRule>
    <cfRule type="beginsWith" dxfId="1874" priority="2621" stopIfTrue="1" operator="beginsWith" text="Not Functioning">
      <formula>LEFT(A3,LEN("Not Functioning"))="Not Functioning"</formula>
    </cfRule>
    <cfRule type="containsText" dxfId="1873" priority="2622" operator="containsText" text="Functioning">
      <formula>NOT(ISERROR(SEARCH("Functioning",A3)))</formula>
    </cfRule>
  </conditionalFormatting>
  <conditionalFormatting sqref="D16">
    <cfRule type="beginsWith" dxfId="1872" priority="2614" stopIfTrue="1" operator="beginsWith" text="Functioning At Risk">
      <formula>LEFT(D16,LEN("Functioning At Risk"))="Functioning At Risk"</formula>
    </cfRule>
    <cfRule type="beginsWith" dxfId="1871" priority="2615" stopIfTrue="1" operator="beginsWith" text="Not Functioning">
      <formula>LEFT(D16,LEN("Not Functioning"))="Not Functioning"</formula>
    </cfRule>
    <cfRule type="containsText" dxfId="1870" priority="2616" operator="containsText" text="Functioning">
      <formula>NOT(ISERROR(SEARCH("Functioning",D16)))</formula>
    </cfRule>
  </conditionalFormatting>
  <conditionalFormatting sqref="D22">
    <cfRule type="beginsWith" dxfId="1869" priority="2611" stopIfTrue="1" operator="beginsWith" text="Functioning At Risk">
      <formula>LEFT(D22,LEN("Functioning At Risk"))="Functioning At Risk"</formula>
    </cfRule>
    <cfRule type="beginsWith" dxfId="1868" priority="2612" stopIfTrue="1" operator="beginsWith" text="Not Functioning">
      <formula>LEFT(D22,LEN("Not Functioning"))="Not Functioning"</formula>
    </cfRule>
    <cfRule type="containsText" dxfId="1867" priority="2613" operator="containsText" text="Functioning">
      <formula>NOT(ISERROR(SEARCH("Functioning",D22)))</formula>
    </cfRule>
  </conditionalFormatting>
  <conditionalFormatting sqref="D23">
    <cfRule type="beginsWith" dxfId="1866" priority="2608" stopIfTrue="1" operator="beginsWith" text="Functioning At Risk">
      <formula>LEFT(D23,LEN("Functioning At Risk"))="Functioning At Risk"</formula>
    </cfRule>
    <cfRule type="beginsWith" dxfId="1865" priority="2609" stopIfTrue="1" operator="beginsWith" text="Not Functioning">
      <formula>LEFT(D23,LEN("Not Functioning"))="Not Functioning"</formula>
    </cfRule>
    <cfRule type="containsText" dxfId="1864" priority="2610" operator="containsText" text="Functioning">
      <formula>NOT(ISERROR(SEARCH("Functioning",D23)))</formula>
    </cfRule>
  </conditionalFormatting>
  <conditionalFormatting sqref="D17:D20">
    <cfRule type="beginsWith" dxfId="1863" priority="2605" stopIfTrue="1" operator="beginsWith" text="Functioning At Risk">
      <formula>LEFT(D17,LEN("Functioning At Risk"))="Functioning At Risk"</formula>
    </cfRule>
    <cfRule type="beginsWith" dxfId="1862" priority="2606" stopIfTrue="1" operator="beginsWith" text="Not Functioning">
      <formula>LEFT(D17,LEN("Not Functioning"))="Not Functioning"</formula>
    </cfRule>
    <cfRule type="containsText" dxfId="1861" priority="2607" operator="containsText" text="Functioning">
      <formula>NOT(ISERROR(SEARCH("Functioning",D17)))</formula>
    </cfRule>
  </conditionalFormatting>
  <conditionalFormatting sqref="A29">
    <cfRule type="beginsWith" dxfId="1860" priority="2602" stopIfTrue="1" operator="beginsWith" text="Functioning At Risk">
      <formula>LEFT(A29,LEN("Functioning At Risk"))="Functioning At Risk"</formula>
    </cfRule>
    <cfRule type="beginsWith" dxfId="1859" priority="2603" stopIfTrue="1" operator="beginsWith" text="Not Functioning">
      <formula>LEFT(A29,LEN("Not Functioning"))="Not Functioning"</formula>
    </cfRule>
    <cfRule type="containsText" dxfId="1858" priority="2604" operator="containsText" text="Functioning">
      <formula>NOT(ISERROR(SEARCH("Functioning",A29)))</formula>
    </cfRule>
  </conditionalFormatting>
  <conditionalFormatting sqref="H29">
    <cfRule type="beginsWith" dxfId="1857" priority="2599" stopIfTrue="1" operator="beginsWith" text="Functioning At Risk">
      <formula>LEFT(H29,LEN("Functioning At Risk"))="Functioning At Risk"</formula>
    </cfRule>
    <cfRule type="beginsWith" dxfId="1856" priority="2600" stopIfTrue="1" operator="beginsWith" text="Not Functioning">
      <formula>LEFT(H29,LEN("Not Functioning"))="Not Functioning"</formula>
    </cfRule>
    <cfRule type="containsText" dxfId="1855" priority="2601" operator="containsText" text="Functioning">
      <formula>NOT(ISERROR(SEARCH("Functioning",H29)))</formula>
    </cfRule>
  </conditionalFormatting>
  <conditionalFormatting sqref="I29">
    <cfRule type="beginsWith" dxfId="1854" priority="2596" stopIfTrue="1" operator="beginsWith" text="Functioning At Risk">
      <formula>LEFT(I29,LEN("Functioning At Risk"))="Functioning At Risk"</formula>
    </cfRule>
    <cfRule type="beginsWith" dxfId="1853" priority="2597" stopIfTrue="1" operator="beginsWith" text="Not Functioning">
      <formula>LEFT(I29,LEN("Not Functioning"))="Not Functioning"</formula>
    </cfRule>
    <cfRule type="containsText" dxfId="1852" priority="2598" operator="containsText" text="Functioning">
      <formula>NOT(ISERROR(SEARCH("Functioning",I29)))</formula>
    </cfRule>
  </conditionalFormatting>
  <conditionalFormatting sqref="D37">
    <cfRule type="beginsWith" dxfId="1851" priority="2593" stopIfTrue="1" operator="beginsWith" text="Functioning At Risk">
      <formula>LEFT(D37,LEN("Functioning At Risk"))="Functioning At Risk"</formula>
    </cfRule>
    <cfRule type="beginsWith" dxfId="1850" priority="2594" stopIfTrue="1" operator="beginsWith" text="Not Functioning">
      <formula>LEFT(D37,LEN("Not Functioning"))="Not Functioning"</formula>
    </cfRule>
    <cfRule type="containsText" dxfId="1849" priority="2595" operator="containsText" text="Functioning">
      <formula>NOT(ISERROR(SEARCH("Functioning",D37)))</formula>
    </cfRule>
  </conditionalFormatting>
  <conditionalFormatting sqref="D38">
    <cfRule type="beginsWith" dxfId="1848" priority="2590" stopIfTrue="1" operator="beginsWith" text="Functioning At Risk">
      <formula>LEFT(D38,LEN("Functioning At Risk"))="Functioning At Risk"</formula>
    </cfRule>
    <cfRule type="beginsWith" dxfId="1847" priority="2591" stopIfTrue="1" operator="beginsWith" text="Not Functioning">
      <formula>LEFT(D38,LEN("Not Functioning"))="Not Functioning"</formula>
    </cfRule>
    <cfRule type="containsText" dxfId="1846" priority="2592" operator="containsText" text="Functioning">
      <formula>NOT(ISERROR(SEARCH("Functioning",D38)))</formula>
    </cfRule>
  </conditionalFormatting>
  <conditionalFormatting sqref="B37">
    <cfRule type="beginsWith" dxfId="1845" priority="2587" stopIfTrue="1" operator="beginsWith" text="Functioning At Risk">
      <formula>LEFT(B37,LEN("Functioning At Risk"))="Functioning At Risk"</formula>
    </cfRule>
    <cfRule type="beginsWith" dxfId="1844" priority="2588" stopIfTrue="1" operator="beginsWith" text="Not Functioning">
      <formula>LEFT(B37,LEN("Not Functioning"))="Not Functioning"</formula>
    </cfRule>
    <cfRule type="containsText" dxfId="1843" priority="2589" operator="containsText" text="Functioning">
      <formula>NOT(ISERROR(SEARCH("Functioning",B37)))</formula>
    </cfRule>
  </conditionalFormatting>
  <conditionalFormatting sqref="B13">
    <cfRule type="beginsWith" dxfId="1842" priority="2581" stopIfTrue="1" operator="beginsWith" text="Functioning At Risk">
      <formula>LEFT(B13,LEN("Functioning At Risk"))="Functioning At Risk"</formula>
    </cfRule>
    <cfRule type="beginsWith" dxfId="1841" priority="2582" stopIfTrue="1" operator="beginsWith" text="Not Functioning">
      <formula>LEFT(B13,LEN("Not Functioning"))="Not Functioning"</formula>
    </cfRule>
    <cfRule type="containsText" dxfId="1840" priority="2583" operator="containsText" text="Functioning">
      <formula>NOT(ISERROR(SEARCH("Functioning",B13)))</formula>
    </cfRule>
  </conditionalFormatting>
  <conditionalFormatting sqref="I72:I76 B70:B71 D60 B63 A44:B44 H46:I47 H44:I44 H42:K43 A46:B46 A72:A76 D52:D54 B67:B68 A47 D72:D75 D44:D47 D63:D67">
    <cfRule type="beginsWith" dxfId="1839" priority="2575" stopIfTrue="1" operator="beginsWith" text="Functioning At Risk">
      <formula>LEFT(A42,LEN("Functioning At Risk"))="Functioning At Risk"</formula>
    </cfRule>
    <cfRule type="beginsWith" dxfId="1838" priority="2576" stopIfTrue="1" operator="beginsWith" text="Not Functioning">
      <formula>LEFT(A42,LEN("Not Functioning"))="Not Functioning"</formula>
    </cfRule>
    <cfRule type="containsText" dxfId="1837" priority="2577" operator="containsText" text="Functioning">
      <formula>NOT(ISERROR(SEARCH("Functioning",A42)))</formula>
    </cfRule>
  </conditionalFormatting>
  <conditionalFormatting sqref="D55">
    <cfRule type="beginsWith" dxfId="1836" priority="2569" stopIfTrue="1" operator="beginsWith" text="Functioning At Risk">
      <formula>LEFT(D55,LEN("Functioning At Risk"))="Functioning At Risk"</formula>
    </cfRule>
    <cfRule type="beginsWith" dxfId="1835" priority="2570" stopIfTrue="1" operator="beginsWith" text="Not Functioning">
      <formula>LEFT(D55,LEN("Not Functioning"))="Not Functioning"</formula>
    </cfRule>
    <cfRule type="containsText" dxfId="1834" priority="2571" operator="containsText" text="Functioning">
      <formula>NOT(ISERROR(SEARCH("Functioning",D55)))</formula>
    </cfRule>
  </conditionalFormatting>
  <conditionalFormatting sqref="D61">
    <cfRule type="beginsWith" dxfId="1833" priority="2566" stopIfTrue="1" operator="beginsWith" text="Functioning At Risk">
      <formula>LEFT(D61,LEN("Functioning At Risk"))="Functioning At Risk"</formula>
    </cfRule>
    <cfRule type="beginsWith" dxfId="1832" priority="2567" stopIfTrue="1" operator="beginsWith" text="Not Functioning">
      <formula>LEFT(D61,LEN("Not Functioning"))="Not Functioning"</formula>
    </cfRule>
    <cfRule type="containsText" dxfId="1831" priority="2568" operator="containsText" text="Functioning">
      <formula>NOT(ISERROR(SEARCH("Functioning",D61)))</formula>
    </cfRule>
  </conditionalFormatting>
  <conditionalFormatting sqref="D62">
    <cfRule type="beginsWith" dxfId="1830" priority="2563" stopIfTrue="1" operator="beginsWith" text="Functioning At Risk">
      <formula>LEFT(D62,LEN("Functioning At Risk"))="Functioning At Risk"</formula>
    </cfRule>
    <cfRule type="beginsWith" dxfId="1829" priority="2564" stopIfTrue="1" operator="beginsWith" text="Not Functioning">
      <formula>LEFT(D62,LEN("Not Functioning"))="Not Functioning"</formula>
    </cfRule>
    <cfRule type="containsText" dxfId="1828" priority="2565" operator="containsText" text="Functioning">
      <formula>NOT(ISERROR(SEARCH("Functioning",D62)))</formula>
    </cfRule>
  </conditionalFormatting>
  <conditionalFormatting sqref="D56:D59">
    <cfRule type="beginsWith" dxfId="1827" priority="2560" stopIfTrue="1" operator="beginsWith" text="Functioning At Risk">
      <formula>LEFT(D56,LEN("Functioning At Risk"))="Functioning At Risk"</formula>
    </cfRule>
    <cfRule type="beginsWith" dxfId="1826" priority="2561" stopIfTrue="1" operator="beginsWith" text="Not Functioning">
      <formula>LEFT(D56,LEN("Not Functioning"))="Not Functioning"</formula>
    </cfRule>
    <cfRule type="containsText" dxfId="1825" priority="2562" operator="containsText" text="Functioning">
      <formula>NOT(ISERROR(SEARCH("Functioning",D56)))</formula>
    </cfRule>
  </conditionalFormatting>
  <conditionalFormatting sqref="A185">
    <cfRule type="beginsWith" dxfId="1824" priority="2422" stopIfTrue="1" operator="beginsWith" text="Functioning At Risk">
      <formula>LEFT(A185,LEN("Functioning At Risk"))="Functioning At Risk"</formula>
    </cfRule>
    <cfRule type="beginsWith" dxfId="1823" priority="2423" stopIfTrue="1" operator="beginsWith" text="Not Functioning">
      <formula>LEFT(A185,LEN("Not Functioning"))="Not Functioning"</formula>
    </cfRule>
    <cfRule type="containsText" dxfId="1822" priority="2424" operator="containsText" text="Functioning">
      <formula>NOT(ISERROR(SEARCH("Functioning",A185)))</formula>
    </cfRule>
  </conditionalFormatting>
  <conditionalFormatting sqref="A68">
    <cfRule type="beginsWith" dxfId="1821" priority="2557" stopIfTrue="1" operator="beginsWith" text="Functioning At Risk">
      <formula>LEFT(A68,LEN("Functioning At Risk"))="Functioning At Risk"</formula>
    </cfRule>
    <cfRule type="beginsWith" dxfId="1820" priority="2558" stopIfTrue="1" operator="beginsWith" text="Not Functioning">
      <formula>LEFT(A68,LEN("Not Functioning"))="Not Functioning"</formula>
    </cfRule>
    <cfRule type="containsText" dxfId="1819" priority="2559" operator="containsText" text="Functioning">
      <formula>NOT(ISERROR(SEARCH("Functioning",A68)))</formula>
    </cfRule>
  </conditionalFormatting>
  <conditionalFormatting sqref="H68">
    <cfRule type="beginsWith" dxfId="1818" priority="2554" stopIfTrue="1" operator="beginsWith" text="Functioning At Risk">
      <formula>LEFT(H68,LEN("Functioning At Risk"))="Functioning At Risk"</formula>
    </cfRule>
    <cfRule type="beginsWith" dxfId="1817" priority="2555" stopIfTrue="1" operator="beginsWith" text="Not Functioning">
      <formula>LEFT(H68,LEN("Not Functioning"))="Not Functioning"</formula>
    </cfRule>
    <cfRule type="containsText" dxfId="1816" priority="2556" operator="containsText" text="Functioning">
      <formula>NOT(ISERROR(SEARCH("Functioning",H68)))</formula>
    </cfRule>
  </conditionalFormatting>
  <conditionalFormatting sqref="I68">
    <cfRule type="beginsWith" dxfId="1815" priority="2551" stopIfTrue="1" operator="beginsWith" text="Functioning At Risk">
      <formula>LEFT(I68,LEN("Functioning At Risk"))="Functioning At Risk"</formula>
    </cfRule>
    <cfRule type="beginsWith" dxfId="1814" priority="2552" stopIfTrue="1" operator="beginsWith" text="Not Functioning">
      <formula>LEFT(I68,LEN("Not Functioning"))="Not Functioning"</formula>
    </cfRule>
    <cfRule type="containsText" dxfId="1813" priority="2553" operator="containsText" text="Functioning">
      <formula>NOT(ISERROR(SEARCH("Functioning",I68)))</formula>
    </cfRule>
  </conditionalFormatting>
  <conditionalFormatting sqref="D76">
    <cfRule type="beginsWith" dxfId="1812" priority="2548" stopIfTrue="1" operator="beginsWith" text="Functioning At Risk">
      <formula>LEFT(D76,LEN("Functioning At Risk"))="Functioning At Risk"</formula>
    </cfRule>
    <cfRule type="beginsWith" dxfId="1811" priority="2549" stopIfTrue="1" operator="beginsWith" text="Not Functioning">
      <formula>LEFT(D76,LEN("Not Functioning"))="Not Functioning"</formula>
    </cfRule>
    <cfRule type="containsText" dxfId="1810" priority="2550" operator="containsText" text="Functioning">
      <formula>NOT(ISERROR(SEARCH("Functioning",D76)))</formula>
    </cfRule>
  </conditionalFormatting>
  <conditionalFormatting sqref="D77">
    <cfRule type="beginsWith" dxfId="1809" priority="2545" stopIfTrue="1" operator="beginsWith" text="Functioning At Risk">
      <formula>LEFT(D77,LEN("Functioning At Risk"))="Functioning At Risk"</formula>
    </cfRule>
    <cfRule type="beginsWith" dxfId="1808" priority="2546" stopIfTrue="1" operator="beginsWith" text="Not Functioning">
      <formula>LEFT(D77,LEN("Not Functioning"))="Not Functioning"</formula>
    </cfRule>
    <cfRule type="containsText" dxfId="1807" priority="2547" operator="containsText" text="Functioning">
      <formula>NOT(ISERROR(SEARCH("Functioning",D77)))</formula>
    </cfRule>
  </conditionalFormatting>
  <conditionalFormatting sqref="B76">
    <cfRule type="beginsWith" dxfId="1806" priority="2542" stopIfTrue="1" operator="beginsWith" text="Functioning At Risk">
      <formula>LEFT(B76,LEN("Functioning At Risk"))="Functioning At Risk"</formula>
    </cfRule>
    <cfRule type="beginsWith" dxfId="1805" priority="2543" stopIfTrue="1" operator="beginsWith" text="Not Functioning">
      <formula>LEFT(B76,LEN("Not Functioning"))="Not Functioning"</formula>
    </cfRule>
    <cfRule type="containsText" dxfId="1804" priority="2544" operator="containsText" text="Functioning">
      <formula>NOT(ISERROR(SEARCH("Functioning",B76)))</formula>
    </cfRule>
  </conditionalFormatting>
  <conditionalFormatting sqref="B169">
    <cfRule type="beginsWith" dxfId="1803" priority="2401" stopIfTrue="1" operator="beginsWith" text="Functioning At Risk">
      <formula>LEFT(B169,LEN("Functioning At Risk"))="Functioning At Risk"</formula>
    </cfRule>
    <cfRule type="beginsWith" dxfId="1802" priority="2402" stopIfTrue="1" operator="beginsWith" text="Not Functioning">
      <formula>LEFT(B169,LEN("Not Functioning"))="Not Functioning"</formula>
    </cfRule>
    <cfRule type="containsText" dxfId="1801" priority="2403" operator="containsText" text="Functioning">
      <formula>NOT(ISERROR(SEARCH("Functioning",B169)))</formula>
    </cfRule>
  </conditionalFormatting>
  <conditionalFormatting sqref="B52">
    <cfRule type="beginsWith" dxfId="1800" priority="2536" stopIfTrue="1" operator="beginsWith" text="Functioning At Risk">
      <formula>LEFT(B52,LEN("Functioning At Risk"))="Functioning At Risk"</formula>
    </cfRule>
    <cfRule type="beginsWith" dxfId="1799" priority="2537" stopIfTrue="1" operator="beginsWith" text="Not Functioning">
      <formula>LEFT(B52,LEN("Not Functioning"))="Not Functioning"</formula>
    </cfRule>
    <cfRule type="containsText" dxfId="1798" priority="2538" operator="containsText" text="Functioning">
      <formula>NOT(ISERROR(SEARCH("Functioning",B52)))</formula>
    </cfRule>
  </conditionalFormatting>
  <conditionalFormatting sqref="I111:I115 B109:B110 D99 B102 A83:B83 H85:I86 H83:I83 H81:K82 A85:B85 A111:A115 D91:D93 B106:B107 A86 D111:D114 D83:D86 D102:D106">
    <cfRule type="beginsWith" dxfId="1797" priority="2530" stopIfTrue="1" operator="beginsWith" text="Functioning At Risk">
      <formula>LEFT(A81,LEN("Functioning At Risk"))="Functioning At Risk"</formula>
    </cfRule>
    <cfRule type="beginsWith" dxfId="1796" priority="2531" stopIfTrue="1" operator="beginsWith" text="Not Functioning">
      <formula>LEFT(A81,LEN("Not Functioning"))="Not Functioning"</formula>
    </cfRule>
    <cfRule type="containsText" dxfId="1795" priority="2532" operator="containsText" text="Functioning">
      <formula>NOT(ISERROR(SEARCH("Functioning",A81)))</formula>
    </cfRule>
  </conditionalFormatting>
  <conditionalFormatting sqref="B208">
    <cfRule type="beginsWith" dxfId="1794" priority="2356" stopIfTrue="1" operator="beginsWith" text="Functioning At Risk">
      <formula>LEFT(B208,LEN("Functioning At Risk"))="Functioning At Risk"</formula>
    </cfRule>
    <cfRule type="beginsWith" dxfId="1793" priority="2357" stopIfTrue="1" operator="beginsWith" text="Not Functioning">
      <formula>LEFT(B208,LEN("Not Functioning"))="Not Functioning"</formula>
    </cfRule>
    <cfRule type="containsText" dxfId="1792" priority="2358" operator="containsText" text="Functioning">
      <formula>NOT(ISERROR(SEARCH("Functioning",B208)))</formula>
    </cfRule>
  </conditionalFormatting>
  <conditionalFormatting sqref="D94">
    <cfRule type="beginsWith" dxfId="1791" priority="2524" stopIfTrue="1" operator="beginsWith" text="Functioning At Risk">
      <formula>LEFT(D94,LEN("Functioning At Risk"))="Functioning At Risk"</formula>
    </cfRule>
    <cfRule type="beginsWith" dxfId="1790" priority="2525" stopIfTrue="1" operator="beginsWith" text="Not Functioning">
      <formula>LEFT(D94,LEN("Not Functioning"))="Not Functioning"</formula>
    </cfRule>
    <cfRule type="containsText" dxfId="1789" priority="2526" operator="containsText" text="Functioning">
      <formula>NOT(ISERROR(SEARCH("Functioning",D94)))</formula>
    </cfRule>
  </conditionalFormatting>
  <conditionalFormatting sqref="D100">
    <cfRule type="beginsWith" dxfId="1788" priority="2521" stopIfTrue="1" operator="beginsWith" text="Functioning At Risk">
      <formula>LEFT(D100,LEN("Functioning At Risk"))="Functioning At Risk"</formula>
    </cfRule>
    <cfRule type="beginsWith" dxfId="1787" priority="2522" stopIfTrue="1" operator="beginsWith" text="Not Functioning">
      <formula>LEFT(D100,LEN("Not Functioning"))="Not Functioning"</formula>
    </cfRule>
    <cfRule type="containsText" dxfId="1786" priority="2523" operator="containsText" text="Functioning">
      <formula>NOT(ISERROR(SEARCH("Functioning",D100)))</formula>
    </cfRule>
  </conditionalFormatting>
  <conditionalFormatting sqref="D101">
    <cfRule type="beginsWith" dxfId="1785" priority="2518" stopIfTrue="1" operator="beginsWith" text="Functioning At Risk">
      <formula>LEFT(D101,LEN("Functioning At Risk"))="Functioning At Risk"</formula>
    </cfRule>
    <cfRule type="beginsWith" dxfId="1784" priority="2519" stopIfTrue="1" operator="beginsWith" text="Not Functioning">
      <formula>LEFT(D101,LEN("Not Functioning"))="Not Functioning"</formula>
    </cfRule>
    <cfRule type="containsText" dxfId="1783" priority="2520" operator="containsText" text="Functioning">
      <formula>NOT(ISERROR(SEARCH("Functioning",D101)))</formula>
    </cfRule>
  </conditionalFormatting>
  <conditionalFormatting sqref="D95:D98">
    <cfRule type="beginsWith" dxfId="1782" priority="2515" stopIfTrue="1" operator="beginsWith" text="Functioning At Risk">
      <formula>LEFT(D95,LEN("Functioning At Risk"))="Functioning At Risk"</formula>
    </cfRule>
    <cfRule type="beginsWith" dxfId="1781" priority="2516" stopIfTrue="1" operator="beginsWith" text="Not Functioning">
      <formula>LEFT(D95,LEN("Not Functioning"))="Not Functioning"</formula>
    </cfRule>
    <cfRule type="containsText" dxfId="1780" priority="2517" operator="containsText" text="Functioning">
      <formula>NOT(ISERROR(SEARCH("Functioning",D95)))</formula>
    </cfRule>
  </conditionalFormatting>
  <conditionalFormatting sqref="A107">
    <cfRule type="beginsWith" dxfId="1779" priority="2512" stopIfTrue="1" operator="beginsWith" text="Functioning At Risk">
      <formula>LEFT(A107,LEN("Functioning At Risk"))="Functioning At Risk"</formula>
    </cfRule>
    <cfRule type="beginsWith" dxfId="1778" priority="2513" stopIfTrue="1" operator="beginsWith" text="Not Functioning">
      <formula>LEFT(A107,LEN("Not Functioning"))="Not Functioning"</formula>
    </cfRule>
    <cfRule type="containsText" dxfId="1777" priority="2514" operator="containsText" text="Functioning">
      <formula>NOT(ISERROR(SEARCH("Functioning",A107)))</formula>
    </cfRule>
  </conditionalFormatting>
  <conditionalFormatting sqref="H107">
    <cfRule type="beginsWith" dxfId="1776" priority="2509" stopIfTrue="1" operator="beginsWith" text="Functioning At Risk">
      <formula>LEFT(H107,LEN("Functioning At Risk"))="Functioning At Risk"</formula>
    </cfRule>
    <cfRule type="beginsWith" dxfId="1775" priority="2510" stopIfTrue="1" operator="beginsWith" text="Not Functioning">
      <formula>LEFT(H107,LEN("Not Functioning"))="Not Functioning"</formula>
    </cfRule>
    <cfRule type="containsText" dxfId="1774" priority="2511" operator="containsText" text="Functioning">
      <formula>NOT(ISERROR(SEARCH("Functioning",H107)))</formula>
    </cfRule>
  </conditionalFormatting>
  <conditionalFormatting sqref="I107">
    <cfRule type="beginsWith" dxfId="1773" priority="2506" stopIfTrue="1" operator="beginsWith" text="Functioning At Risk">
      <formula>LEFT(I107,LEN("Functioning At Risk"))="Functioning At Risk"</formula>
    </cfRule>
    <cfRule type="beginsWith" dxfId="1772" priority="2507" stopIfTrue="1" operator="beginsWith" text="Not Functioning">
      <formula>LEFT(I107,LEN("Not Functioning"))="Not Functioning"</formula>
    </cfRule>
    <cfRule type="containsText" dxfId="1771" priority="2508" operator="containsText" text="Functioning">
      <formula>NOT(ISERROR(SEARCH("Functioning",I107)))</formula>
    </cfRule>
  </conditionalFormatting>
  <conditionalFormatting sqref="D115">
    <cfRule type="beginsWith" dxfId="1770" priority="2503" stopIfTrue="1" operator="beginsWith" text="Functioning At Risk">
      <formula>LEFT(D115,LEN("Functioning At Risk"))="Functioning At Risk"</formula>
    </cfRule>
    <cfRule type="beginsWith" dxfId="1769" priority="2504" stopIfTrue="1" operator="beginsWith" text="Not Functioning">
      <formula>LEFT(D115,LEN("Not Functioning"))="Not Functioning"</formula>
    </cfRule>
    <cfRule type="containsText" dxfId="1768" priority="2505" operator="containsText" text="Functioning">
      <formula>NOT(ISERROR(SEARCH("Functioning",D115)))</formula>
    </cfRule>
  </conditionalFormatting>
  <conditionalFormatting sqref="D116">
    <cfRule type="beginsWith" dxfId="1767" priority="2500" stopIfTrue="1" operator="beginsWith" text="Functioning At Risk">
      <formula>LEFT(D116,LEN("Functioning At Risk"))="Functioning At Risk"</formula>
    </cfRule>
    <cfRule type="beginsWith" dxfId="1766" priority="2501" stopIfTrue="1" operator="beginsWith" text="Not Functioning">
      <formula>LEFT(D116,LEN("Not Functioning"))="Not Functioning"</formula>
    </cfRule>
    <cfRule type="containsText" dxfId="1765" priority="2502" operator="containsText" text="Functioning">
      <formula>NOT(ISERROR(SEARCH("Functioning",D116)))</formula>
    </cfRule>
  </conditionalFormatting>
  <conditionalFormatting sqref="B115">
    <cfRule type="beginsWith" dxfId="1764" priority="2497" stopIfTrue="1" operator="beginsWith" text="Functioning At Risk">
      <formula>LEFT(B115,LEN("Functioning At Risk"))="Functioning At Risk"</formula>
    </cfRule>
    <cfRule type="beginsWith" dxfId="1763" priority="2498" stopIfTrue="1" operator="beginsWith" text="Not Functioning">
      <formula>LEFT(B115,LEN("Not Functioning"))="Not Functioning"</formula>
    </cfRule>
    <cfRule type="containsText" dxfId="1762" priority="2499" operator="containsText" text="Functioning">
      <formula>NOT(ISERROR(SEARCH("Functioning",B115)))</formula>
    </cfRule>
  </conditionalFormatting>
  <conditionalFormatting sqref="B91">
    <cfRule type="beginsWith" dxfId="1761" priority="2491" stopIfTrue="1" operator="beginsWith" text="Functioning At Risk">
      <formula>LEFT(B91,LEN("Functioning At Risk"))="Functioning At Risk"</formula>
    </cfRule>
    <cfRule type="beginsWith" dxfId="1760" priority="2492" stopIfTrue="1" operator="beginsWith" text="Not Functioning">
      <formula>LEFT(B91,LEN("Not Functioning"))="Not Functioning"</formula>
    </cfRule>
    <cfRule type="containsText" dxfId="1759" priority="2493" operator="containsText" text="Functioning">
      <formula>NOT(ISERROR(SEARCH("Functioning",B91)))</formula>
    </cfRule>
  </conditionalFormatting>
  <conditionalFormatting sqref="I150:I154 B148:B149 D138 B141 A122:B122 H124:I125 H122:I122 H120:K121 A124:B124 A150:A154 D130:D132 B145:B146 A125 D150:D153 D122:D125 D141:D145">
    <cfRule type="beginsWith" dxfId="1758" priority="2485" stopIfTrue="1" operator="beginsWith" text="Functioning At Risk">
      <formula>LEFT(A120,LEN("Functioning At Risk"))="Functioning At Risk"</formula>
    </cfRule>
    <cfRule type="beginsWith" dxfId="1757" priority="2486" stopIfTrue="1" operator="beginsWith" text="Not Functioning">
      <formula>LEFT(A120,LEN("Not Functioning"))="Not Functioning"</formula>
    </cfRule>
    <cfRule type="containsText" dxfId="1756" priority="2487" operator="containsText" text="Functioning">
      <formula>NOT(ISERROR(SEARCH("Functioning",A120)))</formula>
    </cfRule>
  </conditionalFormatting>
  <conditionalFormatting sqref="D133">
    <cfRule type="beginsWith" dxfId="1755" priority="2479" stopIfTrue="1" operator="beginsWith" text="Functioning At Risk">
      <formula>LEFT(D133,LEN("Functioning At Risk"))="Functioning At Risk"</formula>
    </cfRule>
    <cfRule type="beginsWith" dxfId="1754" priority="2480" stopIfTrue="1" operator="beginsWith" text="Not Functioning">
      <formula>LEFT(D133,LEN("Not Functioning"))="Not Functioning"</formula>
    </cfRule>
    <cfRule type="containsText" dxfId="1753" priority="2481" operator="containsText" text="Functioning">
      <formula>NOT(ISERROR(SEARCH("Functioning",D133)))</formula>
    </cfRule>
  </conditionalFormatting>
  <conditionalFormatting sqref="D139">
    <cfRule type="beginsWith" dxfId="1752" priority="2476" stopIfTrue="1" operator="beginsWith" text="Functioning At Risk">
      <formula>LEFT(D139,LEN("Functioning At Risk"))="Functioning At Risk"</formula>
    </cfRule>
    <cfRule type="beginsWith" dxfId="1751" priority="2477" stopIfTrue="1" operator="beginsWith" text="Not Functioning">
      <formula>LEFT(D139,LEN("Not Functioning"))="Not Functioning"</formula>
    </cfRule>
    <cfRule type="containsText" dxfId="1750" priority="2478" operator="containsText" text="Functioning">
      <formula>NOT(ISERROR(SEARCH("Functioning",D139)))</formula>
    </cfRule>
  </conditionalFormatting>
  <conditionalFormatting sqref="D140">
    <cfRule type="beginsWith" dxfId="1749" priority="2473" stopIfTrue="1" operator="beginsWith" text="Functioning At Risk">
      <formula>LEFT(D140,LEN("Functioning At Risk"))="Functioning At Risk"</formula>
    </cfRule>
    <cfRule type="beginsWith" dxfId="1748" priority="2474" stopIfTrue="1" operator="beginsWith" text="Not Functioning">
      <formula>LEFT(D140,LEN("Not Functioning"))="Not Functioning"</formula>
    </cfRule>
    <cfRule type="containsText" dxfId="1747" priority="2475" operator="containsText" text="Functioning">
      <formula>NOT(ISERROR(SEARCH("Functioning",D140)))</formula>
    </cfRule>
  </conditionalFormatting>
  <conditionalFormatting sqref="D134:D137">
    <cfRule type="beginsWith" dxfId="1746" priority="2470" stopIfTrue="1" operator="beginsWith" text="Functioning At Risk">
      <formula>LEFT(D134,LEN("Functioning At Risk"))="Functioning At Risk"</formula>
    </cfRule>
    <cfRule type="beginsWith" dxfId="1745" priority="2471" stopIfTrue="1" operator="beginsWith" text="Not Functioning">
      <formula>LEFT(D134,LEN("Not Functioning"))="Not Functioning"</formula>
    </cfRule>
    <cfRule type="containsText" dxfId="1744" priority="2472" operator="containsText" text="Functioning">
      <formula>NOT(ISERROR(SEARCH("Functioning",D134)))</formula>
    </cfRule>
  </conditionalFormatting>
  <conditionalFormatting sqref="A146">
    <cfRule type="beginsWith" dxfId="1743" priority="2467" stopIfTrue="1" operator="beginsWith" text="Functioning At Risk">
      <formula>LEFT(A146,LEN("Functioning At Risk"))="Functioning At Risk"</formula>
    </cfRule>
    <cfRule type="beginsWith" dxfId="1742" priority="2468" stopIfTrue="1" operator="beginsWith" text="Not Functioning">
      <formula>LEFT(A146,LEN("Not Functioning"))="Not Functioning"</formula>
    </cfRule>
    <cfRule type="containsText" dxfId="1741" priority="2469" operator="containsText" text="Functioning">
      <formula>NOT(ISERROR(SEARCH("Functioning",A146)))</formula>
    </cfRule>
  </conditionalFormatting>
  <conditionalFormatting sqref="H146">
    <cfRule type="beginsWith" dxfId="1740" priority="2464" stopIfTrue="1" operator="beginsWith" text="Functioning At Risk">
      <formula>LEFT(H146,LEN("Functioning At Risk"))="Functioning At Risk"</formula>
    </cfRule>
    <cfRule type="beginsWith" dxfId="1739" priority="2465" stopIfTrue="1" operator="beginsWith" text="Not Functioning">
      <formula>LEFT(H146,LEN("Not Functioning"))="Not Functioning"</formula>
    </cfRule>
    <cfRule type="containsText" dxfId="1738" priority="2466" operator="containsText" text="Functioning">
      <formula>NOT(ISERROR(SEARCH("Functioning",H146)))</formula>
    </cfRule>
  </conditionalFormatting>
  <conditionalFormatting sqref="I146">
    <cfRule type="beginsWith" dxfId="1737" priority="2461" stopIfTrue="1" operator="beginsWith" text="Functioning At Risk">
      <formula>LEFT(I146,LEN("Functioning At Risk"))="Functioning At Risk"</formula>
    </cfRule>
    <cfRule type="beginsWith" dxfId="1736" priority="2462" stopIfTrue="1" operator="beginsWith" text="Not Functioning">
      <formula>LEFT(I146,LEN("Not Functioning"))="Not Functioning"</formula>
    </cfRule>
    <cfRule type="containsText" dxfId="1735" priority="2463" operator="containsText" text="Functioning">
      <formula>NOT(ISERROR(SEARCH("Functioning",I146)))</formula>
    </cfRule>
  </conditionalFormatting>
  <conditionalFormatting sqref="D154">
    <cfRule type="beginsWith" dxfId="1734" priority="2458" stopIfTrue="1" operator="beginsWith" text="Functioning At Risk">
      <formula>LEFT(D154,LEN("Functioning At Risk"))="Functioning At Risk"</formula>
    </cfRule>
    <cfRule type="beginsWith" dxfId="1733" priority="2459" stopIfTrue="1" operator="beginsWith" text="Not Functioning">
      <formula>LEFT(D154,LEN("Not Functioning"))="Not Functioning"</formula>
    </cfRule>
    <cfRule type="containsText" dxfId="1732" priority="2460" operator="containsText" text="Functioning">
      <formula>NOT(ISERROR(SEARCH("Functioning",D154)))</formula>
    </cfRule>
  </conditionalFormatting>
  <conditionalFormatting sqref="D155">
    <cfRule type="beginsWith" dxfId="1731" priority="2455" stopIfTrue="1" operator="beginsWith" text="Functioning At Risk">
      <formula>LEFT(D155,LEN("Functioning At Risk"))="Functioning At Risk"</formula>
    </cfRule>
    <cfRule type="beginsWith" dxfId="1730" priority="2456" stopIfTrue="1" operator="beginsWith" text="Not Functioning">
      <formula>LEFT(D155,LEN("Not Functioning"))="Not Functioning"</formula>
    </cfRule>
    <cfRule type="containsText" dxfId="1729" priority="2457" operator="containsText" text="Functioning">
      <formula>NOT(ISERROR(SEARCH("Functioning",D155)))</formula>
    </cfRule>
  </conditionalFormatting>
  <conditionalFormatting sqref="B154">
    <cfRule type="beginsWith" dxfId="1728" priority="2452" stopIfTrue="1" operator="beginsWith" text="Functioning At Risk">
      <formula>LEFT(B154,LEN("Functioning At Risk"))="Functioning At Risk"</formula>
    </cfRule>
    <cfRule type="beginsWith" dxfId="1727" priority="2453" stopIfTrue="1" operator="beginsWith" text="Not Functioning">
      <formula>LEFT(B154,LEN("Not Functioning"))="Not Functioning"</formula>
    </cfRule>
    <cfRule type="containsText" dxfId="1726" priority="2454" operator="containsText" text="Functioning">
      <formula>NOT(ISERROR(SEARCH("Functioning",B154)))</formula>
    </cfRule>
  </conditionalFormatting>
  <conditionalFormatting sqref="B130">
    <cfRule type="beginsWith" dxfId="1725" priority="2446" stopIfTrue="1" operator="beginsWith" text="Functioning At Risk">
      <formula>LEFT(B130,LEN("Functioning At Risk"))="Functioning At Risk"</formula>
    </cfRule>
    <cfRule type="beginsWith" dxfId="1724" priority="2447" stopIfTrue="1" operator="beginsWith" text="Not Functioning">
      <formula>LEFT(B130,LEN("Not Functioning"))="Not Functioning"</formula>
    </cfRule>
    <cfRule type="containsText" dxfId="1723" priority="2448" operator="containsText" text="Functioning">
      <formula>NOT(ISERROR(SEARCH("Functioning",B130)))</formula>
    </cfRule>
  </conditionalFormatting>
  <conditionalFormatting sqref="I189:I193 B187:B188 D177 B180 A161:B161 H163:I164 H161:I161 H159:K160 A163:B163 A189:A193 D169:D171 B184:B185 A164 D189:D192 D161:D164 D180:D184">
    <cfRule type="beginsWith" dxfId="1722" priority="2440" stopIfTrue="1" operator="beginsWith" text="Functioning At Risk">
      <formula>LEFT(A159,LEN("Functioning At Risk"))="Functioning At Risk"</formula>
    </cfRule>
    <cfRule type="beginsWith" dxfId="1721" priority="2441" stopIfTrue="1" operator="beginsWith" text="Not Functioning">
      <formula>LEFT(A159,LEN("Not Functioning"))="Not Functioning"</formula>
    </cfRule>
    <cfRule type="containsText" dxfId="1720" priority="2442" operator="containsText" text="Functioning">
      <formula>NOT(ISERROR(SEARCH("Functioning",A159)))</formula>
    </cfRule>
  </conditionalFormatting>
  <conditionalFormatting sqref="D172">
    <cfRule type="beginsWith" dxfId="1719" priority="2434" stopIfTrue="1" operator="beginsWith" text="Functioning At Risk">
      <formula>LEFT(D172,LEN("Functioning At Risk"))="Functioning At Risk"</formula>
    </cfRule>
    <cfRule type="beginsWith" dxfId="1718" priority="2435" stopIfTrue="1" operator="beginsWith" text="Not Functioning">
      <formula>LEFT(D172,LEN("Not Functioning"))="Not Functioning"</formula>
    </cfRule>
    <cfRule type="containsText" dxfId="1717" priority="2436" operator="containsText" text="Functioning">
      <formula>NOT(ISERROR(SEARCH("Functioning",D172)))</formula>
    </cfRule>
  </conditionalFormatting>
  <conditionalFormatting sqref="D178">
    <cfRule type="beginsWith" dxfId="1716" priority="2431" stopIfTrue="1" operator="beginsWith" text="Functioning At Risk">
      <formula>LEFT(D178,LEN("Functioning At Risk"))="Functioning At Risk"</formula>
    </cfRule>
    <cfRule type="beginsWith" dxfId="1715" priority="2432" stopIfTrue="1" operator="beginsWith" text="Not Functioning">
      <formula>LEFT(D178,LEN("Not Functioning"))="Not Functioning"</formula>
    </cfRule>
    <cfRule type="containsText" dxfId="1714" priority="2433" operator="containsText" text="Functioning">
      <formula>NOT(ISERROR(SEARCH("Functioning",D178)))</formula>
    </cfRule>
  </conditionalFormatting>
  <conditionalFormatting sqref="D179">
    <cfRule type="beginsWith" dxfId="1713" priority="2428" stopIfTrue="1" operator="beginsWith" text="Functioning At Risk">
      <formula>LEFT(D179,LEN("Functioning At Risk"))="Functioning At Risk"</formula>
    </cfRule>
    <cfRule type="beginsWith" dxfId="1712" priority="2429" stopIfTrue="1" operator="beginsWith" text="Not Functioning">
      <formula>LEFT(D179,LEN("Not Functioning"))="Not Functioning"</formula>
    </cfRule>
    <cfRule type="containsText" dxfId="1711" priority="2430" operator="containsText" text="Functioning">
      <formula>NOT(ISERROR(SEARCH("Functioning",D179)))</formula>
    </cfRule>
  </conditionalFormatting>
  <conditionalFormatting sqref="D173:D176">
    <cfRule type="beginsWith" dxfId="1710" priority="2425" stopIfTrue="1" operator="beginsWith" text="Functioning At Risk">
      <formula>LEFT(D173,LEN("Functioning At Risk"))="Functioning At Risk"</formula>
    </cfRule>
    <cfRule type="beginsWith" dxfId="1709" priority="2426" stopIfTrue="1" operator="beginsWith" text="Not Functioning">
      <formula>LEFT(D173,LEN("Not Functioning"))="Not Functioning"</formula>
    </cfRule>
    <cfRule type="containsText" dxfId="1708" priority="2427" operator="containsText" text="Functioning">
      <formula>NOT(ISERROR(SEARCH("Functioning",D173)))</formula>
    </cfRule>
  </conditionalFormatting>
  <conditionalFormatting sqref="H185">
    <cfRule type="beginsWith" dxfId="1707" priority="2419" stopIfTrue="1" operator="beginsWith" text="Functioning At Risk">
      <formula>LEFT(H185,LEN("Functioning At Risk"))="Functioning At Risk"</formula>
    </cfRule>
    <cfRule type="beginsWith" dxfId="1706" priority="2420" stopIfTrue="1" operator="beginsWith" text="Not Functioning">
      <formula>LEFT(H185,LEN("Not Functioning"))="Not Functioning"</formula>
    </cfRule>
    <cfRule type="containsText" dxfId="1705" priority="2421" operator="containsText" text="Functioning">
      <formula>NOT(ISERROR(SEARCH("Functioning",H185)))</formula>
    </cfRule>
  </conditionalFormatting>
  <conditionalFormatting sqref="I185">
    <cfRule type="beginsWith" dxfId="1704" priority="2416" stopIfTrue="1" operator="beginsWith" text="Functioning At Risk">
      <formula>LEFT(I185,LEN("Functioning At Risk"))="Functioning At Risk"</formula>
    </cfRule>
    <cfRule type="beginsWith" dxfId="1703" priority="2417" stopIfTrue="1" operator="beginsWith" text="Not Functioning">
      <formula>LEFT(I185,LEN("Not Functioning"))="Not Functioning"</formula>
    </cfRule>
    <cfRule type="containsText" dxfId="1702" priority="2418" operator="containsText" text="Functioning">
      <formula>NOT(ISERROR(SEARCH("Functioning",I185)))</formula>
    </cfRule>
  </conditionalFormatting>
  <conditionalFormatting sqref="D193">
    <cfRule type="beginsWith" dxfId="1701" priority="2413" stopIfTrue="1" operator="beginsWith" text="Functioning At Risk">
      <formula>LEFT(D193,LEN("Functioning At Risk"))="Functioning At Risk"</formula>
    </cfRule>
    <cfRule type="beginsWith" dxfId="1700" priority="2414" stopIfTrue="1" operator="beginsWith" text="Not Functioning">
      <formula>LEFT(D193,LEN("Not Functioning"))="Not Functioning"</formula>
    </cfRule>
    <cfRule type="containsText" dxfId="1699" priority="2415" operator="containsText" text="Functioning">
      <formula>NOT(ISERROR(SEARCH("Functioning",D193)))</formula>
    </cfRule>
  </conditionalFormatting>
  <conditionalFormatting sqref="D194">
    <cfRule type="beginsWith" dxfId="1698" priority="2410" stopIfTrue="1" operator="beginsWith" text="Functioning At Risk">
      <formula>LEFT(D194,LEN("Functioning At Risk"))="Functioning At Risk"</formula>
    </cfRule>
    <cfRule type="beginsWith" dxfId="1697" priority="2411" stopIfTrue="1" operator="beginsWith" text="Not Functioning">
      <formula>LEFT(D194,LEN("Not Functioning"))="Not Functioning"</formula>
    </cfRule>
    <cfRule type="containsText" dxfId="1696" priority="2412" operator="containsText" text="Functioning">
      <formula>NOT(ISERROR(SEARCH("Functioning",D194)))</formula>
    </cfRule>
  </conditionalFormatting>
  <conditionalFormatting sqref="B193">
    <cfRule type="beginsWith" dxfId="1695" priority="2407" stopIfTrue="1" operator="beginsWith" text="Functioning At Risk">
      <formula>LEFT(B193,LEN("Functioning At Risk"))="Functioning At Risk"</formula>
    </cfRule>
    <cfRule type="beginsWith" dxfId="1694" priority="2408" stopIfTrue="1" operator="beginsWith" text="Not Functioning">
      <formula>LEFT(B193,LEN("Not Functioning"))="Not Functioning"</formula>
    </cfRule>
    <cfRule type="containsText" dxfId="1693" priority="2409" operator="containsText" text="Functioning">
      <formula>NOT(ISERROR(SEARCH("Functioning",B193)))</formula>
    </cfRule>
  </conditionalFormatting>
  <conditionalFormatting sqref="I228:I232 B226:B227 D216 B219 A200:B200 H202:I203 H200:I200 H198:K199 A202:B202 A228:A232 D208:D210 B223:B224 A203 D228:D231 D200:D203 D219:D223">
    <cfRule type="beginsWith" dxfId="1692" priority="2395" stopIfTrue="1" operator="beginsWith" text="Functioning At Risk">
      <formula>LEFT(A198,LEN("Functioning At Risk"))="Functioning At Risk"</formula>
    </cfRule>
    <cfRule type="beginsWith" dxfId="1691" priority="2396" stopIfTrue="1" operator="beginsWith" text="Not Functioning">
      <formula>LEFT(A198,LEN("Not Functioning"))="Not Functioning"</formula>
    </cfRule>
    <cfRule type="containsText" dxfId="1690" priority="2397" operator="containsText" text="Functioning">
      <formula>NOT(ISERROR(SEARCH("Functioning",A198)))</formula>
    </cfRule>
  </conditionalFormatting>
  <conditionalFormatting sqref="D312">
    <cfRule type="beginsWith" dxfId="1689" priority="2278" stopIfTrue="1" operator="beginsWith" text="Functioning At Risk">
      <formula>LEFT(D312,LEN("Functioning At Risk"))="Functioning At Risk"</formula>
    </cfRule>
    <cfRule type="beginsWith" dxfId="1688" priority="2279" stopIfTrue="1" operator="beginsWith" text="Not Functioning">
      <formula>LEFT(D312,LEN("Not Functioning"))="Not Functioning"</formula>
    </cfRule>
    <cfRule type="containsText" dxfId="1687" priority="2280" operator="containsText" text="Functioning">
      <formula>NOT(ISERROR(SEARCH("Functioning",D312)))</formula>
    </cfRule>
  </conditionalFormatting>
  <conditionalFormatting sqref="D211">
    <cfRule type="beginsWith" dxfId="1686" priority="2389" stopIfTrue="1" operator="beginsWith" text="Functioning At Risk">
      <formula>LEFT(D211,LEN("Functioning At Risk"))="Functioning At Risk"</formula>
    </cfRule>
    <cfRule type="beginsWith" dxfId="1685" priority="2390" stopIfTrue="1" operator="beginsWith" text="Not Functioning">
      <formula>LEFT(D211,LEN("Not Functioning"))="Not Functioning"</formula>
    </cfRule>
    <cfRule type="containsText" dxfId="1684" priority="2391" operator="containsText" text="Functioning">
      <formula>NOT(ISERROR(SEARCH("Functioning",D211)))</formula>
    </cfRule>
  </conditionalFormatting>
  <conditionalFormatting sqref="D217">
    <cfRule type="beginsWith" dxfId="1683" priority="2386" stopIfTrue="1" operator="beginsWith" text="Functioning At Risk">
      <formula>LEFT(D217,LEN("Functioning At Risk"))="Functioning At Risk"</formula>
    </cfRule>
    <cfRule type="beginsWith" dxfId="1682" priority="2387" stopIfTrue="1" operator="beginsWith" text="Not Functioning">
      <formula>LEFT(D217,LEN("Not Functioning"))="Not Functioning"</formula>
    </cfRule>
    <cfRule type="containsText" dxfId="1681" priority="2388" operator="containsText" text="Functioning">
      <formula>NOT(ISERROR(SEARCH("Functioning",D217)))</formula>
    </cfRule>
  </conditionalFormatting>
  <conditionalFormatting sqref="D218">
    <cfRule type="beginsWith" dxfId="1680" priority="2383" stopIfTrue="1" operator="beginsWith" text="Functioning At Risk">
      <formula>LEFT(D218,LEN("Functioning At Risk"))="Functioning At Risk"</formula>
    </cfRule>
    <cfRule type="beginsWith" dxfId="1679" priority="2384" stopIfTrue="1" operator="beginsWith" text="Not Functioning">
      <formula>LEFT(D218,LEN("Not Functioning"))="Not Functioning"</formula>
    </cfRule>
    <cfRule type="containsText" dxfId="1678" priority="2385" operator="containsText" text="Functioning">
      <formula>NOT(ISERROR(SEARCH("Functioning",D218)))</formula>
    </cfRule>
  </conditionalFormatting>
  <conditionalFormatting sqref="D212:D215">
    <cfRule type="beginsWith" dxfId="1677" priority="2380" stopIfTrue="1" operator="beginsWith" text="Functioning At Risk">
      <formula>LEFT(D212,LEN("Functioning At Risk"))="Functioning At Risk"</formula>
    </cfRule>
    <cfRule type="beginsWith" dxfId="1676" priority="2381" stopIfTrue="1" operator="beginsWith" text="Not Functioning">
      <formula>LEFT(D212,LEN("Not Functioning"))="Not Functioning"</formula>
    </cfRule>
    <cfRule type="containsText" dxfId="1675" priority="2382" operator="containsText" text="Functioning">
      <formula>NOT(ISERROR(SEARCH("Functioning",D212)))</formula>
    </cfRule>
  </conditionalFormatting>
  <conditionalFormatting sqref="A224">
    <cfRule type="beginsWith" dxfId="1674" priority="2377" stopIfTrue="1" operator="beginsWith" text="Functioning At Risk">
      <formula>LEFT(A224,LEN("Functioning At Risk"))="Functioning At Risk"</formula>
    </cfRule>
    <cfRule type="beginsWith" dxfId="1673" priority="2378" stopIfTrue="1" operator="beginsWith" text="Not Functioning">
      <formula>LEFT(A224,LEN("Not Functioning"))="Not Functioning"</formula>
    </cfRule>
    <cfRule type="containsText" dxfId="1672" priority="2379" operator="containsText" text="Functioning">
      <formula>NOT(ISERROR(SEARCH("Functioning",A224)))</formula>
    </cfRule>
  </conditionalFormatting>
  <conditionalFormatting sqref="H224">
    <cfRule type="beginsWith" dxfId="1671" priority="2374" stopIfTrue="1" operator="beginsWith" text="Functioning At Risk">
      <formula>LEFT(H224,LEN("Functioning At Risk"))="Functioning At Risk"</formula>
    </cfRule>
    <cfRule type="beginsWith" dxfId="1670" priority="2375" stopIfTrue="1" operator="beginsWith" text="Not Functioning">
      <formula>LEFT(H224,LEN("Not Functioning"))="Not Functioning"</formula>
    </cfRule>
    <cfRule type="containsText" dxfId="1669" priority="2376" operator="containsText" text="Functioning">
      <formula>NOT(ISERROR(SEARCH("Functioning",H224)))</formula>
    </cfRule>
  </conditionalFormatting>
  <conditionalFormatting sqref="I224">
    <cfRule type="beginsWith" dxfId="1668" priority="2371" stopIfTrue="1" operator="beginsWith" text="Functioning At Risk">
      <formula>LEFT(I224,LEN("Functioning At Risk"))="Functioning At Risk"</formula>
    </cfRule>
    <cfRule type="beginsWith" dxfId="1667" priority="2372" stopIfTrue="1" operator="beginsWith" text="Not Functioning">
      <formula>LEFT(I224,LEN("Not Functioning"))="Not Functioning"</formula>
    </cfRule>
    <cfRule type="containsText" dxfId="1666" priority="2373" operator="containsText" text="Functioning">
      <formula>NOT(ISERROR(SEARCH("Functioning",I224)))</formula>
    </cfRule>
  </conditionalFormatting>
  <conditionalFormatting sqref="D232">
    <cfRule type="beginsWith" dxfId="1665" priority="2368" stopIfTrue="1" operator="beginsWith" text="Functioning At Risk">
      <formula>LEFT(D232,LEN("Functioning At Risk"))="Functioning At Risk"</formula>
    </cfRule>
    <cfRule type="beginsWith" dxfId="1664" priority="2369" stopIfTrue="1" operator="beginsWith" text="Not Functioning">
      <formula>LEFT(D232,LEN("Not Functioning"))="Not Functioning"</formula>
    </cfRule>
    <cfRule type="containsText" dxfId="1663" priority="2370" operator="containsText" text="Functioning">
      <formula>NOT(ISERROR(SEARCH("Functioning",D232)))</formula>
    </cfRule>
  </conditionalFormatting>
  <conditionalFormatting sqref="D233">
    <cfRule type="beginsWith" dxfId="1662" priority="2365" stopIfTrue="1" operator="beginsWith" text="Functioning At Risk">
      <formula>LEFT(D233,LEN("Functioning At Risk"))="Functioning At Risk"</formula>
    </cfRule>
    <cfRule type="beginsWith" dxfId="1661" priority="2366" stopIfTrue="1" operator="beginsWith" text="Not Functioning">
      <formula>LEFT(D233,LEN("Not Functioning"))="Not Functioning"</formula>
    </cfRule>
    <cfRule type="containsText" dxfId="1660" priority="2367" operator="containsText" text="Functioning">
      <formula>NOT(ISERROR(SEARCH("Functioning",D233)))</formula>
    </cfRule>
  </conditionalFormatting>
  <conditionalFormatting sqref="B232">
    <cfRule type="beginsWith" dxfId="1659" priority="2362" stopIfTrue="1" operator="beginsWith" text="Functioning At Risk">
      <formula>LEFT(B232,LEN("Functioning At Risk"))="Functioning At Risk"</formula>
    </cfRule>
    <cfRule type="beginsWith" dxfId="1658" priority="2363" stopIfTrue="1" operator="beginsWith" text="Not Functioning">
      <formula>LEFT(B232,LEN("Not Functioning"))="Not Functioning"</formula>
    </cfRule>
    <cfRule type="containsText" dxfId="1657" priority="2364" operator="containsText" text="Functioning">
      <formula>NOT(ISERROR(SEARCH("Functioning",B232)))</formula>
    </cfRule>
  </conditionalFormatting>
  <conditionalFormatting sqref="D313">
    <cfRule type="beginsWith" dxfId="1656" priority="2275" stopIfTrue="1" operator="beginsWith" text="Functioning At Risk">
      <formula>LEFT(D313,LEN("Functioning At Risk"))="Functioning At Risk"</formula>
    </cfRule>
    <cfRule type="beginsWith" dxfId="1655" priority="2276" stopIfTrue="1" operator="beginsWith" text="Not Functioning">
      <formula>LEFT(D313,LEN("Not Functioning"))="Not Functioning"</formula>
    </cfRule>
    <cfRule type="containsText" dxfId="1654" priority="2277" operator="containsText" text="Functioning">
      <formula>NOT(ISERROR(SEARCH("Functioning",D313)))</formula>
    </cfRule>
  </conditionalFormatting>
  <conditionalFormatting sqref="B312">
    <cfRule type="beginsWith" dxfId="1653" priority="2272" stopIfTrue="1" operator="beginsWith" text="Functioning At Risk">
      <formula>LEFT(B312,LEN("Functioning At Risk"))="Functioning At Risk"</formula>
    </cfRule>
    <cfRule type="beginsWith" dxfId="1652" priority="2273" stopIfTrue="1" operator="beginsWith" text="Not Functioning">
      <formula>LEFT(B312,LEN("Not Functioning"))="Not Functioning"</formula>
    </cfRule>
    <cfRule type="containsText" dxfId="1651" priority="2274" operator="containsText" text="Functioning">
      <formula>NOT(ISERROR(SEARCH("Functioning",B312)))</formula>
    </cfRule>
  </conditionalFormatting>
  <conditionalFormatting sqref="I268:I272 B266:B267 D256 B259 A240:B240 H242:I243 H240:I240 H238:K239 A242:B242 A268:A272 D248:D250 B263:B264 A243 D268:D271 D240:D243 D259:D263">
    <cfRule type="beginsWith" dxfId="1650" priority="2350" stopIfTrue="1" operator="beginsWith" text="Functioning At Risk">
      <formula>LEFT(A238,LEN("Functioning At Risk"))="Functioning At Risk"</formula>
    </cfRule>
    <cfRule type="beginsWith" dxfId="1649" priority="2351" stopIfTrue="1" operator="beginsWith" text="Not Functioning">
      <formula>LEFT(A238,LEN("Not Functioning"))="Not Functioning"</formula>
    </cfRule>
    <cfRule type="containsText" dxfId="1648" priority="2352" operator="containsText" text="Functioning">
      <formula>NOT(ISERROR(SEARCH("Functioning",A238)))</formula>
    </cfRule>
  </conditionalFormatting>
  <conditionalFormatting sqref="D251">
    <cfRule type="beginsWith" dxfId="1647" priority="2344" stopIfTrue="1" operator="beginsWith" text="Functioning At Risk">
      <formula>LEFT(D251,LEN("Functioning At Risk"))="Functioning At Risk"</formula>
    </cfRule>
    <cfRule type="beginsWith" dxfId="1646" priority="2345" stopIfTrue="1" operator="beginsWith" text="Not Functioning">
      <formula>LEFT(D251,LEN("Not Functioning"))="Not Functioning"</formula>
    </cfRule>
    <cfRule type="containsText" dxfId="1645" priority="2346" operator="containsText" text="Functioning">
      <formula>NOT(ISERROR(SEARCH("Functioning",D251)))</formula>
    </cfRule>
  </conditionalFormatting>
  <conditionalFormatting sqref="D257">
    <cfRule type="beginsWith" dxfId="1644" priority="2341" stopIfTrue="1" operator="beginsWith" text="Functioning At Risk">
      <formula>LEFT(D257,LEN("Functioning At Risk"))="Functioning At Risk"</formula>
    </cfRule>
    <cfRule type="beginsWith" dxfId="1643" priority="2342" stopIfTrue="1" operator="beginsWith" text="Not Functioning">
      <formula>LEFT(D257,LEN("Not Functioning"))="Not Functioning"</formula>
    </cfRule>
    <cfRule type="containsText" dxfId="1642" priority="2343" operator="containsText" text="Functioning">
      <formula>NOT(ISERROR(SEARCH("Functioning",D257)))</formula>
    </cfRule>
  </conditionalFormatting>
  <conditionalFormatting sqref="D258">
    <cfRule type="beginsWith" dxfId="1641" priority="2338" stopIfTrue="1" operator="beginsWith" text="Functioning At Risk">
      <formula>LEFT(D258,LEN("Functioning At Risk"))="Functioning At Risk"</formula>
    </cfRule>
    <cfRule type="beginsWith" dxfId="1640" priority="2339" stopIfTrue="1" operator="beginsWith" text="Not Functioning">
      <formula>LEFT(D258,LEN("Not Functioning"))="Not Functioning"</formula>
    </cfRule>
    <cfRule type="containsText" dxfId="1639" priority="2340" operator="containsText" text="Functioning">
      <formula>NOT(ISERROR(SEARCH("Functioning",D258)))</formula>
    </cfRule>
  </conditionalFormatting>
  <conditionalFormatting sqref="D252:D255">
    <cfRule type="beginsWith" dxfId="1638" priority="2335" stopIfTrue="1" operator="beginsWith" text="Functioning At Risk">
      <formula>LEFT(D252,LEN("Functioning At Risk"))="Functioning At Risk"</formula>
    </cfRule>
    <cfRule type="beginsWith" dxfId="1637" priority="2336" stopIfTrue="1" operator="beginsWith" text="Not Functioning">
      <formula>LEFT(D252,LEN("Not Functioning"))="Not Functioning"</formula>
    </cfRule>
    <cfRule type="containsText" dxfId="1636" priority="2337" operator="containsText" text="Functioning">
      <formula>NOT(ISERROR(SEARCH("Functioning",D252)))</formula>
    </cfRule>
  </conditionalFormatting>
  <conditionalFormatting sqref="A264">
    <cfRule type="beginsWith" dxfId="1635" priority="2332" stopIfTrue="1" operator="beginsWith" text="Functioning At Risk">
      <formula>LEFT(A264,LEN("Functioning At Risk"))="Functioning At Risk"</formula>
    </cfRule>
    <cfRule type="beginsWith" dxfId="1634" priority="2333" stopIfTrue="1" operator="beginsWith" text="Not Functioning">
      <formula>LEFT(A264,LEN("Not Functioning"))="Not Functioning"</formula>
    </cfRule>
    <cfRule type="containsText" dxfId="1633" priority="2334" operator="containsText" text="Functioning">
      <formula>NOT(ISERROR(SEARCH("Functioning",A264)))</formula>
    </cfRule>
  </conditionalFormatting>
  <conditionalFormatting sqref="H264">
    <cfRule type="beginsWith" dxfId="1632" priority="2329" stopIfTrue="1" operator="beginsWith" text="Functioning At Risk">
      <formula>LEFT(H264,LEN("Functioning At Risk"))="Functioning At Risk"</formula>
    </cfRule>
    <cfRule type="beginsWith" dxfId="1631" priority="2330" stopIfTrue="1" operator="beginsWith" text="Not Functioning">
      <formula>LEFT(H264,LEN("Not Functioning"))="Not Functioning"</formula>
    </cfRule>
    <cfRule type="containsText" dxfId="1630" priority="2331" operator="containsText" text="Functioning">
      <formula>NOT(ISERROR(SEARCH("Functioning",H264)))</formula>
    </cfRule>
  </conditionalFormatting>
  <conditionalFormatting sqref="I264">
    <cfRule type="beginsWith" dxfId="1629" priority="2326" stopIfTrue="1" operator="beginsWith" text="Functioning At Risk">
      <formula>LEFT(I264,LEN("Functioning At Risk"))="Functioning At Risk"</formula>
    </cfRule>
    <cfRule type="beginsWith" dxfId="1628" priority="2327" stopIfTrue="1" operator="beginsWith" text="Not Functioning">
      <formula>LEFT(I264,LEN("Not Functioning"))="Not Functioning"</formula>
    </cfRule>
    <cfRule type="containsText" dxfId="1627" priority="2328" operator="containsText" text="Functioning">
      <formula>NOT(ISERROR(SEARCH("Functioning",I264)))</formula>
    </cfRule>
  </conditionalFormatting>
  <conditionalFormatting sqref="D272">
    <cfRule type="beginsWith" dxfId="1626" priority="2323" stopIfTrue="1" operator="beginsWith" text="Functioning At Risk">
      <formula>LEFT(D272,LEN("Functioning At Risk"))="Functioning At Risk"</formula>
    </cfRule>
    <cfRule type="beginsWith" dxfId="1625" priority="2324" stopIfTrue="1" operator="beginsWith" text="Not Functioning">
      <formula>LEFT(D272,LEN("Not Functioning"))="Not Functioning"</formula>
    </cfRule>
    <cfRule type="containsText" dxfId="1624" priority="2325" operator="containsText" text="Functioning">
      <formula>NOT(ISERROR(SEARCH("Functioning",D272)))</formula>
    </cfRule>
  </conditionalFormatting>
  <conditionalFormatting sqref="D273">
    <cfRule type="beginsWith" dxfId="1623" priority="2320" stopIfTrue="1" operator="beginsWith" text="Functioning At Risk">
      <formula>LEFT(D273,LEN("Functioning At Risk"))="Functioning At Risk"</formula>
    </cfRule>
    <cfRule type="beginsWith" dxfId="1622" priority="2321" stopIfTrue="1" operator="beginsWith" text="Not Functioning">
      <formula>LEFT(D273,LEN("Not Functioning"))="Not Functioning"</formula>
    </cfRule>
    <cfRule type="containsText" dxfId="1621" priority="2322" operator="containsText" text="Functioning">
      <formula>NOT(ISERROR(SEARCH("Functioning",D273)))</formula>
    </cfRule>
  </conditionalFormatting>
  <conditionalFormatting sqref="B272">
    <cfRule type="beginsWith" dxfId="1620" priority="2317" stopIfTrue="1" operator="beginsWith" text="Functioning At Risk">
      <formula>LEFT(B272,LEN("Functioning At Risk"))="Functioning At Risk"</formula>
    </cfRule>
    <cfRule type="beginsWith" dxfId="1619" priority="2318" stopIfTrue="1" operator="beginsWith" text="Not Functioning">
      <formula>LEFT(B272,LEN("Not Functioning"))="Not Functioning"</formula>
    </cfRule>
    <cfRule type="containsText" dxfId="1618" priority="2319" operator="containsText" text="Functioning">
      <formula>NOT(ISERROR(SEARCH("Functioning",B272)))</formula>
    </cfRule>
  </conditionalFormatting>
  <conditionalFormatting sqref="B248">
    <cfRule type="beginsWith" dxfId="1617" priority="2311" stopIfTrue="1" operator="beginsWith" text="Functioning At Risk">
      <formula>LEFT(B248,LEN("Functioning At Risk"))="Functioning At Risk"</formula>
    </cfRule>
    <cfRule type="beginsWith" dxfId="1616" priority="2312" stopIfTrue="1" operator="beginsWith" text="Not Functioning">
      <formula>LEFT(B248,LEN("Not Functioning"))="Not Functioning"</formula>
    </cfRule>
    <cfRule type="containsText" dxfId="1615" priority="2313" operator="containsText" text="Functioning">
      <formula>NOT(ISERROR(SEARCH("Functioning",B248)))</formula>
    </cfRule>
  </conditionalFormatting>
  <conditionalFormatting sqref="I308:I312 B306:B307 D296 B299 A280:B280 H282:I283 H280:I280 H278:K279 A282:B282 A308:A312 D288:D290 B303:B304 A283 D308:D311 D280:D283 D299:D303">
    <cfRule type="beginsWith" dxfId="1614" priority="2305" stopIfTrue="1" operator="beginsWith" text="Functioning At Risk">
      <formula>LEFT(A278,LEN("Functioning At Risk"))="Functioning At Risk"</formula>
    </cfRule>
    <cfRule type="beginsWith" dxfId="1613" priority="2306" stopIfTrue="1" operator="beginsWith" text="Not Functioning">
      <formula>LEFT(A278,LEN("Not Functioning"))="Not Functioning"</formula>
    </cfRule>
    <cfRule type="containsText" dxfId="1612" priority="2307" operator="containsText" text="Functioning">
      <formula>NOT(ISERROR(SEARCH("Functioning",A278)))</formula>
    </cfRule>
  </conditionalFormatting>
  <conditionalFormatting sqref="D291">
    <cfRule type="beginsWith" dxfId="1611" priority="2299" stopIfTrue="1" operator="beginsWith" text="Functioning At Risk">
      <formula>LEFT(D291,LEN("Functioning At Risk"))="Functioning At Risk"</formula>
    </cfRule>
    <cfRule type="beginsWith" dxfId="1610" priority="2300" stopIfTrue="1" operator="beginsWith" text="Not Functioning">
      <formula>LEFT(D291,LEN("Not Functioning"))="Not Functioning"</formula>
    </cfRule>
    <cfRule type="containsText" dxfId="1609" priority="2301" operator="containsText" text="Functioning">
      <formula>NOT(ISERROR(SEARCH("Functioning",D291)))</formula>
    </cfRule>
  </conditionalFormatting>
  <conditionalFormatting sqref="D297">
    <cfRule type="beginsWith" dxfId="1608" priority="2296" stopIfTrue="1" operator="beginsWith" text="Functioning At Risk">
      <formula>LEFT(D297,LEN("Functioning At Risk"))="Functioning At Risk"</formula>
    </cfRule>
    <cfRule type="beginsWith" dxfId="1607" priority="2297" stopIfTrue="1" operator="beginsWith" text="Not Functioning">
      <formula>LEFT(D297,LEN("Not Functioning"))="Not Functioning"</formula>
    </cfRule>
    <cfRule type="containsText" dxfId="1606" priority="2298" operator="containsText" text="Functioning">
      <formula>NOT(ISERROR(SEARCH("Functioning",D297)))</formula>
    </cfRule>
  </conditionalFormatting>
  <conditionalFormatting sqref="D298">
    <cfRule type="beginsWith" dxfId="1605" priority="2293" stopIfTrue="1" operator="beginsWith" text="Functioning At Risk">
      <formula>LEFT(D298,LEN("Functioning At Risk"))="Functioning At Risk"</formula>
    </cfRule>
    <cfRule type="beginsWith" dxfId="1604" priority="2294" stopIfTrue="1" operator="beginsWith" text="Not Functioning">
      <formula>LEFT(D298,LEN("Not Functioning"))="Not Functioning"</formula>
    </cfRule>
    <cfRule type="containsText" dxfId="1603" priority="2295" operator="containsText" text="Functioning">
      <formula>NOT(ISERROR(SEARCH("Functioning",D298)))</formula>
    </cfRule>
  </conditionalFormatting>
  <conditionalFormatting sqref="D292:D295">
    <cfRule type="beginsWith" dxfId="1602" priority="2290" stopIfTrue="1" operator="beginsWith" text="Functioning At Risk">
      <formula>LEFT(D292,LEN("Functioning At Risk"))="Functioning At Risk"</formula>
    </cfRule>
    <cfRule type="beginsWith" dxfId="1601" priority="2291" stopIfTrue="1" operator="beginsWith" text="Not Functioning">
      <formula>LEFT(D292,LEN("Not Functioning"))="Not Functioning"</formula>
    </cfRule>
    <cfRule type="containsText" dxfId="1600" priority="2292" operator="containsText" text="Functioning">
      <formula>NOT(ISERROR(SEARCH("Functioning",D292)))</formula>
    </cfRule>
  </conditionalFormatting>
  <conditionalFormatting sqref="B352">
    <cfRule type="beginsWith" dxfId="1599" priority="2227" stopIfTrue="1" operator="beginsWith" text="Functioning At Risk">
      <formula>LEFT(B352,LEN("Functioning At Risk"))="Functioning At Risk"</formula>
    </cfRule>
    <cfRule type="beginsWith" dxfId="1598" priority="2228" stopIfTrue="1" operator="beginsWith" text="Not Functioning">
      <formula>LEFT(B352,LEN("Not Functioning"))="Not Functioning"</formula>
    </cfRule>
    <cfRule type="containsText" dxfId="1597" priority="2229" operator="containsText" text="Functioning">
      <formula>NOT(ISERROR(SEARCH("Functioning",B352)))</formula>
    </cfRule>
  </conditionalFormatting>
  <conditionalFormatting sqref="A304">
    <cfRule type="beginsWith" dxfId="1596" priority="2287" stopIfTrue="1" operator="beginsWith" text="Functioning At Risk">
      <formula>LEFT(A304,LEN("Functioning At Risk"))="Functioning At Risk"</formula>
    </cfRule>
    <cfRule type="beginsWith" dxfId="1595" priority="2288" stopIfTrue="1" operator="beginsWith" text="Not Functioning">
      <formula>LEFT(A304,LEN("Not Functioning"))="Not Functioning"</formula>
    </cfRule>
    <cfRule type="containsText" dxfId="1594" priority="2289" operator="containsText" text="Functioning">
      <formula>NOT(ISERROR(SEARCH("Functioning",A304)))</formula>
    </cfRule>
  </conditionalFormatting>
  <conditionalFormatting sqref="H304">
    <cfRule type="beginsWith" dxfId="1593" priority="2284" stopIfTrue="1" operator="beginsWith" text="Functioning At Risk">
      <formula>LEFT(H304,LEN("Functioning At Risk"))="Functioning At Risk"</formula>
    </cfRule>
    <cfRule type="beginsWith" dxfId="1592" priority="2285" stopIfTrue="1" operator="beginsWith" text="Not Functioning">
      <formula>LEFT(H304,LEN("Not Functioning"))="Not Functioning"</formula>
    </cfRule>
    <cfRule type="containsText" dxfId="1591" priority="2286" operator="containsText" text="Functioning">
      <formula>NOT(ISERROR(SEARCH("Functioning",H304)))</formula>
    </cfRule>
  </conditionalFormatting>
  <conditionalFormatting sqref="I304">
    <cfRule type="beginsWith" dxfId="1590" priority="2281" stopIfTrue="1" operator="beginsWith" text="Functioning At Risk">
      <formula>LEFT(I304,LEN("Functioning At Risk"))="Functioning At Risk"</formula>
    </cfRule>
    <cfRule type="beginsWith" dxfId="1589" priority="2282" stopIfTrue="1" operator="beginsWith" text="Not Functioning">
      <formula>LEFT(I304,LEN("Not Functioning"))="Not Functioning"</formula>
    </cfRule>
    <cfRule type="containsText" dxfId="1588" priority="2283" operator="containsText" text="Functioning">
      <formula>NOT(ISERROR(SEARCH("Functioning",I304)))</formula>
    </cfRule>
  </conditionalFormatting>
  <conditionalFormatting sqref="B288">
    <cfRule type="beginsWith" dxfId="1587" priority="2266" stopIfTrue="1" operator="beginsWith" text="Functioning At Risk">
      <formula>LEFT(B288,LEN("Functioning At Risk"))="Functioning At Risk"</formula>
    </cfRule>
    <cfRule type="beginsWith" dxfId="1586" priority="2267" stopIfTrue="1" operator="beginsWith" text="Not Functioning">
      <formula>LEFT(B288,LEN("Not Functioning"))="Not Functioning"</formula>
    </cfRule>
    <cfRule type="containsText" dxfId="1585" priority="2268" operator="containsText" text="Functioning">
      <formula>NOT(ISERROR(SEARCH("Functioning",B288)))</formula>
    </cfRule>
  </conditionalFormatting>
  <conditionalFormatting sqref="I348:I352 B346:B347 D336 B339 A320:B320 H322:I323 H320:I320 H318:K319 A322:B322 A348:A352 D328:D330 B343:B344 A323 D348:D351 D320:D323 D339:D343">
    <cfRule type="beginsWith" dxfId="1584" priority="2260" stopIfTrue="1" operator="beginsWith" text="Functioning At Risk">
      <formula>LEFT(A318,LEN("Functioning At Risk"))="Functioning At Risk"</formula>
    </cfRule>
    <cfRule type="beginsWith" dxfId="1583" priority="2261" stopIfTrue="1" operator="beginsWith" text="Not Functioning">
      <formula>LEFT(A318,LEN("Not Functioning"))="Not Functioning"</formula>
    </cfRule>
    <cfRule type="containsText" dxfId="1582" priority="2262" operator="containsText" text="Functioning">
      <formula>NOT(ISERROR(SEARCH("Functioning",A318)))</formula>
    </cfRule>
  </conditionalFormatting>
  <conditionalFormatting sqref="D372:D375">
    <cfRule type="beginsWith" dxfId="1581" priority="2200" stopIfTrue="1" operator="beginsWith" text="Functioning At Risk">
      <formula>LEFT(D372,LEN("Functioning At Risk"))="Functioning At Risk"</formula>
    </cfRule>
    <cfRule type="beginsWith" dxfId="1580" priority="2201" stopIfTrue="1" operator="beginsWith" text="Not Functioning">
      <formula>LEFT(D372,LEN("Not Functioning"))="Not Functioning"</formula>
    </cfRule>
    <cfRule type="containsText" dxfId="1579" priority="2202" operator="containsText" text="Functioning">
      <formula>NOT(ISERROR(SEARCH("Functioning",D372)))</formula>
    </cfRule>
  </conditionalFormatting>
  <conditionalFormatting sqref="D331">
    <cfRule type="beginsWith" dxfId="1578" priority="2254" stopIfTrue="1" operator="beginsWith" text="Functioning At Risk">
      <formula>LEFT(D331,LEN("Functioning At Risk"))="Functioning At Risk"</formula>
    </cfRule>
    <cfRule type="beginsWith" dxfId="1577" priority="2255" stopIfTrue="1" operator="beginsWith" text="Not Functioning">
      <formula>LEFT(D331,LEN("Not Functioning"))="Not Functioning"</formula>
    </cfRule>
    <cfRule type="containsText" dxfId="1576" priority="2256" operator="containsText" text="Functioning">
      <formula>NOT(ISERROR(SEARCH("Functioning",D331)))</formula>
    </cfRule>
  </conditionalFormatting>
  <conditionalFormatting sqref="D337">
    <cfRule type="beginsWith" dxfId="1575" priority="2251" stopIfTrue="1" operator="beginsWith" text="Functioning At Risk">
      <formula>LEFT(D337,LEN("Functioning At Risk"))="Functioning At Risk"</formula>
    </cfRule>
    <cfRule type="beginsWith" dxfId="1574" priority="2252" stopIfTrue="1" operator="beginsWith" text="Not Functioning">
      <formula>LEFT(D337,LEN("Not Functioning"))="Not Functioning"</formula>
    </cfRule>
    <cfRule type="containsText" dxfId="1573" priority="2253" operator="containsText" text="Functioning">
      <formula>NOT(ISERROR(SEARCH("Functioning",D337)))</formula>
    </cfRule>
  </conditionalFormatting>
  <conditionalFormatting sqref="D338">
    <cfRule type="beginsWith" dxfId="1572" priority="2248" stopIfTrue="1" operator="beginsWith" text="Functioning At Risk">
      <formula>LEFT(D338,LEN("Functioning At Risk"))="Functioning At Risk"</formula>
    </cfRule>
    <cfRule type="beginsWith" dxfId="1571" priority="2249" stopIfTrue="1" operator="beginsWith" text="Not Functioning">
      <formula>LEFT(D338,LEN("Not Functioning"))="Not Functioning"</formula>
    </cfRule>
    <cfRule type="containsText" dxfId="1570" priority="2250" operator="containsText" text="Functioning">
      <formula>NOT(ISERROR(SEARCH("Functioning",D338)))</formula>
    </cfRule>
  </conditionalFormatting>
  <conditionalFormatting sqref="D332:D335">
    <cfRule type="beginsWith" dxfId="1569" priority="2245" stopIfTrue="1" operator="beginsWith" text="Functioning At Risk">
      <formula>LEFT(D332,LEN("Functioning At Risk"))="Functioning At Risk"</formula>
    </cfRule>
    <cfRule type="beginsWith" dxfId="1568" priority="2246" stopIfTrue="1" operator="beginsWith" text="Not Functioning">
      <formula>LEFT(D332,LEN("Not Functioning"))="Not Functioning"</formula>
    </cfRule>
    <cfRule type="containsText" dxfId="1567" priority="2247" operator="containsText" text="Functioning">
      <formula>NOT(ISERROR(SEARCH("Functioning",D332)))</formula>
    </cfRule>
  </conditionalFormatting>
  <conditionalFormatting sqref="A344">
    <cfRule type="beginsWith" dxfId="1566" priority="2242" stopIfTrue="1" operator="beginsWith" text="Functioning At Risk">
      <formula>LEFT(A344,LEN("Functioning At Risk"))="Functioning At Risk"</formula>
    </cfRule>
    <cfRule type="beginsWith" dxfId="1565" priority="2243" stopIfTrue="1" operator="beginsWith" text="Not Functioning">
      <formula>LEFT(A344,LEN("Not Functioning"))="Not Functioning"</formula>
    </cfRule>
    <cfRule type="containsText" dxfId="1564" priority="2244" operator="containsText" text="Functioning">
      <formula>NOT(ISERROR(SEARCH("Functioning",A344)))</formula>
    </cfRule>
  </conditionalFormatting>
  <conditionalFormatting sqref="H344">
    <cfRule type="beginsWith" dxfId="1563" priority="2239" stopIfTrue="1" operator="beginsWith" text="Functioning At Risk">
      <formula>LEFT(H344,LEN("Functioning At Risk"))="Functioning At Risk"</formula>
    </cfRule>
    <cfRule type="beginsWith" dxfId="1562" priority="2240" stopIfTrue="1" operator="beginsWith" text="Not Functioning">
      <formula>LEFT(H344,LEN("Not Functioning"))="Not Functioning"</formula>
    </cfRule>
    <cfRule type="containsText" dxfId="1561" priority="2241" operator="containsText" text="Functioning">
      <formula>NOT(ISERROR(SEARCH("Functioning",H344)))</formula>
    </cfRule>
  </conditionalFormatting>
  <conditionalFormatting sqref="I344">
    <cfRule type="beginsWith" dxfId="1560" priority="2236" stopIfTrue="1" operator="beginsWith" text="Functioning At Risk">
      <formula>LEFT(I344,LEN("Functioning At Risk"))="Functioning At Risk"</formula>
    </cfRule>
    <cfRule type="beginsWith" dxfId="1559" priority="2237" stopIfTrue="1" operator="beginsWith" text="Not Functioning">
      <formula>LEFT(I344,LEN("Not Functioning"))="Not Functioning"</formula>
    </cfRule>
    <cfRule type="containsText" dxfId="1558" priority="2238" operator="containsText" text="Functioning">
      <formula>NOT(ISERROR(SEARCH("Functioning",I344)))</formula>
    </cfRule>
  </conditionalFormatting>
  <conditionalFormatting sqref="D352">
    <cfRule type="beginsWith" dxfId="1557" priority="2233" stopIfTrue="1" operator="beginsWith" text="Functioning At Risk">
      <formula>LEFT(D352,LEN("Functioning At Risk"))="Functioning At Risk"</formula>
    </cfRule>
    <cfRule type="beginsWith" dxfId="1556" priority="2234" stopIfTrue="1" operator="beginsWith" text="Not Functioning">
      <formula>LEFT(D352,LEN("Not Functioning"))="Not Functioning"</formula>
    </cfRule>
    <cfRule type="containsText" dxfId="1555" priority="2235" operator="containsText" text="Functioning">
      <formula>NOT(ISERROR(SEARCH("Functioning",D352)))</formula>
    </cfRule>
  </conditionalFormatting>
  <conditionalFormatting sqref="D353">
    <cfRule type="beginsWith" dxfId="1554" priority="2230" stopIfTrue="1" operator="beginsWith" text="Functioning At Risk">
      <formula>LEFT(D353,LEN("Functioning At Risk"))="Functioning At Risk"</formula>
    </cfRule>
    <cfRule type="beginsWith" dxfId="1553" priority="2231" stopIfTrue="1" operator="beginsWith" text="Not Functioning">
      <formula>LEFT(D353,LEN("Not Functioning"))="Not Functioning"</formula>
    </cfRule>
    <cfRule type="containsText" dxfId="1552" priority="2232" operator="containsText" text="Functioning">
      <formula>NOT(ISERROR(SEARCH("Functioning",D353)))</formula>
    </cfRule>
  </conditionalFormatting>
  <conditionalFormatting sqref="B328">
    <cfRule type="beginsWith" dxfId="1551" priority="2221" stopIfTrue="1" operator="beginsWith" text="Functioning At Risk">
      <formula>LEFT(B328,LEN("Functioning At Risk"))="Functioning At Risk"</formula>
    </cfRule>
    <cfRule type="beginsWith" dxfId="1550" priority="2222" stopIfTrue="1" operator="beginsWith" text="Not Functioning">
      <formula>LEFT(B328,LEN("Not Functioning"))="Not Functioning"</formula>
    </cfRule>
    <cfRule type="containsText" dxfId="1549" priority="2223" operator="containsText" text="Functioning">
      <formula>NOT(ISERROR(SEARCH("Functioning",B328)))</formula>
    </cfRule>
  </conditionalFormatting>
  <conditionalFormatting sqref="I388:I392 B386:B387 D376 B379 A360:B360 H362:I363 H360:I360 H358:K359 A362:B362 A388:A392 D368:D370 B383:B384 A363 D388:D391 D360:D363 D379:D383">
    <cfRule type="beginsWith" dxfId="1548" priority="2215" stopIfTrue="1" operator="beginsWith" text="Functioning At Risk">
      <formula>LEFT(A358,LEN("Functioning At Risk"))="Functioning At Risk"</formula>
    </cfRule>
    <cfRule type="beginsWith" dxfId="1547" priority="2216" stopIfTrue="1" operator="beginsWith" text="Not Functioning">
      <formula>LEFT(A358,LEN("Not Functioning"))="Not Functioning"</formula>
    </cfRule>
    <cfRule type="containsText" dxfId="1546" priority="2217" operator="containsText" text="Functioning">
      <formula>NOT(ISERROR(SEARCH("Functioning",A358)))</formula>
    </cfRule>
  </conditionalFormatting>
  <conditionalFormatting sqref="D371">
    <cfRule type="beginsWith" dxfId="1545" priority="2209" stopIfTrue="1" operator="beginsWith" text="Functioning At Risk">
      <formula>LEFT(D371,LEN("Functioning At Risk"))="Functioning At Risk"</formula>
    </cfRule>
    <cfRule type="beginsWith" dxfId="1544" priority="2210" stopIfTrue="1" operator="beginsWith" text="Not Functioning">
      <formula>LEFT(D371,LEN("Not Functioning"))="Not Functioning"</formula>
    </cfRule>
    <cfRule type="containsText" dxfId="1543" priority="2211" operator="containsText" text="Functioning">
      <formula>NOT(ISERROR(SEARCH("Functioning",D371)))</formula>
    </cfRule>
  </conditionalFormatting>
  <conditionalFormatting sqref="D377">
    <cfRule type="beginsWith" dxfId="1542" priority="2206" stopIfTrue="1" operator="beginsWith" text="Functioning At Risk">
      <formula>LEFT(D377,LEN("Functioning At Risk"))="Functioning At Risk"</formula>
    </cfRule>
    <cfRule type="beginsWith" dxfId="1541" priority="2207" stopIfTrue="1" operator="beginsWith" text="Not Functioning">
      <formula>LEFT(D377,LEN("Not Functioning"))="Not Functioning"</formula>
    </cfRule>
    <cfRule type="containsText" dxfId="1540" priority="2208" operator="containsText" text="Functioning">
      <formula>NOT(ISERROR(SEARCH("Functioning",D377)))</formula>
    </cfRule>
  </conditionalFormatting>
  <conditionalFormatting sqref="D378">
    <cfRule type="beginsWith" dxfId="1539" priority="2203" stopIfTrue="1" operator="beginsWith" text="Functioning At Risk">
      <formula>LEFT(D378,LEN("Functioning At Risk"))="Functioning At Risk"</formula>
    </cfRule>
    <cfRule type="beginsWith" dxfId="1538" priority="2204" stopIfTrue="1" operator="beginsWith" text="Not Functioning">
      <formula>LEFT(D378,LEN("Not Functioning"))="Not Functioning"</formula>
    </cfRule>
    <cfRule type="containsText" dxfId="1537" priority="2205" operator="containsText" text="Functioning">
      <formula>NOT(ISERROR(SEARCH("Functioning",D378)))</formula>
    </cfRule>
  </conditionalFormatting>
  <conditionalFormatting sqref="A384">
    <cfRule type="beginsWith" dxfId="1536" priority="2197" stopIfTrue="1" operator="beginsWith" text="Functioning At Risk">
      <formula>LEFT(A384,LEN("Functioning At Risk"))="Functioning At Risk"</formula>
    </cfRule>
    <cfRule type="beginsWith" dxfId="1535" priority="2198" stopIfTrue="1" operator="beginsWith" text="Not Functioning">
      <formula>LEFT(A384,LEN("Not Functioning"))="Not Functioning"</formula>
    </cfRule>
    <cfRule type="containsText" dxfId="1534" priority="2199" operator="containsText" text="Functioning">
      <formula>NOT(ISERROR(SEARCH("Functioning",A384)))</formula>
    </cfRule>
  </conditionalFormatting>
  <conditionalFormatting sqref="H384">
    <cfRule type="beginsWith" dxfId="1533" priority="2194" stopIfTrue="1" operator="beginsWith" text="Functioning At Risk">
      <formula>LEFT(H384,LEN("Functioning At Risk"))="Functioning At Risk"</formula>
    </cfRule>
    <cfRule type="beginsWith" dxfId="1532" priority="2195" stopIfTrue="1" operator="beginsWith" text="Not Functioning">
      <formula>LEFT(H384,LEN("Not Functioning"))="Not Functioning"</formula>
    </cfRule>
    <cfRule type="containsText" dxfId="1531" priority="2196" operator="containsText" text="Functioning">
      <formula>NOT(ISERROR(SEARCH("Functioning",H384)))</formula>
    </cfRule>
  </conditionalFormatting>
  <conditionalFormatting sqref="I384">
    <cfRule type="beginsWith" dxfId="1530" priority="2191" stopIfTrue="1" operator="beginsWith" text="Functioning At Risk">
      <formula>LEFT(I384,LEN("Functioning At Risk"))="Functioning At Risk"</formula>
    </cfRule>
    <cfRule type="beginsWith" dxfId="1529" priority="2192" stopIfTrue="1" operator="beginsWith" text="Not Functioning">
      <formula>LEFT(I384,LEN("Not Functioning"))="Not Functioning"</formula>
    </cfRule>
    <cfRule type="containsText" dxfId="1528" priority="2193" operator="containsText" text="Functioning">
      <formula>NOT(ISERROR(SEARCH("Functioning",I384)))</formula>
    </cfRule>
  </conditionalFormatting>
  <conditionalFormatting sqref="D392">
    <cfRule type="beginsWith" dxfId="1527" priority="2188" stopIfTrue="1" operator="beginsWith" text="Functioning At Risk">
      <formula>LEFT(D392,LEN("Functioning At Risk"))="Functioning At Risk"</formula>
    </cfRule>
    <cfRule type="beginsWith" dxfId="1526" priority="2189" stopIfTrue="1" operator="beginsWith" text="Not Functioning">
      <formula>LEFT(D392,LEN("Not Functioning"))="Not Functioning"</formula>
    </cfRule>
    <cfRule type="containsText" dxfId="1525" priority="2190" operator="containsText" text="Functioning">
      <formula>NOT(ISERROR(SEARCH("Functioning",D392)))</formula>
    </cfRule>
  </conditionalFormatting>
  <conditionalFormatting sqref="D393">
    <cfRule type="beginsWith" dxfId="1524" priority="2185" stopIfTrue="1" operator="beginsWith" text="Functioning At Risk">
      <formula>LEFT(D393,LEN("Functioning At Risk"))="Functioning At Risk"</formula>
    </cfRule>
    <cfRule type="beginsWith" dxfId="1523" priority="2186" stopIfTrue="1" operator="beginsWith" text="Not Functioning">
      <formula>LEFT(D393,LEN("Not Functioning"))="Not Functioning"</formula>
    </cfRule>
    <cfRule type="containsText" dxfId="1522" priority="2187" operator="containsText" text="Functioning">
      <formula>NOT(ISERROR(SEARCH("Functioning",D393)))</formula>
    </cfRule>
  </conditionalFormatting>
  <conditionalFormatting sqref="B392">
    <cfRule type="beginsWith" dxfId="1521" priority="2182" stopIfTrue="1" operator="beginsWith" text="Functioning At Risk">
      <formula>LEFT(B392,LEN("Functioning At Risk"))="Functioning At Risk"</formula>
    </cfRule>
    <cfRule type="beginsWith" dxfId="1520" priority="2183" stopIfTrue="1" operator="beginsWith" text="Not Functioning">
      <formula>LEFT(B392,LEN("Not Functioning"))="Not Functioning"</formula>
    </cfRule>
    <cfRule type="containsText" dxfId="1519" priority="2184" operator="containsText" text="Functioning">
      <formula>NOT(ISERROR(SEARCH("Functioning",B392)))</formula>
    </cfRule>
  </conditionalFormatting>
  <conditionalFormatting sqref="B368">
    <cfRule type="beginsWith" dxfId="1518" priority="2176" stopIfTrue="1" operator="beginsWith" text="Functioning At Risk">
      <formula>LEFT(B368,LEN("Functioning At Risk"))="Functioning At Risk"</formula>
    </cfRule>
    <cfRule type="beginsWith" dxfId="1517" priority="2177" stopIfTrue="1" operator="beginsWith" text="Not Functioning">
      <formula>LEFT(B368,LEN("Not Functioning"))="Not Functioning"</formula>
    </cfRule>
    <cfRule type="containsText" dxfId="1516" priority="2178" operator="containsText" text="Functioning">
      <formula>NOT(ISERROR(SEARCH("Functioning",B368)))</formula>
    </cfRule>
  </conditionalFormatting>
  <conditionalFormatting sqref="I428:I432 B426:B427 D416 B419 A400:B400 H402:I403 H400:I400 H398:K399 A402:B402 A428:A432 D408:D410 B423:B424 A403 D428:D431 D400:D403 D419:D423">
    <cfRule type="beginsWith" dxfId="1515" priority="2170" stopIfTrue="1" operator="beginsWith" text="Functioning At Risk">
      <formula>LEFT(A398,LEN("Functioning At Risk"))="Functioning At Risk"</formula>
    </cfRule>
    <cfRule type="beginsWith" dxfId="1514" priority="2171" stopIfTrue="1" operator="beginsWith" text="Not Functioning">
      <formula>LEFT(A398,LEN("Not Functioning"))="Not Functioning"</formula>
    </cfRule>
    <cfRule type="containsText" dxfId="1513" priority="2172" operator="containsText" text="Functioning">
      <formula>NOT(ISERROR(SEARCH("Functioning",A398)))</formula>
    </cfRule>
  </conditionalFormatting>
  <conditionalFormatting sqref="D411">
    <cfRule type="beginsWith" dxfId="1512" priority="2164" stopIfTrue="1" operator="beginsWith" text="Functioning At Risk">
      <formula>LEFT(D411,LEN("Functioning At Risk"))="Functioning At Risk"</formula>
    </cfRule>
    <cfRule type="beginsWith" dxfId="1511" priority="2165" stopIfTrue="1" operator="beginsWith" text="Not Functioning">
      <formula>LEFT(D411,LEN("Not Functioning"))="Not Functioning"</formula>
    </cfRule>
    <cfRule type="containsText" dxfId="1510" priority="2166" operator="containsText" text="Functioning">
      <formula>NOT(ISERROR(SEARCH("Functioning",D411)))</formula>
    </cfRule>
  </conditionalFormatting>
  <conditionalFormatting sqref="D417">
    <cfRule type="beginsWith" dxfId="1509" priority="2161" stopIfTrue="1" operator="beginsWith" text="Functioning At Risk">
      <formula>LEFT(D417,LEN("Functioning At Risk"))="Functioning At Risk"</formula>
    </cfRule>
    <cfRule type="beginsWith" dxfId="1508" priority="2162" stopIfTrue="1" operator="beginsWith" text="Not Functioning">
      <formula>LEFT(D417,LEN("Not Functioning"))="Not Functioning"</formula>
    </cfRule>
    <cfRule type="containsText" dxfId="1507" priority="2163" operator="containsText" text="Functioning">
      <formula>NOT(ISERROR(SEARCH("Functioning",D417)))</formula>
    </cfRule>
  </conditionalFormatting>
  <conditionalFormatting sqref="D418">
    <cfRule type="beginsWith" dxfId="1506" priority="2158" stopIfTrue="1" operator="beginsWith" text="Functioning At Risk">
      <formula>LEFT(D418,LEN("Functioning At Risk"))="Functioning At Risk"</formula>
    </cfRule>
    <cfRule type="beginsWith" dxfId="1505" priority="2159" stopIfTrue="1" operator="beginsWith" text="Not Functioning">
      <formula>LEFT(D418,LEN("Not Functioning"))="Not Functioning"</formula>
    </cfRule>
    <cfRule type="containsText" dxfId="1504" priority="2160" operator="containsText" text="Functioning">
      <formula>NOT(ISERROR(SEARCH("Functioning",D418)))</formula>
    </cfRule>
  </conditionalFormatting>
  <conditionalFormatting sqref="D412:D415">
    <cfRule type="beginsWith" dxfId="1503" priority="2155" stopIfTrue="1" operator="beginsWith" text="Functioning At Risk">
      <formula>LEFT(D412,LEN("Functioning At Risk"))="Functioning At Risk"</formula>
    </cfRule>
    <cfRule type="beginsWith" dxfId="1502" priority="2156" stopIfTrue="1" operator="beginsWith" text="Not Functioning">
      <formula>LEFT(D412,LEN("Not Functioning"))="Not Functioning"</formula>
    </cfRule>
    <cfRule type="containsText" dxfId="1501" priority="2157" operator="containsText" text="Functioning">
      <formula>NOT(ISERROR(SEARCH("Functioning",D412)))</formula>
    </cfRule>
  </conditionalFormatting>
  <conditionalFormatting sqref="A424">
    <cfRule type="beginsWith" dxfId="1500" priority="2152" stopIfTrue="1" operator="beginsWith" text="Functioning At Risk">
      <formula>LEFT(A424,LEN("Functioning At Risk"))="Functioning At Risk"</formula>
    </cfRule>
    <cfRule type="beginsWith" dxfId="1499" priority="2153" stopIfTrue="1" operator="beginsWith" text="Not Functioning">
      <formula>LEFT(A424,LEN("Not Functioning"))="Not Functioning"</formula>
    </cfRule>
    <cfRule type="containsText" dxfId="1498" priority="2154" operator="containsText" text="Functioning">
      <formula>NOT(ISERROR(SEARCH("Functioning",A424)))</formula>
    </cfRule>
  </conditionalFormatting>
  <conditionalFormatting sqref="H424">
    <cfRule type="beginsWith" dxfId="1497" priority="2149" stopIfTrue="1" operator="beginsWith" text="Functioning At Risk">
      <formula>LEFT(H424,LEN("Functioning At Risk"))="Functioning At Risk"</formula>
    </cfRule>
    <cfRule type="beginsWith" dxfId="1496" priority="2150" stopIfTrue="1" operator="beginsWith" text="Not Functioning">
      <formula>LEFT(H424,LEN("Not Functioning"))="Not Functioning"</formula>
    </cfRule>
    <cfRule type="containsText" dxfId="1495" priority="2151" operator="containsText" text="Functioning">
      <formula>NOT(ISERROR(SEARCH("Functioning",H424)))</formula>
    </cfRule>
  </conditionalFormatting>
  <conditionalFormatting sqref="I424">
    <cfRule type="beginsWith" dxfId="1494" priority="2146" stopIfTrue="1" operator="beginsWith" text="Functioning At Risk">
      <formula>LEFT(I424,LEN("Functioning At Risk"))="Functioning At Risk"</formula>
    </cfRule>
    <cfRule type="beginsWith" dxfId="1493" priority="2147" stopIfTrue="1" operator="beginsWith" text="Not Functioning">
      <formula>LEFT(I424,LEN("Not Functioning"))="Not Functioning"</formula>
    </cfRule>
    <cfRule type="containsText" dxfId="1492" priority="2148" operator="containsText" text="Functioning">
      <formula>NOT(ISERROR(SEARCH("Functioning",I424)))</formula>
    </cfRule>
  </conditionalFormatting>
  <conditionalFormatting sqref="D432">
    <cfRule type="beginsWith" dxfId="1491" priority="2143" stopIfTrue="1" operator="beginsWith" text="Functioning At Risk">
      <formula>LEFT(D432,LEN("Functioning At Risk"))="Functioning At Risk"</formula>
    </cfRule>
    <cfRule type="beginsWith" dxfId="1490" priority="2144" stopIfTrue="1" operator="beginsWith" text="Not Functioning">
      <formula>LEFT(D432,LEN("Not Functioning"))="Not Functioning"</formula>
    </cfRule>
    <cfRule type="containsText" dxfId="1489" priority="2145" operator="containsText" text="Functioning">
      <formula>NOT(ISERROR(SEARCH("Functioning",D432)))</formula>
    </cfRule>
  </conditionalFormatting>
  <conditionalFormatting sqref="D433">
    <cfRule type="beginsWith" dxfId="1488" priority="2140" stopIfTrue="1" operator="beginsWith" text="Functioning At Risk">
      <formula>LEFT(D433,LEN("Functioning At Risk"))="Functioning At Risk"</formula>
    </cfRule>
    <cfRule type="beginsWith" dxfId="1487" priority="2141" stopIfTrue="1" operator="beginsWith" text="Not Functioning">
      <formula>LEFT(D433,LEN("Not Functioning"))="Not Functioning"</formula>
    </cfRule>
    <cfRule type="containsText" dxfId="1486" priority="2142" operator="containsText" text="Functioning">
      <formula>NOT(ISERROR(SEARCH("Functioning",D433)))</formula>
    </cfRule>
  </conditionalFormatting>
  <conditionalFormatting sqref="B432">
    <cfRule type="beginsWith" dxfId="1485" priority="2137" stopIfTrue="1" operator="beginsWith" text="Functioning At Risk">
      <formula>LEFT(B432,LEN("Functioning At Risk"))="Functioning At Risk"</formula>
    </cfRule>
    <cfRule type="beginsWith" dxfId="1484" priority="2138" stopIfTrue="1" operator="beginsWith" text="Not Functioning">
      <formula>LEFT(B432,LEN("Not Functioning"))="Not Functioning"</formula>
    </cfRule>
    <cfRule type="containsText" dxfId="1483" priority="2139" operator="containsText" text="Functioning">
      <formula>NOT(ISERROR(SEARCH("Functioning",B432)))</formula>
    </cfRule>
  </conditionalFormatting>
  <conditionalFormatting sqref="B408">
    <cfRule type="beginsWith" dxfId="1482" priority="2131" stopIfTrue="1" operator="beginsWith" text="Functioning At Risk">
      <formula>LEFT(B408,LEN("Functioning At Risk"))="Functioning At Risk"</formula>
    </cfRule>
    <cfRule type="beginsWith" dxfId="1481" priority="2132" stopIfTrue="1" operator="beginsWith" text="Not Functioning">
      <formula>LEFT(B408,LEN("Not Functioning"))="Not Functioning"</formula>
    </cfRule>
    <cfRule type="containsText" dxfId="1480" priority="2133" operator="containsText" text="Functioning">
      <formula>NOT(ISERROR(SEARCH("Functioning",B408)))</formula>
    </cfRule>
  </conditionalFormatting>
  <conditionalFormatting sqref="E233">
    <cfRule type="beginsWith" dxfId="1479" priority="1951" stopIfTrue="1" operator="beginsWith" text="Functioning At Risk">
      <formula>LEFT(E233,LEN("Functioning At Risk"))="Functioning At Risk"</formula>
    </cfRule>
    <cfRule type="beginsWith" dxfId="1478" priority="1952" stopIfTrue="1" operator="beginsWith" text="Not Functioning">
      <formula>LEFT(E233,LEN("Not Functioning"))="Not Functioning"</formula>
    </cfRule>
    <cfRule type="containsText" dxfId="1477" priority="1953" operator="containsText" text="Functioning">
      <formula>NOT(ISERROR(SEARCH("Functioning",E233)))</formula>
    </cfRule>
  </conditionalFormatting>
  <conditionalFormatting sqref="E154 E122:E123 E146">
    <cfRule type="beginsWith" dxfId="1476" priority="2020" stopIfTrue="1" operator="beginsWith" text="Functioning At Risk">
      <formula>LEFT(E122,LEN("Functioning At Risk"))="Functioning At Risk"</formula>
    </cfRule>
    <cfRule type="beginsWith" dxfId="1475" priority="2021" stopIfTrue="1" operator="beginsWith" text="Not Functioning">
      <formula>LEFT(E122,LEN("Not Functioning"))="Not Functioning"</formula>
    </cfRule>
    <cfRule type="containsText" dxfId="1474" priority="2022" operator="containsText" text="Functioning">
      <formula>NOT(ISERROR(SEARCH("Functioning",E122)))</formula>
    </cfRule>
  </conditionalFormatting>
  <conditionalFormatting sqref="E37 E5:E6 E29">
    <cfRule type="beginsWith" dxfId="1473" priority="2119" stopIfTrue="1" operator="beginsWith" text="Functioning At Risk">
      <formula>LEFT(E5,LEN("Functioning At Risk"))="Functioning At Risk"</formula>
    </cfRule>
    <cfRule type="beginsWith" dxfId="1472" priority="2120" stopIfTrue="1" operator="beginsWith" text="Not Functioning">
      <formula>LEFT(E5,LEN("Not Functioning"))="Not Functioning"</formula>
    </cfRule>
    <cfRule type="containsText" dxfId="1471" priority="2121" operator="containsText" text="Functioning">
      <formula>NOT(ISERROR(SEARCH("Functioning",E5)))</formula>
    </cfRule>
  </conditionalFormatting>
  <conditionalFormatting sqref="E38">
    <cfRule type="beginsWith" dxfId="1470" priority="2116" stopIfTrue="1" operator="beginsWith" text="Functioning At Risk">
      <formula>LEFT(E38,LEN("Functioning At Risk"))="Functioning At Risk"</formula>
    </cfRule>
    <cfRule type="beginsWith" dxfId="1469" priority="2117" stopIfTrue="1" operator="beginsWith" text="Not Functioning">
      <formula>LEFT(E38,LEN("Not Functioning"))="Not Functioning"</formula>
    </cfRule>
    <cfRule type="containsText" dxfId="1468" priority="2118" operator="containsText" text="Functioning">
      <formula>NOT(ISERROR(SEARCH("Functioning",E38)))</formula>
    </cfRule>
  </conditionalFormatting>
  <conditionalFormatting sqref="E29">
    <cfRule type="expression" dxfId="1467" priority="2111">
      <formula>B1048488="Level 4 - Physicochemical"</formula>
    </cfRule>
    <cfRule type="expression" dxfId="1466" priority="2115">
      <formula>B1048488="Level 5 - Biology"</formula>
    </cfRule>
  </conditionalFormatting>
  <conditionalFormatting sqref="E31">
    <cfRule type="expression" dxfId="1465" priority="2110">
      <formula>B1048488="Level 4 - Physicochemical"</formula>
    </cfRule>
    <cfRule type="expression" dxfId="1464" priority="2114">
      <formula>B1048488="Level 5 - Biology"</formula>
    </cfRule>
  </conditionalFormatting>
  <conditionalFormatting sqref="E32">
    <cfRule type="expression" dxfId="1463" priority="2109">
      <formula>B1048488="Level 4 - Physicochemical"</formula>
    </cfRule>
    <cfRule type="expression" dxfId="1462" priority="2113">
      <formula>B1048488="Level 5 - Biology"</formula>
    </cfRule>
  </conditionalFormatting>
  <conditionalFormatting sqref="E38">
    <cfRule type="expression" dxfId="1461" priority="2112">
      <formula>B1048488="Level 5 - Biology"</formula>
    </cfRule>
  </conditionalFormatting>
  <conditionalFormatting sqref="E30">
    <cfRule type="expression" dxfId="1460" priority="2125">
      <formula>B1048489="Level 4 - Physicochemical"</formula>
    </cfRule>
    <cfRule type="expression" dxfId="1459" priority="2126">
      <formula>B1048489="Level 5 - Biology"</formula>
    </cfRule>
  </conditionalFormatting>
  <conditionalFormatting sqref="E37">
    <cfRule type="expression" dxfId="1458" priority="2127">
      <formula>B1048490="Level 5 - Biology"</formula>
    </cfRule>
  </conditionalFormatting>
  <conditionalFormatting sqref="E27:E28">
    <cfRule type="beginsWith" dxfId="1457" priority="2103" stopIfTrue="1" operator="beginsWith" text="Functioning At Risk">
      <formula>LEFT(E27,LEN("Functioning At Risk"))="Functioning At Risk"</formula>
    </cfRule>
    <cfRule type="beginsWith" dxfId="1456" priority="2104" stopIfTrue="1" operator="beginsWith" text="Not Functioning">
      <formula>LEFT(E27,LEN("Not Functioning"))="Not Functioning"</formula>
    </cfRule>
    <cfRule type="containsText" dxfId="1455" priority="2105" operator="containsText" text="Functioning">
      <formula>NOT(ISERROR(SEARCH("Functioning",E27)))</formula>
    </cfRule>
  </conditionalFormatting>
  <conditionalFormatting sqref="E36">
    <cfRule type="expression" dxfId="1454" priority="2098">
      <formula>B1048418="Level 5 - Biology"</formula>
    </cfRule>
  </conditionalFormatting>
  <conditionalFormatting sqref="E33:E36">
    <cfRule type="beginsWith" dxfId="1453" priority="2095" stopIfTrue="1" operator="beginsWith" text="Functioning At Risk">
      <formula>LEFT(E33,LEN("Functioning At Risk"))="Functioning At Risk"</formula>
    </cfRule>
    <cfRule type="beginsWith" dxfId="1452" priority="2096" stopIfTrue="1" operator="beginsWith" text="Not Functioning">
      <formula>LEFT(E33,LEN("Not Functioning"))="Not Functioning"</formula>
    </cfRule>
    <cfRule type="containsText" dxfId="1451" priority="2097" operator="containsText" text="Functioning">
      <formula>NOT(ISERROR(SEARCH("Functioning",E33)))</formula>
    </cfRule>
  </conditionalFormatting>
  <conditionalFormatting sqref="E33:E35">
    <cfRule type="expression" dxfId="1450" priority="2099">
      <formula>B1048417="Level 5 - Biology"</formula>
    </cfRule>
  </conditionalFormatting>
  <conditionalFormatting sqref="E76 E44:E45 E68">
    <cfRule type="beginsWith" dxfId="1449" priority="2086" stopIfTrue="1" operator="beginsWith" text="Functioning At Risk">
      <formula>LEFT(E44,LEN("Functioning At Risk"))="Functioning At Risk"</formula>
    </cfRule>
    <cfRule type="beginsWith" dxfId="1448" priority="2087" stopIfTrue="1" operator="beginsWith" text="Not Functioning">
      <formula>LEFT(E44,LEN("Not Functioning"))="Not Functioning"</formula>
    </cfRule>
    <cfRule type="containsText" dxfId="1447" priority="2088" operator="containsText" text="Functioning">
      <formula>NOT(ISERROR(SEARCH("Functioning",E44)))</formula>
    </cfRule>
  </conditionalFormatting>
  <conditionalFormatting sqref="E77">
    <cfRule type="beginsWith" dxfId="1446" priority="2083" stopIfTrue="1" operator="beginsWith" text="Functioning At Risk">
      <formula>LEFT(E77,LEN("Functioning At Risk"))="Functioning At Risk"</formula>
    </cfRule>
    <cfRule type="beginsWith" dxfId="1445" priority="2084" stopIfTrue="1" operator="beginsWith" text="Not Functioning">
      <formula>LEFT(E77,LEN("Not Functioning"))="Not Functioning"</formula>
    </cfRule>
    <cfRule type="containsText" dxfId="1444" priority="2085" operator="containsText" text="Functioning">
      <formula>NOT(ISERROR(SEARCH("Functioning",E77)))</formula>
    </cfRule>
  </conditionalFormatting>
  <conditionalFormatting sqref="E68">
    <cfRule type="expression" dxfId="1443" priority="2078">
      <formula>B1048528="Level 4 - Physicochemical"</formula>
    </cfRule>
    <cfRule type="expression" dxfId="1442" priority="2082">
      <formula>B1048528="Level 5 - Biology"</formula>
    </cfRule>
  </conditionalFormatting>
  <conditionalFormatting sqref="E70">
    <cfRule type="expression" dxfId="1441" priority="2077">
      <formula>B1048528="Level 4 - Physicochemical"</formula>
    </cfRule>
    <cfRule type="expression" dxfId="1440" priority="2081">
      <formula>B1048528="Level 5 - Biology"</formula>
    </cfRule>
  </conditionalFormatting>
  <conditionalFormatting sqref="E71">
    <cfRule type="expression" dxfId="1439" priority="2076">
      <formula>B1048528="Level 4 - Physicochemical"</formula>
    </cfRule>
    <cfRule type="expression" dxfId="1438" priority="2080">
      <formula>B1048528="Level 5 - Biology"</formula>
    </cfRule>
  </conditionalFormatting>
  <conditionalFormatting sqref="E77">
    <cfRule type="expression" dxfId="1437" priority="2079">
      <formula>B1048528="Level 5 - Biology"</formula>
    </cfRule>
  </conditionalFormatting>
  <conditionalFormatting sqref="E69">
    <cfRule type="expression" dxfId="1436" priority="2092">
      <formula>B1048529="Level 4 - Physicochemical"</formula>
    </cfRule>
    <cfRule type="expression" dxfId="1435" priority="2093">
      <formula>B1048529="Level 5 - Biology"</formula>
    </cfRule>
  </conditionalFormatting>
  <conditionalFormatting sqref="E76">
    <cfRule type="expression" dxfId="1434" priority="2094">
      <formula>B1048530="Level 5 - Biology"</formula>
    </cfRule>
  </conditionalFormatting>
  <conditionalFormatting sqref="E66:E67">
    <cfRule type="beginsWith" dxfId="1433" priority="2070" stopIfTrue="1" operator="beginsWith" text="Functioning At Risk">
      <formula>LEFT(E66,LEN("Functioning At Risk"))="Functioning At Risk"</formula>
    </cfRule>
    <cfRule type="beginsWith" dxfId="1432" priority="2071" stopIfTrue="1" operator="beginsWith" text="Not Functioning">
      <formula>LEFT(E66,LEN("Not Functioning"))="Not Functioning"</formula>
    </cfRule>
    <cfRule type="containsText" dxfId="1431" priority="2072" operator="containsText" text="Functioning">
      <formula>NOT(ISERROR(SEARCH("Functioning",E66)))</formula>
    </cfRule>
  </conditionalFormatting>
  <conditionalFormatting sqref="E75">
    <cfRule type="expression" dxfId="1430" priority="2065">
      <formula>B1048458="Level 5 - Biology"</formula>
    </cfRule>
  </conditionalFormatting>
  <conditionalFormatting sqref="E72:E75">
    <cfRule type="beginsWith" dxfId="1429" priority="2062" stopIfTrue="1" operator="beginsWith" text="Functioning At Risk">
      <formula>LEFT(E72,LEN("Functioning At Risk"))="Functioning At Risk"</formula>
    </cfRule>
    <cfRule type="beginsWith" dxfId="1428" priority="2063" stopIfTrue="1" operator="beginsWith" text="Not Functioning">
      <formula>LEFT(E72,LEN("Not Functioning"))="Not Functioning"</formula>
    </cfRule>
    <cfRule type="containsText" dxfId="1427" priority="2064" operator="containsText" text="Functioning">
      <formula>NOT(ISERROR(SEARCH("Functioning",E72)))</formula>
    </cfRule>
  </conditionalFormatting>
  <conditionalFormatting sqref="E72:E74">
    <cfRule type="expression" dxfId="1426" priority="2066">
      <formula>B1048457="Level 5 - Biology"</formula>
    </cfRule>
  </conditionalFormatting>
  <conditionalFormatting sqref="E313">
    <cfRule type="beginsWith" dxfId="1425" priority="1885" stopIfTrue="1" operator="beginsWith" text="Functioning At Risk">
      <formula>LEFT(E313,LEN("Functioning At Risk"))="Functioning At Risk"</formula>
    </cfRule>
    <cfRule type="beginsWith" dxfId="1424" priority="1886" stopIfTrue="1" operator="beginsWith" text="Not Functioning">
      <formula>LEFT(E313,LEN("Not Functioning"))="Not Functioning"</formula>
    </cfRule>
    <cfRule type="containsText" dxfId="1423" priority="1887" operator="containsText" text="Functioning">
      <formula>NOT(ISERROR(SEARCH("Functioning",E313)))</formula>
    </cfRule>
  </conditionalFormatting>
  <conditionalFormatting sqref="E115 E83:E84 E107">
    <cfRule type="beginsWith" dxfId="1422" priority="2053" stopIfTrue="1" operator="beginsWith" text="Functioning At Risk">
      <formula>LEFT(E83,LEN("Functioning At Risk"))="Functioning At Risk"</formula>
    </cfRule>
    <cfRule type="beginsWith" dxfId="1421" priority="2054" stopIfTrue="1" operator="beginsWith" text="Not Functioning">
      <formula>LEFT(E83,LEN("Not Functioning"))="Not Functioning"</formula>
    </cfRule>
    <cfRule type="containsText" dxfId="1420" priority="2055" operator="containsText" text="Functioning">
      <formula>NOT(ISERROR(SEARCH("Functioning",E83)))</formula>
    </cfRule>
  </conditionalFormatting>
  <conditionalFormatting sqref="E116">
    <cfRule type="beginsWith" dxfId="1419" priority="2050" stopIfTrue="1" operator="beginsWith" text="Functioning At Risk">
      <formula>LEFT(E116,LEN("Functioning At Risk"))="Functioning At Risk"</formula>
    </cfRule>
    <cfRule type="beginsWith" dxfId="1418" priority="2051" stopIfTrue="1" operator="beginsWith" text="Not Functioning">
      <formula>LEFT(E116,LEN("Not Functioning"))="Not Functioning"</formula>
    </cfRule>
    <cfRule type="containsText" dxfId="1417" priority="2052" operator="containsText" text="Functioning">
      <formula>NOT(ISERROR(SEARCH("Functioning",E116)))</formula>
    </cfRule>
  </conditionalFormatting>
  <conditionalFormatting sqref="E107">
    <cfRule type="expression" dxfId="1416" priority="2045">
      <formula>B3="Level 4 - Physicochemical"</formula>
    </cfRule>
    <cfRule type="expression" dxfId="1415" priority="2049">
      <formula>B3="Level 5 - Biology"</formula>
    </cfRule>
  </conditionalFormatting>
  <conditionalFormatting sqref="E109">
    <cfRule type="expression" dxfId="1414" priority="2044">
      <formula>B3="Level 4 - Physicochemical"</formula>
    </cfRule>
    <cfRule type="expression" dxfId="1413" priority="2048">
      <formula>B3="Level 5 - Biology"</formula>
    </cfRule>
  </conditionalFormatting>
  <conditionalFormatting sqref="E110">
    <cfRule type="expression" dxfId="1412" priority="2043">
      <formula>B3="Level 4 - Physicochemical"</formula>
    </cfRule>
    <cfRule type="expression" dxfId="1411" priority="2047">
      <formula>B3="Level 5 - Biology"</formula>
    </cfRule>
  </conditionalFormatting>
  <conditionalFormatting sqref="E116">
    <cfRule type="expression" dxfId="1410" priority="2046">
      <formula>B3="Level 5 - Biology"</formula>
    </cfRule>
  </conditionalFormatting>
  <conditionalFormatting sqref="E108">
    <cfRule type="expression" dxfId="1409" priority="2059">
      <formula>B4="Level 4 - Physicochemical"</formula>
    </cfRule>
    <cfRule type="expression" dxfId="1408" priority="2060">
      <formula>B4="Level 5 - Biology"</formula>
    </cfRule>
  </conditionalFormatting>
  <conditionalFormatting sqref="E115">
    <cfRule type="expression" dxfId="1407" priority="2061">
      <formula>#REF!="Level 5 - Biology"</formula>
    </cfRule>
  </conditionalFormatting>
  <conditionalFormatting sqref="E105:E106">
    <cfRule type="beginsWith" dxfId="1406" priority="2037" stopIfTrue="1" operator="beginsWith" text="Functioning At Risk">
      <formula>LEFT(E105,LEN("Functioning At Risk"))="Functioning At Risk"</formula>
    </cfRule>
    <cfRule type="beginsWith" dxfId="1405" priority="2038" stopIfTrue="1" operator="beginsWith" text="Not Functioning">
      <formula>LEFT(E105,LEN("Not Functioning"))="Not Functioning"</formula>
    </cfRule>
    <cfRule type="containsText" dxfId="1404" priority="2039" operator="containsText" text="Functioning">
      <formula>NOT(ISERROR(SEARCH("Functioning",E105)))</formula>
    </cfRule>
  </conditionalFormatting>
  <conditionalFormatting sqref="E114">
    <cfRule type="expression" dxfId="1403" priority="2032">
      <formula>B1048498="Level 5 - Biology"</formula>
    </cfRule>
  </conditionalFormatting>
  <conditionalFormatting sqref="E111:E114">
    <cfRule type="beginsWith" dxfId="1402" priority="2029" stopIfTrue="1" operator="beginsWith" text="Functioning At Risk">
      <formula>LEFT(E111,LEN("Functioning At Risk"))="Functioning At Risk"</formula>
    </cfRule>
    <cfRule type="beginsWith" dxfId="1401" priority="2030" stopIfTrue="1" operator="beginsWith" text="Not Functioning">
      <formula>LEFT(E111,LEN("Not Functioning"))="Not Functioning"</formula>
    </cfRule>
    <cfRule type="containsText" dxfId="1400" priority="2031" operator="containsText" text="Functioning">
      <formula>NOT(ISERROR(SEARCH("Functioning",E111)))</formula>
    </cfRule>
  </conditionalFormatting>
  <conditionalFormatting sqref="E111:E113">
    <cfRule type="expression" dxfId="1399" priority="2033">
      <formula>B1048497="Level 5 - Biology"</formula>
    </cfRule>
  </conditionalFormatting>
  <conditionalFormatting sqref="E352 E320:E321 E344">
    <cfRule type="beginsWith" dxfId="1398" priority="1855" stopIfTrue="1" operator="beginsWith" text="Functioning At Risk">
      <formula>LEFT(E320,LEN("Functioning At Risk"))="Functioning At Risk"</formula>
    </cfRule>
    <cfRule type="beginsWith" dxfId="1397" priority="1856" stopIfTrue="1" operator="beginsWith" text="Not Functioning">
      <formula>LEFT(E320,LEN("Not Functioning"))="Not Functioning"</formula>
    </cfRule>
    <cfRule type="containsText" dxfId="1396" priority="1857" operator="containsText" text="Functioning">
      <formula>NOT(ISERROR(SEARCH("Functioning",E320)))</formula>
    </cfRule>
  </conditionalFormatting>
  <conditionalFormatting sqref="E155">
    <cfRule type="beginsWith" dxfId="1395" priority="2017" stopIfTrue="1" operator="beginsWith" text="Functioning At Risk">
      <formula>LEFT(E155,LEN("Functioning At Risk"))="Functioning At Risk"</formula>
    </cfRule>
    <cfRule type="beginsWith" dxfId="1394" priority="2018" stopIfTrue="1" operator="beginsWith" text="Not Functioning">
      <formula>LEFT(E155,LEN("Not Functioning"))="Not Functioning"</formula>
    </cfRule>
    <cfRule type="containsText" dxfId="1393" priority="2019" operator="containsText" text="Functioning">
      <formula>NOT(ISERROR(SEARCH("Functioning",E155)))</formula>
    </cfRule>
  </conditionalFormatting>
  <conditionalFormatting sqref="E146">
    <cfRule type="expression" dxfId="1392" priority="2012">
      <formula>B42="Level 4 - Physicochemical"</formula>
    </cfRule>
    <cfRule type="expression" dxfId="1391" priority="2016">
      <formula>B42="Level 5 - Biology"</formula>
    </cfRule>
  </conditionalFormatting>
  <conditionalFormatting sqref="E148">
    <cfRule type="expression" dxfId="1390" priority="2011">
      <formula>B42="Level 4 - Physicochemical"</formula>
    </cfRule>
    <cfRule type="expression" dxfId="1389" priority="2015">
      <formula>B42="Level 5 - Biology"</formula>
    </cfRule>
  </conditionalFormatting>
  <conditionalFormatting sqref="E149">
    <cfRule type="expression" dxfId="1388" priority="2010">
      <formula>B42="Level 4 - Physicochemical"</formula>
    </cfRule>
    <cfRule type="expression" dxfId="1387" priority="2014">
      <formula>B42="Level 5 - Biology"</formula>
    </cfRule>
  </conditionalFormatting>
  <conditionalFormatting sqref="E155">
    <cfRule type="expression" dxfId="1386" priority="2013">
      <formula>B42="Level 5 - Biology"</formula>
    </cfRule>
  </conditionalFormatting>
  <conditionalFormatting sqref="E147">
    <cfRule type="expression" dxfId="1385" priority="2026">
      <formula>B43="Level 4 - Physicochemical"</formula>
    </cfRule>
    <cfRule type="expression" dxfId="1384" priority="2027">
      <formula>B43="Level 5 - Biology"</formula>
    </cfRule>
  </conditionalFormatting>
  <conditionalFormatting sqref="E154">
    <cfRule type="expression" dxfId="1383" priority="2028">
      <formula>#REF!="Level 5 - Biology"</formula>
    </cfRule>
  </conditionalFormatting>
  <conditionalFormatting sqref="E144:E145">
    <cfRule type="beginsWith" dxfId="1382" priority="2004" stopIfTrue="1" operator="beginsWith" text="Functioning At Risk">
      <formula>LEFT(E144,LEN("Functioning At Risk"))="Functioning At Risk"</formula>
    </cfRule>
    <cfRule type="beginsWith" dxfId="1381" priority="2005" stopIfTrue="1" operator="beginsWith" text="Not Functioning">
      <formula>LEFT(E144,LEN("Not Functioning"))="Not Functioning"</formula>
    </cfRule>
    <cfRule type="containsText" dxfId="1380" priority="2006" operator="containsText" text="Functioning">
      <formula>NOT(ISERROR(SEARCH("Functioning",E144)))</formula>
    </cfRule>
  </conditionalFormatting>
  <conditionalFormatting sqref="E153">
    <cfRule type="expression" dxfId="1379" priority="1999">
      <formula>B1048538="Level 5 - Biology"</formula>
    </cfRule>
  </conditionalFormatting>
  <conditionalFormatting sqref="E150:E153">
    <cfRule type="beginsWith" dxfId="1378" priority="1996" stopIfTrue="1" operator="beginsWith" text="Functioning At Risk">
      <formula>LEFT(E150,LEN("Functioning At Risk"))="Functioning At Risk"</formula>
    </cfRule>
    <cfRule type="beginsWith" dxfId="1377" priority="1997" stopIfTrue="1" operator="beginsWith" text="Not Functioning">
      <formula>LEFT(E150,LEN("Not Functioning"))="Not Functioning"</formula>
    </cfRule>
    <cfRule type="containsText" dxfId="1376" priority="1998" operator="containsText" text="Functioning">
      <formula>NOT(ISERROR(SEARCH("Functioning",E150)))</formula>
    </cfRule>
  </conditionalFormatting>
  <conditionalFormatting sqref="E150:E152">
    <cfRule type="expression" dxfId="1375" priority="2000">
      <formula>B1048537="Level 5 - Biology"</formula>
    </cfRule>
  </conditionalFormatting>
  <conditionalFormatting sqref="E193 E161:E162 E185">
    <cfRule type="beginsWith" dxfId="1374" priority="1987" stopIfTrue="1" operator="beginsWith" text="Functioning At Risk">
      <formula>LEFT(E161,LEN("Functioning At Risk"))="Functioning At Risk"</formula>
    </cfRule>
    <cfRule type="beginsWith" dxfId="1373" priority="1988" stopIfTrue="1" operator="beginsWith" text="Not Functioning">
      <formula>LEFT(E161,LEN("Not Functioning"))="Not Functioning"</formula>
    </cfRule>
    <cfRule type="containsText" dxfId="1372" priority="1989" operator="containsText" text="Functioning">
      <formula>NOT(ISERROR(SEARCH("Functioning",E161)))</formula>
    </cfRule>
  </conditionalFormatting>
  <conditionalFormatting sqref="E194">
    <cfRule type="beginsWith" dxfId="1371" priority="1984" stopIfTrue="1" operator="beginsWith" text="Functioning At Risk">
      <formula>LEFT(E194,LEN("Functioning At Risk"))="Functioning At Risk"</formula>
    </cfRule>
    <cfRule type="beginsWith" dxfId="1370" priority="1985" stopIfTrue="1" operator="beginsWith" text="Not Functioning">
      <formula>LEFT(E194,LEN("Not Functioning"))="Not Functioning"</formula>
    </cfRule>
    <cfRule type="containsText" dxfId="1369" priority="1986" operator="containsText" text="Functioning">
      <formula>NOT(ISERROR(SEARCH("Functioning",E194)))</formula>
    </cfRule>
  </conditionalFormatting>
  <conditionalFormatting sqref="E185">
    <cfRule type="expression" dxfId="1368" priority="1979">
      <formula>B81="Level 4 - Physicochemical"</formula>
    </cfRule>
    <cfRule type="expression" dxfId="1367" priority="1983">
      <formula>B81="Level 5 - Biology"</formula>
    </cfRule>
  </conditionalFormatting>
  <conditionalFormatting sqref="E187">
    <cfRule type="expression" dxfId="1366" priority="1978">
      <formula>B81="Level 4 - Physicochemical"</formula>
    </cfRule>
    <cfRule type="expression" dxfId="1365" priority="1982">
      <formula>B81="Level 5 - Biology"</formula>
    </cfRule>
  </conditionalFormatting>
  <conditionalFormatting sqref="E188">
    <cfRule type="expression" dxfId="1364" priority="1977">
      <formula>B81="Level 4 - Physicochemical"</formula>
    </cfRule>
    <cfRule type="expression" dxfId="1363" priority="1981">
      <formula>B81="Level 5 - Biology"</formula>
    </cfRule>
  </conditionalFormatting>
  <conditionalFormatting sqref="E194">
    <cfRule type="expression" dxfId="1362" priority="1980">
      <formula>B81="Level 5 - Biology"</formula>
    </cfRule>
  </conditionalFormatting>
  <conditionalFormatting sqref="E186">
    <cfRule type="expression" dxfId="1361" priority="1993">
      <formula>B82="Level 4 - Physicochemical"</formula>
    </cfRule>
    <cfRule type="expression" dxfId="1360" priority="1994">
      <formula>B82="Level 5 - Biology"</formula>
    </cfRule>
  </conditionalFormatting>
  <conditionalFormatting sqref="E193">
    <cfRule type="expression" dxfId="1359" priority="1995">
      <formula>#REF!="Level 5 - Biology"</formula>
    </cfRule>
  </conditionalFormatting>
  <conditionalFormatting sqref="E183:E184">
    <cfRule type="beginsWith" dxfId="1358" priority="1971" stopIfTrue="1" operator="beginsWith" text="Functioning At Risk">
      <formula>LEFT(E183,LEN("Functioning At Risk"))="Functioning At Risk"</formula>
    </cfRule>
    <cfRule type="beginsWith" dxfId="1357" priority="1972" stopIfTrue="1" operator="beginsWith" text="Not Functioning">
      <formula>LEFT(E183,LEN("Not Functioning"))="Not Functioning"</formula>
    </cfRule>
    <cfRule type="containsText" dxfId="1356" priority="1973" operator="containsText" text="Functioning">
      <formula>NOT(ISERROR(SEARCH("Functioning",E183)))</formula>
    </cfRule>
  </conditionalFormatting>
  <conditionalFormatting sqref="E192">
    <cfRule type="expression" dxfId="1355" priority="1966">
      <formula>B10="Level 5 - Biology"</formula>
    </cfRule>
  </conditionalFormatting>
  <conditionalFormatting sqref="E189:E192">
    <cfRule type="beginsWith" dxfId="1354" priority="1963" stopIfTrue="1" operator="beginsWith" text="Functioning At Risk">
      <formula>LEFT(E189,LEN("Functioning At Risk"))="Functioning At Risk"</formula>
    </cfRule>
    <cfRule type="beginsWith" dxfId="1353" priority="1964" stopIfTrue="1" operator="beginsWith" text="Not Functioning">
      <formula>LEFT(E189,LEN("Not Functioning"))="Not Functioning"</formula>
    </cfRule>
    <cfRule type="containsText" dxfId="1352" priority="1965" operator="containsText" text="Functioning">
      <formula>NOT(ISERROR(SEARCH("Functioning",E189)))</formula>
    </cfRule>
  </conditionalFormatting>
  <conditionalFormatting sqref="E189:E191">
    <cfRule type="expression" dxfId="1351" priority="1967">
      <formula>B9="Level 5 - Biology"</formula>
    </cfRule>
  </conditionalFormatting>
  <conditionalFormatting sqref="E232 E200:E201 E224">
    <cfRule type="beginsWith" dxfId="1350" priority="1954" stopIfTrue="1" operator="beginsWith" text="Functioning At Risk">
      <formula>LEFT(E200,LEN("Functioning At Risk"))="Functioning At Risk"</formula>
    </cfRule>
    <cfRule type="beginsWith" dxfId="1349" priority="1955" stopIfTrue="1" operator="beginsWith" text="Not Functioning">
      <formula>LEFT(E200,LEN("Not Functioning"))="Not Functioning"</formula>
    </cfRule>
    <cfRule type="containsText" dxfId="1348" priority="1956" operator="containsText" text="Functioning">
      <formula>NOT(ISERROR(SEARCH("Functioning",E200)))</formula>
    </cfRule>
  </conditionalFormatting>
  <conditionalFormatting sqref="E224">
    <cfRule type="expression" dxfId="1347" priority="1946">
      <formula>B120="Level 4 - Physicochemical"</formula>
    </cfRule>
    <cfRule type="expression" dxfId="1346" priority="1950">
      <formula>B120="Level 5 - Biology"</formula>
    </cfRule>
  </conditionalFormatting>
  <conditionalFormatting sqref="E226">
    <cfRule type="expression" dxfId="1345" priority="1945">
      <formula>B120="Level 4 - Physicochemical"</formula>
    </cfRule>
    <cfRule type="expression" dxfId="1344" priority="1949">
      <formula>B120="Level 5 - Biology"</formula>
    </cfRule>
  </conditionalFormatting>
  <conditionalFormatting sqref="E227">
    <cfRule type="expression" dxfId="1343" priority="1944">
      <formula>B120="Level 4 - Physicochemical"</formula>
    </cfRule>
    <cfRule type="expression" dxfId="1342" priority="1948">
      <formula>B120="Level 5 - Biology"</formula>
    </cfRule>
  </conditionalFormatting>
  <conditionalFormatting sqref="E233">
    <cfRule type="expression" dxfId="1341" priority="1947">
      <formula>B120="Level 5 - Biology"</formula>
    </cfRule>
  </conditionalFormatting>
  <conditionalFormatting sqref="E225">
    <cfRule type="expression" dxfId="1340" priority="1960">
      <formula>B121="Level 4 - Physicochemical"</formula>
    </cfRule>
    <cfRule type="expression" dxfId="1339" priority="1961">
      <formula>B121="Level 5 - Biology"</formula>
    </cfRule>
  </conditionalFormatting>
  <conditionalFormatting sqref="E232">
    <cfRule type="expression" dxfId="1338" priority="1962">
      <formula>#REF!="Level 5 - Biology"</formula>
    </cfRule>
  </conditionalFormatting>
  <conditionalFormatting sqref="E222:E223">
    <cfRule type="beginsWith" dxfId="1337" priority="1938" stopIfTrue="1" operator="beginsWith" text="Functioning At Risk">
      <formula>LEFT(E222,LEN("Functioning At Risk"))="Functioning At Risk"</formula>
    </cfRule>
    <cfRule type="beginsWith" dxfId="1336" priority="1939" stopIfTrue="1" operator="beginsWith" text="Not Functioning">
      <formula>LEFT(E222,LEN("Not Functioning"))="Not Functioning"</formula>
    </cfRule>
    <cfRule type="containsText" dxfId="1335" priority="1940" operator="containsText" text="Functioning">
      <formula>NOT(ISERROR(SEARCH("Functioning",E222)))</formula>
    </cfRule>
  </conditionalFormatting>
  <conditionalFormatting sqref="E231">
    <cfRule type="expression" dxfId="1334" priority="1933">
      <formula>B49="Level 5 - Biology"</formula>
    </cfRule>
  </conditionalFormatting>
  <conditionalFormatting sqref="E228:E231">
    <cfRule type="beginsWith" dxfId="1333" priority="1930" stopIfTrue="1" operator="beginsWith" text="Functioning At Risk">
      <formula>LEFT(E228,LEN("Functioning At Risk"))="Functioning At Risk"</formula>
    </cfRule>
    <cfRule type="beginsWith" dxfId="1332" priority="1931" stopIfTrue="1" operator="beginsWith" text="Not Functioning">
      <formula>LEFT(E228,LEN("Not Functioning"))="Not Functioning"</formula>
    </cfRule>
    <cfRule type="containsText" dxfId="1331" priority="1932" operator="containsText" text="Functioning">
      <formula>NOT(ISERROR(SEARCH("Functioning",E228)))</formula>
    </cfRule>
  </conditionalFormatting>
  <conditionalFormatting sqref="E272 E240:E241 E264">
    <cfRule type="beginsWith" dxfId="1330" priority="1921" stopIfTrue="1" operator="beginsWith" text="Functioning At Risk">
      <formula>LEFT(E240,LEN("Functioning At Risk"))="Functioning At Risk"</formula>
    </cfRule>
    <cfRule type="beginsWith" dxfId="1329" priority="1922" stopIfTrue="1" operator="beginsWith" text="Not Functioning">
      <formula>LEFT(E240,LEN("Not Functioning"))="Not Functioning"</formula>
    </cfRule>
    <cfRule type="containsText" dxfId="1328" priority="1923" operator="containsText" text="Functioning">
      <formula>NOT(ISERROR(SEARCH("Functioning",E240)))</formula>
    </cfRule>
  </conditionalFormatting>
  <conditionalFormatting sqref="E273">
    <cfRule type="beginsWith" dxfId="1327" priority="1918" stopIfTrue="1" operator="beginsWith" text="Functioning At Risk">
      <formula>LEFT(E273,LEN("Functioning At Risk"))="Functioning At Risk"</formula>
    </cfRule>
    <cfRule type="beginsWith" dxfId="1326" priority="1919" stopIfTrue="1" operator="beginsWith" text="Not Functioning">
      <formula>LEFT(E273,LEN("Not Functioning"))="Not Functioning"</formula>
    </cfRule>
    <cfRule type="containsText" dxfId="1325" priority="1920" operator="containsText" text="Functioning">
      <formula>NOT(ISERROR(SEARCH("Functioning",E273)))</formula>
    </cfRule>
  </conditionalFormatting>
  <conditionalFormatting sqref="E264">
    <cfRule type="expression" dxfId="1324" priority="1913">
      <formula>B160="Level 4 - Physicochemical"</formula>
    </cfRule>
    <cfRule type="expression" dxfId="1323" priority="1917">
      <formula>B160="Level 5 - Biology"</formula>
    </cfRule>
  </conditionalFormatting>
  <conditionalFormatting sqref="E266">
    <cfRule type="expression" dxfId="1322" priority="1912">
      <formula>B160="Level 4 - Physicochemical"</formula>
    </cfRule>
    <cfRule type="expression" dxfId="1321" priority="1916">
      <formula>B160="Level 5 - Biology"</formula>
    </cfRule>
  </conditionalFormatting>
  <conditionalFormatting sqref="E267">
    <cfRule type="expression" dxfId="1320" priority="1911">
      <formula>B160="Level 4 - Physicochemical"</formula>
    </cfRule>
    <cfRule type="expression" dxfId="1319" priority="1915">
      <formula>B160="Level 5 - Biology"</formula>
    </cfRule>
  </conditionalFormatting>
  <conditionalFormatting sqref="E273">
    <cfRule type="expression" dxfId="1318" priority="1914">
      <formula>B160="Level 5 - Biology"</formula>
    </cfRule>
  </conditionalFormatting>
  <conditionalFormatting sqref="E265">
    <cfRule type="expression" dxfId="1317" priority="1927">
      <formula>#REF!="Level 4 - Physicochemical"</formula>
    </cfRule>
    <cfRule type="expression" dxfId="1316" priority="1928">
      <formula>#REF!="Level 5 - Biology"</formula>
    </cfRule>
  </conditionalFormatting>
  <conditionalFormatting sqref="E272">
    <cfRule type="expression" dxfId="1315" priority="1929">
      <formula>#REF!="Level 5 - Biology"</formula>
    </cfRule>
  </conditionalFormatting>
  <conditionalFormatting sqref="E262:E263">
    <cfRule type="beginsWith" dxfId="1314" priority="1905" stopIfTrue="1" operator="beginsWith" text="Functioning At Risk">
      <formula>LEFT(E262,LEN("Functioning At Risk"))="Functioning At Risk"</formula>
    </cfRule>
    <cfRule type="beginsWith" dxfId="1313" priority="1906" stopIfTrue="1" operator="beginsWith" text="Not Functioning">
      <formula>LEFT(E262,LEN("Not Functioning"))="Not Functioning"</formula>
    </cfRule>
    <cfRule type="containsText" dxfId="1312" priority="1907" operator="containsText" text="Functioning">
      <formula>NOT(ISERROR(SEARCH("Functioning",E262)))</formula>
    </cfRule>
  </conditionalFormatting>
  <conditionalFormatting sqref="E271">
    <cfRule type="expression" dxfId="1311" priority="1900">
      <formula>B90="Level 5 - Biology"</formula>
    </cfRule>
  </conditionalFormatting>
  <conditionalFormatting sqref="E268:E271">
    <cfRule type="beginsWith" dxfId="1310" priority="1897" stopIfTrue="1" operator="beginsWith" text="Functioning At Risk">
      <formula>LEFT(E268,LEN("Functioning At Risk"))="Functioning At Risk"</formula>
    </cfRule>
    <cfRule type="beginsWith" dxfId="1309" priority="1898" stopIfTrue="1" operator="beginsWith" text="Not Functioning">
      <formula>LEFT(E268,LEN("Not Functioning"))="Not Functioning"</formula>
    </cfRule>
    <cfRule type="containsText" dxfId="1308" priority="1899" operator="containsText" text="Functioning">
      <formula>NOT(ISERROR(SEARCH("Functioning",E268)))</formula>
    </cfRule>
  </conditionalFormatting>
  <conditionalFormatting sqref="E312 E280:E281 E304">
    <cfRule type="beginsWith" dxfId="1307" priority="1888" stopIfTrue="1" operator="beginsWith" text="Functioning At Risk">
      <formula>LEFT(E280,LEN("Functioning At Risk"))="Functioning At Risk"</formula>
    </cfRule>
    <cfRule type="beginsWith" dxfId="1306" priority="1889" stopIfTrue="1" operator="beginsWith" text="Not Functioning">
      <formula>LEFT(E280,LEN("Not Functioning"))="Not Functioning"</formula>
    </cfRule>
    <cfRule type="containsText" dxfId="1305" priority="1890" operator="containsText" text="Functioning">
      <formula>NOT(ISERROR(SEARCH("Functioning",E280)))</formula>
    </cfRule>
  </conditionalFormatting>
  <conditionalFormatting sqref="E304">
    <cfRule type="expression" dxfId="1304" priority="1880">
      <formula>#REF!="Level 4 - Physicochemical"</formula>
    </cfRule>
    <cfRule type="expression" dxfId="1303" priority="1884">
      <formula>#REF!="Level 5 - Biology"</formula>
    </cfRule>
  </conditionalFormatting>
  <conditionalFormatting sqref="E306">
    <cfRule type="expression" dxfId="1302" priority="1879">
      <formula>#REF!="Level 4 - Physicochemical"</formula>
    </cfRule>
    <cfRule type="expression" dxfId="1301" priority="1883">
      <formula>#REF!="Level 5 - Biology"</formula>
    </cfRule>
  </conditionalFormatting>
  <conditionalFormatting sqref="E307">
    <cfRule type="expression" dxfId="1300" priority="1878">
      <formula>#REF!="Level 4 - Physicochemical"</formula>
    </cfRule>
    <cfRule type="expression" dxfId="1299" priority="1882">
      <formula>#REF!="Level 5 - Biology"</formula>
    </cfRule>
  </conditionalFormatting>
  <conditionalFormatting sqref="E313">
    <cfRule type="expression" dxfId="1298" priority="1881">
      <formula>#REF!="Level 5 - Biology"</formula>
    </cfRule>
  </conditionalFormatting>
  <conditionalFormatting sqref="E305">
    <cfRule type="expression" dxfId="1297" priority="1894">
      <formula>#REF!="Level 4 - Physicochemical"</formula>
    </cfRule>
    <cfRule type="expression" dxfId="1296" priority="1895">
      <formula>#REF!="Level 5 - Biology"</formula>
    </cfRule>
  </conditionalFormatting>
  <conditionalFormatting sqref="E312">
    <cfRule type="expression" dxfId="1295" priority="1896">
      <formula>#REF!="Level 5 - Biology"</formula>
    </cfRule>
  </conditionalFormatting>
  <conditionalFormatting sqref="E302:E303">
    <cfRule type="beginsWith" dxfId="1294" priority="1872" stopIfTrue="1" operator="beginsWith" text="Functioning At Risk">
      <formula>LEFT(E302,LEN("Functioning At Risk"))="Functioning At Risk"</formula>
    </cfRule>
    <cfRule type="beginsWith" dxfId="1293" priority="1873" stopIfTrue="1" operator="beginsWith" text="Not Functioning">
      <formula>LEFT(E302,LEN("Not Functioning"))="Not Functioning"</formula>
    </cfRule>
    <cfRule type="containsText" dxfId="1292" priority="1874" operator="containsText" text="Functioning">
      <formula>NOT(ISERROR(SEARCH("Functioning",E302)))</formula>
    </cfRule>
  </conditionalFormatting>
  <conditionalFormatting sqref="E311">
    <cfRule type="expression" dxfId="1291" priority="1867">
      <formula>B130="Level 5 - Biology"</formula>
    </cfRule>
  </conditionalFormatting>
  <conditionalFormatting sqref="E308:E311">
    <cfRule type="beginsWith" dxfId="1290" priority="1864" stopIfTrue="1" operator="beginsWith" text="Functioning At Risk">
      <formula>LEFT(E308,LEN("Functioning At Risk"))="Functioning At Risk"</formula>
    </cfRule>
    <cfRule type="beginsWith" dxfId="1289" priority="1865" stopIfTrue="1" operator="beginsWith" text="Not Functioning">
      <formula>LEFT(E308,LEN("Not Functioning"))="Not Functioning"</formula>
    </cfRule>
    <cfRule type="containsText" dxfId="1288" priority="1866" operator="containsText" text="Functioning">
      <formula>NOT(ISERROR(SEARCH("Functioning",E308)))</formula>
    </cfRule>
  </conditionalFormatting>
  <conditionalFormatting sqref="E308:E310">
    <cfRule type="expression" dxfId="1287" priority="1868">
      <formula>B129="Level 5 - Biology"</formula>
    </cfRule>
  </conditionalFormatting>
  <conditionalFormatting sqref="E353">
    <cfRule type="beginsWith" dxfId="1286" priority="1852" stopIfTrue="1" operator="beginsWith" text="Functioning At Risk">
      <formula>LEFT(E353,LEN("Functioning At Risk"))="Functioning At Risk"</formula>
    </cfRule>
    <cfRule type="beginsWith" dxfId="1285" priority="1853" stopIfTrue="1" operator="beginsWith" text="Not Functioning">
      <formula>LEFT(E353,LEN("Not Functioning"))="Not Functioning"</formula>
    </cfRule>
    <cfRule type="containsText" dxfId="1284" priority="1854" operator="containsText" text="Functioning">
      <formula>NOT(ISERROR(SEARCH("Functioning",E353)))</formula>
    </cfRule>
  </conditionalFormatting>
  <conditionalFormatting sqref="E344">
    <cfRule type="expression" dxfId="1283" priority="1847">
      <formula>#REF!="Level 4 - Physicochemical"</formula>
    </cfRule>
    <cfRule type="expression" dxfId="1282" priority="1851">
      <formula>#REF!="Level 5 - Biology"</formula>
    </cfRule>
  </conditionalFormatting>
  <conditionalFormatting sqref="E346">
    <cfRule type="expression" dxfId="1281" priority="1846">
      <formula>#REF!="Level 4 - Physicochemical"</formula>
    </cfRule>
    <cfRule type="expression" dxfId="1280" priority="1850">
      <formula>#REF!="Level 5 - Biology"</formula>
    </cfRule>
  </conditionalFormatting>
  <conditionalFormatting sqref="E347">
    <cfRule type="expression" dxfId="1279" priority="1845">
      <formula>#REF!="Level 4 - Physicochemical"</formula>
    </cfRule>
    <cfRule type="expression" dxfId="1278" priority="1849">
      <formula>#REF!="Level 5 - Biology"</formula>
    </cfRule>
  </conditionalFormatting>
  <conditionalFormatting sqref="E353">
    <cfRule type="expression" dxfId="1277" priority="1848">
      <formula>#REF!="Level 5 - Biology"</formula>
    </cfRule>
  </conditionalFormatting>
  <conditionalFormatting sqref="E345">
    <cfRule type="expression" dxfId="1276" priority="1861">
      <formula>#REF!="Level 4 - Physicochemical"</formula>
    </cfRule>
    <cfRule type="expression" dxfId="1275" priority="1862">
      <formula>#REF!="Level 5 - Biology"</formula>
    </cfRule>
  </conditionalFormatting>
  <conditionalFormatting sqref="E352">
    <cfRule type="expression" dxfId="1274" priority="1863">
      <formula>#REF!="Level 5 - Biology"</formula>
    </cfRule>
  </conditionalFormatting>
  <conditionalFormatting sqref="E342:E343">
    <cfRule type="beginsWith" dxfId="1273" priority="1839" stopIfTrue="1" operator="beginsWith" text="Functioning At Risk">
      <formula>LEFT(E342,LEN("Functioning At Risk"))="Functioning At Risk"</formula>
    </cfRule>
    <cfRule type="beginsWith" dxfId="1272" priority="1840" stopIfTrue="1" operator="beginsWith" text="Not Functioning">
      <formula>LEFT(E342,LEN("Not Functioning"))="Not Functioning"</formula>
    </cfRule>
    <cfRule type="containsText" dxfId="1271" priority="1841" operator="containsText" text="Functioning">
      <formula>NOT(ISERROR(SEARCH("Functioning",E342)))</formula>
    </cfRule>
  </conditionalFormatting>
  <conditionalFormatting sqref="E351">
    <cfRule type="expression" dxfId="1270" priority="1834">
      <formula>B170="Level 5 - Biology"</formula>
    </cfRule>
  </conditionalFormatting>
  <conditionalFormatting sqref="E348:E351">
    <cfRule type="beginsWith" dxfId="1269" priority="1831" stopIfTrue="1" operator="beginsWith" text="Functioning At Risk">
      <formula>LEFT(E348,LEN("Functioning At Risk"))="Functioning At Risk"</formula>
    </cfRule>
    <cfRule type="beginsWith" dxfId="1268" priority="1832" stopIfTrue="1" operator="beginsWith" text="Not Functioning">
      <formula>LEFT(E348,LEN("Not Functioning"))="Not Functioning"</formula>
    </cfRule>
    <cfRule type="containsText" dxfId="1267" priority="1833" operator="containsText" text="Functioning">
      <formula>NOT(ISERROR(SEARCH("Functioning",E348)))</formula>
    </cfRule>
  </conditionalFormatting>
  <conditionalFormatting sqref="E348:E350">
    <cfRule type="expression" dxfId="1266" priority="1835">
      <formula>B169="Level 5 - Biology"</formula>
    </cfRule>
  </conditionalFormatting>
  <conditionalFormatting sqref="E392 E360:E361 E384">
    <cfRule type="beginsWith" dxfId="1265" priority="1822" stopIfTrue="1" operator="beginsWith" text="Functioning At Risk">
      <formula>LEFT(E360,LEN("Functioning At Risk"))="Functioning At Risk"</formula>
    </cfRule>
    <cfRule type="beginsWith" dxfId="1264" priority="1823" stopIfTrue="1" operator="beginsWith" text="Not Functioning">
      <formula>LEFT(E360,LEN("Not Functioning"))="Not Functioning"</formula>
    </cfRule>
    <cfRule type="containsText" dxfId="1263" priority="1824" operator="containsText" text="Functioning">
      <formula>NOT(ISERROR(SEARCH("Functioning",E360)))</formula>
    </cfRule>
  </conditionalFormatting>
  <conditionalFormatting sqref="E393">
    <cfRule type="beginsWith" dxfId="1262" priority="1819" stopIfTrue="1" operator="beginsWith" text="Functioning At Risk">
      <formula>LEFT(E393,LEN("Functioning At Risk"))="Functioning At Risk"</formula>
    </cfRule>
    <cfRule type="beginsWith" dxfId="1261" priority="1820" stopIfTrue="1" operator="beginsWith" text="Not Functioning">
      <formula>LEFT(E393,LEN("Not Functioning"))="Not Functioning"</formula>
    </cfRule>
    <cfRule type="containsText" dxfId="1260" priority="1821" operator="containsText" text="Functioning">
      <formula>NOT(ISERROR(SEARCH("Functioning",E393)))</formula>
    </cfRule>
  </conditionalFormatting>
  <conditionalFormatting sqref="E384">
    <cfRule type="expression" dxfId="1259" priority="1814">
      <formula>#REF!="Level 4 - Physicochemical"</formula>
    </cfRule>
    <cfRule type="expression" dxfId="1258" priority="1818">
      <formula>#REF!="Level 5 - Biology"</formula>
    </cfRule>
  </conditionalFormatting>
  <conditionalFormatting sqref="E386">
    <cfRule type="expression" dxfId="1257" priority="1813">
      <formula>#REF!="Level 4 - Physicochemical"</formula>
    </cfRule>
    <cfRule type="expression" dxfId="1256" priority="1817">
      <formula>#REF!="Level 5 - Biology"</formula>
    </cfRule>
  </conditionalFormatting>
  <conditionalFormatting sqref="E387">
    <cfRule type="expression" dxfId="1255" priority="1812">
      <formula>#REF!="Level 4 - Physicochemical"</formula>
    </cfRule>
    <cfRule type="expression" dxfId="1254" priority="1816">
      <formula>#REF!="Level 5 - Biology"</formula>
    </cfRule>
  </conditionalFormatting>
  <conditionalFormatting sqref="E393">
    <cfRule type="expression" dxfId="1253" priority="1815">
      <formula>#REF!="Level 5 - Biology"</formula>
    </cfRule>
  </conditionalFormatting>
  <conditionalFormatting sqref="E385">
    <cfRule type="expression" dxfId="1252" priority="1828">
      <formula>#REF!="Level 4 - Physicochemical"</formula>
    </cfRule>
    <cfRule type="expression" dxfId="1251" priority="1829">
      <formula>#REF!="Level 5 - Biology"</formula>
    </cfRule>
  </conditionalFormatting>
  <conditionalFormatting sqref="E392">
    <cfRule type="expression" dxfId="1250" priority="1830">
      <formula>#REF!="Level 5 - Biology"</formula>
    </cfRule>
  </conditionalFormatting>
  <conditionalFormatting sqref="E382:E383">
    <cfRule type="beginsWith" dxfId="1249" priority="1806" stopIfTrue="1" operator="beginsWith" text="Functioning At Risk">
      <formula>LEFT(E382,LEN("Functioning At Risk"))="Functioning At Risk"</formula>
    </cfRule>
    <cfRule type="beginsWith" dxfId="1248" priority="1807" stopIfTrue="1" operator="beginsWith" text="Not Functioning">
      <formula>LEFT(E382,LEN("Not Functioning"))="Not Functioning"</formula>
    </cfRule>
    <cfRule type="containsText" dxfId="1247" priority="1808" operator="containsText" text="Functioning">
      <formula>NOT(ISERROR(SEARCH("Functioning",E382)))</formula>
    </cfRule>
  </conditionalFormatting>
  <conditionalFormatting sqref="E391">
    <cfRule type="expression" dxfId="1246" priority="1801">
      <formula>B210="Level 5 - Biology"</formula>
    </cfRule>
  </conditionalFormatting>
  <conditionalFormatting sqref="E388:E391">
    <cfRule type="beginsWith" dxfId="1245" priority="1798" stopIfTrue="1" operator="beginsWith" text="Functioning At Risk">
      <formula>LEFT(E388,LEN("Functioning At Risk"))="Functioning At Risk"</formula>
    </cfRule>
    <cfRule type="beginsWith" dxfId="1244" priority="1799" stopIfTrue="1" operator="beginsWith" text="Not Functioning">
      <formula>LEFT(E388,LEN("Not Functioning"))="Not Functioning"</formula>
    </cfRule>
    <cfRule type="containsText" dxfId="1243" priority="1800" operator="containsText" text="Functioning">
      <formula>NOT(ISERROR(SEARCH("Functioning",E388)))</formula>
    </cfRule>
  </conditionalFormatting>
  <conditionalFormatting sqref="E388:E390">
    <cfRule type="expression" dxfId="1242" priority="1802">
      <formula>B209="Level 5 - Biology"</formula>
    </cfRule>
  </conditionalFormatting>
  <conditionalFormatting sqref="E422:E423">
    <cfRule type="beginsWith" dxfId="1241" priority="1773" stopIfTrue="1" operator="beginsWith" text="Functioning At Risk">
      <formula>LEFT(E422,LEN("Functioning At Risk"))="Functioning At Risk"</formula>
    </cfRule>
    <cfRule type="beginsWith" dxfId="1240" priority="1774" stopIfTrue="1" operator="beginsWith" text="Not Functioning">
      <formula>LEFT(E422,LEN("Not Functioning"))="Not Functioning"</formula>
    </cfRule>
    <cfRule type="containsText" dxfId="1239" priority="1775" operator="containsText" text="Functioning">
      <formula>NOT(ISERROR(SEARCH("Functioning",E422)))</formula>
    </cfRule>
  </conditionalFormatting>
  <conditionalFormatting sqref="E432 E400:E401 E424">
    <cfRule type="beginsWith" dxfId="1238" priority="1789" stopIfTrue="1" operator="beginsWith" text="Functioning At Risk">
      <formula>LEFT(E400,LEN("Functioning At Risk"))="Functioning At Risk"</formula>
    </cfRule>
    <cfRule type="beginsWith" dxfId="1237" priority="1790" stopIfTrue="1" operator="beginsWith" text="Not Functioning">
      <formula>LEFT(E400,LEN("Not Functioning"))="Not Functioning"</formula>
    </cfRule>
    <cfRule type="containsText" dxfId="1236" priority="1791" operator="containsText" text="Functioning">
      <formula>NOT(ISERROR(SEARCH("Functioning",E400)))</formula>
    </cfRule>
  </conditionalFormatting>
  <conditionalFormatting sqref="E433">
    <cfRule type="beginsWith" dxfId="1235" priority="1786" stopIfTrue="1" operator="beginsWith" text="Functioning At Risk">
      <formula>LEFT(E433,LEN("Functioning At Risk"))="Functioning At Risk"</formula>
    </cfRule>
    <cfRule type="beginsWith" dxfId="1234" priority="1787" stopIfTrue="1" operator="beginsWith" text="Not Functioning">
      <formula>LEFT(E433,LEN("Not Functioning"))="Not Functioning"</formula>
    </cfRule>
    <cfRule type="containsText" dxfId="1233" priority="1788" operator="containsText" text="Functioning">
      <formula>NOT(ISERROR(SEARCH("Functioning",E433)))</formula>
    </cfRule>
  </conditionalFormatting>
  <conditionalFormatting sqref="E424">
    <cfRule type="expression" dxfId="1232" priority="1781">
      <formula>#REF!="Level 4 - Physicochemical"</formula>
    </cfRule>
    <cfRule type="expression" dxfId="1231" priority="1785">
      <formula>#REF!="Level 5 - Biology"</formula>
    </cfRule>
  </conditionalFormatting>
  <conditionalFormatting sqref="E426">
    <cfRule type="expression" dxfId="1230" priority="1780">
      <formula>#REF!="Level 4 - Physicochemical"</formula>
    </cfRule>
    <cfRule type="expression" dxfId="1229" priority="1784">
      <formula>#REF!="Level 5 - Biology"</formula>
    </cfRule>
  </conditionalFormatting>
  <conditionalFormatting sqref="E427">
    <cfRule type="expression" dxfId="1228" priority="1779">
      <formula>#REF!="Level 4 - Physicochemical"</formula>
    </cfRule>
    <cfRule type="expression" dxfId="1227" priority="1783">
      <formula>#REF!="Level 5 - Biology"</formula>
    </cfRule>
  </conditionalFormatting>
  <conditionalFormatting sqref="E433">
    <cfRule type="expression" dxfId="1226" priority="1782">
      <formula>#REF!="Level 5 - Biology"</formula>
    </cfRule>
  </conditionalFormatting>
  <conditionalFormatting sqref="E425">
    <cfRule type="expression" dxfId="1225" priority="1795">
      <formula>#REF!="Level 4 - Physicochemical"</formula>
    </cfRule>
    <cfRule type="expression" dxfId="1224" priority="1796">
      <formula>#REF!="Level 5 - Biology"</formula>
    </cfRule>
  </conditionalFormatting>
  <conditionalFormatting sqref="E432">
    <cfRule type="expression" dxfId="1223" priority="1797">
      <formula>#REF!="Level 5 - Biology"</formula>
    </cfRule>
  </conditionalFormatting>
  <conditionalFormatting sqref="E431">
    <cfRule type="expression" dxfId="1222" priority="1768">
      <formula>B250="Level 5 - Biology"</formula>
    </cfRule>
  </conditionalFormatting>
  <conditionalFormatting sqref="E428:E431">
    <cfRule type="beginsWith" dxfId="1221" priority="1765" stopIfTrue="1" operator="beginsWith" text="Functioning At Risk">
      <formula>LEFT(E428,LEN("Functioning At Risk"))="Functioning At Risk"</formula>
    </cfRule>
    <cfRule type="beginsWith" dxfId="1220" priority="1766" stopIfTrue="1" operator="beginsWith" text="Not Functioning">
      <formula>LEFT(E428,LEN("Not Functioning"))="Not Functioning"</formula>
    </cfRule>
    <cfRule type="containsText" dxfId="1219" priority="1767" operator="containsText" text="Functioning">
      <formula>NOT(ISERROR(SEARCH("Functioning",E428)))</formula>
    </cfRule>
  </conditionalFormatting>
  <conditionalFormatting sqref="E428:E430">
    <cfRule type="expression" dxfId="1218" priority="1769">
      <formula>B249="Level 5 - Biology"</formula>
    </cfRule>
  </conditionalFormatting>
  <conditionalFormatting sqref="B72:B74">
    <cfRule type="beginsWith" dxfId="1217" priority="1762" stopIfTrue="1" operator="beginsWith" text="Functioning At Risk">
      <formula>LEFT(B72,LEN("Functioning At Risk"))="Functioning At Risk"</formula>
    </cfRule>
    <cfRule type="beginsWith" dxfId="1216" priority="1763" stopIfTrue="1" operator="beginsWith" text="Not Functioning">
      <formula>LEFT(B72,LEN("Not Functioning"))="Not Functioning"</formula>
    </cfRule>
    <cfRule type="containsText" dxfId="1215" priority="1764" operator="containsText" text="Functioning">
      <formula>NOT(ISERROR(SEARCH("Functioning",B72)))</formula>
    </cfRule>
  </conditionalFormatting>
  <conditionalFormatting sqref="B111:B113">
    <cfRule type="beginsWith" dxfId="1214" priority="1759" stopIfTrue="1" operator="beginsWith" text="Functioning At Risk">
      <formula>LEFT(B111,LEN("Functioning At Risk"))="Functioning At Risk"</formula>
    </cfRule>
    <cfRule type="beginsWith" dxfId="1213" priority="1760" stopIfTrue="1" operator="beginsWith" text="Not Functioning">
      <formula>LEFT(B111,LEN("Not Functioning"))="Not Functioning"</formula>
    </cfRule>
    <cfRule type="containsText" dxfId="1212" priority="1761" operator="containsText" text="Functioning">
      <formula>NOT(ISERROR(SEARCH("Functioning",B111)))</formula>
    </cfRule>
  </conditionalFormatting>
  <conditionalFormatting sqref="B150:B152">
    <cfRule type="beginsWith" dxfId="1211" priority="1756" stopIfTrue="1" operator="beginsWith" text="Functioning At Risk">
      <formula>LEFT(B150,LEN("Functioning At Risk"))="Functioning At Risk"</formula>
    </cfRule>
    <cfRule type="beginsWith" dxfId="1210" priority="1757" stopIfTrue="1" operator="beginsWith" text="Not Functioning">
      <formula>LEFT(B150,LEN("Not Functioning"))="Not Functioning"</formula>
    </cfRule>
    <cfRule type="containsText" dxfId="1209" priority="1758" operator="containsText" text="Functioning">
      <formula>NOT(ISERROR(SEARCH("Functioning",B150)))</formula>
    </cfRule>
  </conditionalFormatting>
  <conditionalFormatting sqref="B189:B191">
    <cfRule type="beginsWith" dxfId="1208" priority="1753" stopIfTrue="1" operator="beginsWith" text="Functioning At Risk">
      <formula>LEFT(B189,LEN("Functioning At Risk"))="Functioning At Risk"</formula>
    </cfRule>
    <cfRule type="beginsWith" dxfId="1207" priority="1754" stopIfTrue="1" operator="beginsWith" text="Not Functioning">
      <formula>LEFT(B189,LEN("Not Functioning"))="Not Functioning"</formula>
    </cfRule>
    <cfRule type="containsText" dxfId="1206" priority="1755" operator="containsText" text="Functioning">
      <formula>NOT(ISERROR(SEARCH("Functioning",B189)))</formula>
    </cfRule>
  </conditionalFormatting>
  <conditionalFormatting sqref="B228:B230">
    <cfRule type="beginsWith" dxfId="1205" priority="1750" stopIfTrue="1" operator="beginsWith" text="Functioning At Risk">
      <formula>LEFT(B228,LEN("Functioning At Risk"))="Functioning At Risk"</formula>
    </cfRule>
    <cfRule type="beginsWith" dxfId="1204" priority="1751" stopIfTrue="1" operator="beginsWith" text="Not Functioning">
      <formula>LEFT(B228,LEN("Not Functioning"))="Not Functioning"</formula>
    </cfRule>
    <cfRule type="containsText" dxfId="1203" priority="1752" operator="containsText" text="Functioning">
      <formula>NOT(ISERROR(SEARCH("Functioning",B228)))</formula>
    </cfRule>
  </conditionalFormatting>
  <conditionalFormatting sqref="B268:B270">
    <cfRule type="beginsWith" dxfId="1202" priority="1747" stopIfTrue="1" operator="beginsWith" text="Functioning At Risk">
      <formula>LEFT(B268,LEN("Functioning At Risk"))="Functioning At Risk"</formula>
    </cfRule>
    <cfRule type="beginsWith" dxfId="1201" priority="1748" stopIfTrue="1" operator="beginsWith" text="Not Functioning">
      <formula>LEFT(B268,LEN("Not Functioning"))="Not Functioning"</formula>
    </cfRule>
    <cfRule type="containsText" dxfId="1200" priority="1749" operator="containsText" text="Functioning">
      <formula>NOT(ISERROR(SEARCH("Functioning",B268)))</formula>
    </cfRule>
  </conditionalFormatting>
  <conditionalFormatting sqref="B308:B310">
    <cfRule type="beginsWith" dxfId="1199" priority="1744" stopIfTrue="1" operator="beginsWith" text="Functioning At Risk">
      <formula>LEFT(B308,LEN("Functioning At Risk"))="Functioning At Risk"</formula>
    </cfRule>
    <cfRule type="beginsWith" dxfId="1198" priority="1745" stopIfTrue="1" operator="beginsWith" text="Not Functioning">
      <formula>LEFT(B308,LEN("Not Functioning"))="Not Functioning"</formula>
    </cfRule>
    <cfRule type="containsText" dxfId="1197" priority="1746" operator="containsText" text="Functioning">
      <formula>NOT(ISERROR(SEARCH("Functioning",B308)))</formula>
    </cfRule>
  </conditionalFormatting>
  <conditionalFormatting sqref="B348:B350">
    <cfRule type="beginsWith" dxfId="1196" priority="1741" stopIfTrue="1" operator="beginsWith" text="Functioning At Risk">
      <formula>LEFT(B348,LEN("Functioning At Risk"))="Functioning At Risk"</formula>
    </cfRule>
    <cfRule type="beginsWith" dxfId="1195" priority="1742" stopIfTrue="1" operator="beginsWith" text="Not Functioning">
      <formula>LEFT(B348,LEN("Not Functioning"))="Not Functioning"</formula>
    </cfRule>
    <cfRule type="containsText" dxfId="1194" priority="1743" operator="containsText" text="Functioning">
      <formula>NOT(ISERROR(SEARCH("Functioning",B348)))</formula>
    </cfRule>
  </conditionalFormatting>
  <conditionalFormatting sqref="B388:B390">
    <cfRule type="beginsWith" dxfId="1193" priority="1738" stopIfTrue="1" operator="beginsWith" text="Functioning At Risk">
      <formula>LEFT(B388,LEN("Functioning At Risk"))="Functioning At Risk"</formula>
    </cfRule>
    <cfRule type="beginsWith" dxfId="1192" priority="1739" stopIfTrue="1" operator="beginsWith" text="Not Functioning">
      <formula>LEFT(B388,LEN("Not Functioning"))="Not Functioning"</formula>
    </cfRule>
    <cfRule type="containsText" dxfId="1191" priority="1740" operator="containsText" text="Functioning">
      <formula>NOT(ISERROR(SEARCH("Functioning",B388)))</formula>
    </cfRule>
  </conditionalFormatting>
  <conditionalFormatting sqref="B428:B430">
    <cfRule type="beginsWith" dxfId="1190" priority="1735" stopIfTrue="1" operator="beginsWith" text="Functioning At Risk">
      <formula>LEFT(B428,LEN("Functioning At Risk"))="Functioning At Risk"</formula>
    </cfRule>
    <cfRule type="beginsWith" dxfId="1189" priority="1736" stopIfTrue="1" operator="beginsWith" text="Not Functioning">
      <formula>LEFT(B428,LEN("Not Functioning"))="Not Functioning"</formula>
    </cfRule>
    <cfRule type="containsText" dxfId="1188" priority="1737" operator="containsText" text="Functioning">
      <formula>NOT(ISERROR(SEARCH("Functioning",B428)))</formula>
    </cfRule>
  </conditionalFormatting>
  <conditionalFormatting sqref="C13:C15 C30:C31 C24:C25 C36 C28 C5:C8 C33:C34">
    <cfRule type="beginsWith" dxfId="1187" priority="1702" stopIfTrue="1" operator="beginsWith" text="Functioning At Risk">
      <formula>LEFT(C5,LEN("Functioning At Risk"))="Functioning At Risk"</formula>
    </cfRule>
    <cfRule type="beginsWith" dxfId="1186" priority="1703" stopIfTrue="1" operator="beginsWith" text="Not Functioning">
      <formula>LEFT(C5,LEN("Not Functioning"))="Not Functioning"</formula>
    </cfRule>
    <cfRule type="containsText" dxfId="1185" priority="1704" operator="containsText" text="Functioning">
      <formula>NOT(ISERROR(SEARCH("Functioning",C5)))</formula>
    </cfRule>
  </conditionalFormatting>
  <conditionalFormatting sqref="C16">
    <cfRule type="beginsWith" dxfId="1184" priority="1699" stopIfTrue="1" operator="beginsWith" text="Functioning At Risk">
      <formula>LEFT(C16,LEN("Functioning At Risk"))="Functioning At Risk"</formula>
    </cfRule>
    <cfRule type="beginsWith" dxfId="1183" priority="1700" stopIfTrue="1" operator="beginsWith" text="Not Functioning">
      <formula>LEFT(C16,LEN("Not Functioning"))="Not Functioning"</formula>
    </cfRule>
    <cfRule type="containsText" dxfId="1182" priority="1701" operator="containsText" text="Functioning">
      <formula>NOT(ISERROR(SEARCH("Functioning",C16)))</formula>
    </cfRule>
  </conditionalFormatting>
  <conditionalFormatting sqref="C23">
    <cfRule type="beginsWith" dxfId="1181" priority="1696" stopIfTrue="1" operator="beginsWith" text="Functioning At Risk">
      <formula>LEFT(C23,LEN("Functioning At Risk"))="Functioning At Risk"</formula>
    </cfRule>
    <cfRule type="beginsWith" dxfId="1180" priority="1697" stopIfTrue="1" operator="beginsWith" text="Not Functioning">
      <formula>LEFT(C23,LEN("Not Functioning"))="Not Functioning"</formula>
    </cfRule>
    <cfRule type="containsText" dxfId="1179" priority="1698" operator="containsText" text="Functioning">
      <formula>NOT(ISERROR(SEARCH("Functioning",C23)))</formula>
    </cfRule>
  </conditionalFormatting>
  <conditionalFormatting sqref="C17:C20">
    <cfRule type="beginsWith" dxfId="1178" priority="1693" stopIfTrue="1" operator="beginsWith" text="Functioning At Risk">
      <formula>LEFT(C17,LEN("Functioning At Risk"))="Functioning At Risk"</formula>
    </cfRule>
    <cfRule type="beginsWith" dxfId="1177" priority="1694" stopIfTrue="1" operator="beginsWith" text="Not Functioning">
      <formula>LEFT(C17,LEN("Not Functioning"))="Not Functioning"</formula>
    </cfRule>
    <cfRule type="containsText" dxfId="1176" priority="1695" operator="containsText" text="Functioning">
      <formula>NOT(ISERROR(SEARCH("Functioning",C17)))</formula>
    </cfRule>
  </conditionalFormatting>
  <conditionalFormatting sqref="C26">
    <cfRule type="beginsWith" dxfId="1175" priority="1690" stopIfTrue="1" operator="beginsWith" text="Functioning At Risk">
      <formula>LEFT(C26,LEN("Functioning At Risk"))="Functioning At Risk"</formula>
    </cfRule>
    <cfRule type="beginsWith" dxfId="1174" priority="1691" stopIfTrue="1" operator="beginsWith" text="Not Functioning">
      <formula>LEFT(C26,LEN("Not Functioning"))="Not Functioning"</formula>
    </cfRule>
    <cfRule type="containsText" dxfId="1173" priority="1692" operator="containsText" text="Functioning">
      <formula>NOT(ISERROR(SEARCH("Functioning",C26)))</formula>
    </cfRule>
  </conditionalFormatting>
  <conditionalFormatting sqref="C27">
    <cfRule type="beginsWith" dxfId="1172" priority="1687" stopIfTrue="1" operator="beginsWith" text="Functioning At Risk">
      <formula>LEFT(C27,LEN("Functioning At Risk"))="Functioning At Risk"</formula>
    </cfRule>
    <cfRule type="beginsWith" dxfId="1171" priority="1688" stopIfTrue="1" operator="beginsWith" text="Not Functioning">
      <formula>LEFT(C27,LEN("Not Functioning"))="Not Functioning"</formula>
    </cfRule>
    <cfRule type="containsText" dxfId="1170" priority="1689" operator="containsText" text="Functioning">
      <formula>NOT(ISERROR(SEARCH("Functioning",C27)))</formula>
    </cfRule>
  </conditionalFormatting>
  <conditionalFormatting sqref="C38">
    <cfRule type="beginsWith" dxfId="1169" priority="1681" stopIfTrue="1" operator="beginsWith" text="Functioning At Risk">
      <formula>LEFT(C38,LEN("Functioning At Risk"))="Functioning At Risk"</formula>
    </cfRule>
    <cfRule type="beginsWith" dxfId="1168" priority="1682" stopIfTrue="1" operator="beginsWith" text="Not Functioning">
      <formula>LEFT(C38,LEN("Not Functioning"))="Not Functioning"</formula>
    </cfRule>
    <cfRule type="containsText" dxfId="1167" priority="1683" operator="containsText" text="Functioning">
      <formula>NOT(ISERROR(SEARCH("Functioning",C38)))</formula>
    </cfRule>
  </conditionalFormatting>
  <conditionalFormatting sqref="C37">
    <cfRule type="beginsWith" dxfId="1166" priority="1684" stopIfTrue="1" operator="beginsWith" text="Functioning At Risk">
      <formula>LEFT(C37,LEN("Functioning At Risk"))="Functioning At Risk"</formula>
    </cfRule>
    <cfRule type="beginsWith" dxfId="1165" priority="1685" stopIfTrue="1" operator="beginsWith" text="Not Functioning">
      <formula>LEFT(C37,LEN("Not Functioning"))="Not Functioning"</formula>
    </cfRule>
    <cfRule type="containsText" dxfId="1164" priority="1686" operator="containsText" text="Functioning">
      <formula>NOT(ISERROR(SEARCH("Functioning",C37)))</formula>
    </cfRule>
  </conditionalFormatting>
  <conditionalFormatting sqref="C35">
    <cfRule type="beginsWith" dxfId="1163" priority="1678" stopIfTrue="1" operator="beginsWith" text="Functioning At Risk">
      <formula>LEFT(C35,LEN("Functioning At Risk"))="Functioning At Risk"</formula>
    </cfRule>
    <cfRule type="beginsWith" dxfId="1162" priority="1679" stopIfTrue="1" operator="beginsWith" text="Not Functioning">
      <formula>LEFT(C35,LEN("Not Functioning"))="Not Functioning"</formula>
    </cfRule>
    <cfRule type="containsText" dxfId="1161" priority="1680" operator="containsText" text="Functioning">
      <formula>NOT(ISERROR(SEARCH("Functioning",C35)))</formula>
    </cfRule>
  </conditionalFormatting>
  <conditionalFormatting sqref="C21:C22">
    <cfRule type="beginsWith" dxfId="1160" priority="1675" stopIfTrue="1" operator="beginsWith" text="Functioning At Risk">
      <formula>LEFT(C21,LEN("Functioning At Risk"))="Functioning At Risk"</formula>
    </cfRule>
    <cfRule type="beginsWith" dxfId="1159" priority="1676" stopIfTrue="1" operator="beginsWith" text="Not Functioning">
      <formula>LEFT(C21,LEN("Not Functioning"))="Not Functioning"</formula>
    </cfRule>
    <cfRule type="containsText" dxfId="1158" priority="1677" operator="containsText" text="Functioning">
      <formula>NOT(ISERROR(SEARCH("Functioning",C21)))</formula>
    </cfRule>
  </conditionalFormatting>
  <conditionalFormatting sqref="C52:C54 C69:C70 C63:C64 C75 C67 C44:C47 C72:C73">
    <cfRule type="beginsWith" dxfId="1157" priority="1672" stopIfTrue="1" operator="beginsWith" text="Functioning At Risk">
      <formula>LEFT(C44,LEN("Functioning At Risk"))="Functioning At Risk"</formula>
    </cfRule>
    <cfRule type="beginsWith" dxfId="1156" priority="1673" stopIfTrue="1" operator="beginsWith" text="Not Functioning">
      <formula>LEFT(C44,LEN("Not Functioning"))="Not Functioning"</formula>
    </cfRule>
    <cfRule type="containsText" dxfId="1155" priority="1674" operator="containsText" text="Functioning">
      <formula>NOT(ISERROR(SEARCH("Functioning",C44)))</formula>
    </cfRule>
  </conditionalFormatting>
  <conditionalFormatting sqref="C55">
    <cfRule type="beginsWith" dxfId="1154" priority="1669" stopIfTrue="1" operator="beginsWith" text="Functioning At Risk">
      <formula>LEFT(C55,LEN("Functioning At Risk"))="Functioning At Risk"</formula>
    </cfRule>
    <cfRule type="beginsWith" dxfId="1153" priority="1670" stopIfTrue="1" operator="beginsWith" text="Not Functioning">
      <formula>LEFT(C55,LEN("Not Functioning"))="Not Functioning"</formula>
    </cfRule>
    <cfRule type="containsText" dxfId="1152" priority="1671" operator="containsText" text="Functioning">
      <formula>NOT(ISERROR(SEARCH("Functioning",C55)))</formula>
    </cfRule>
  </conditionalFormatting>
  <conditionalFormatting sqref="C62">
    <cfRule type="beginsWith" dxfId="1151" priority="1666" stopIfTrue="1" operator="beginsWith" text="Functioning At Risk">
      <formula>LEFT(C62,LEN("Functioning At Risk"))="Functioning At Risk"</formula>
    </cfRule>
    <cfRule type="beginsWith" dxfId="1150" priority="1667" stopIfTrue="1" operator="beginsWith" text="Not Functioning">
      <formula>LEFT(C62,LEN("Not Functioning"))="Not Functioning"</formula>
    </cfRule>
    <cfRule type="containsText" dxfId="1149" priority="1668" operator="containsText" text="Functioning">
      <formula>NOT(ISERROR(SEARCH("Functioning",C62)))</formula>
    </cfRule>
  </conditionalFormatting>
  <conditionalFormatting sqref="C56:C59">
    <cfRule type="beginsWith" dxfId="1148" priority="1663" stopIfTrue="1" operator="beginsWith" text="Functioning At Risk">
      <formula>LEFT(C56,LEN("Functioning At Risk"))="Functioning At Risk"</formula>
    </cfRule>
    <cfRule type="beginsWith" dxfId="1147" priority="1664" stopIfTrue="1" operator="beginsWith" text="Not Functioning">
      <formula>LEFT(C56,LEN("Not Functioning"))="Not Functioning"</formula>
    </cfRule>
    <cfRule type="containsText" dxfId="1146" priority="1665" operator="containsText" text="Functioning">
      <formula>NOT(ISERROR(SEARCH("Functioning",C56)))</formula>
    </cfRule>
  </conditionalFormatting>
  <conditionalFormatting sqref="C65">
    <cfRule type="beginsWith" dxfId="1145" priority="1660" stopIfTrue="1" operator="beginsWith" text="Functioning At Risk">
      <formula>LEFT(C65,LEN("Functioning At Risk"))="Functioning At Risk"</formula>
    </cfRule>
    <cfRule type="beginsWith" dxfId="1144" priority="1661" stopIfTrue="1" operator="beginsWith" text="Not Functioning">
      <formula>LEFT(C65,LEN("Not Functioning"))="Not Functioning"</formula>
    </cfRule>
    <cfRule type="containsText" dxfId="1143" priority="1662" operator="containsText" text="Functioning">
      <formula>NOT(ISERROR(SEARCH("Functioning",C65)))</formula>
    </cfRule>
  </conditionalFormatting>
  <conditionalFormatting sqref="C66">
    <cfRule type="beginsWith" dxfId="1142" priority="1657" stopIfTrue="1" operator="beginsWith" text="Functioning At Risk">
      <formula>LEFT(C66,LEN("Functioning At Risk"))="Functioning At Risk"</formula>
    </cfRule>
    <cfRule type="beginsWith" dxfId="1141" priority="1658" stopIfTrue="1" operator="beginsWith" text="Not Functioning">
      <formula>LEFT(C66,LEN("Not Functioning"))="Not Functioning"</formula>
    </cfRule>
    <cfRule type="containsText" dxfId="1140" priority="1659" operator="containsText" text="Functioning">
      <formula>NOT(ISERROR(SEARCH("Functioning",C66)))</formula>
    </cfRule>
  </conditionalFormatting>
  <conditionalFormatting sqref="C77">
    <cfRule type="beginsWith" dxfId="1139" priority="1651" stopIfTrue="1" operator="beginsWith" text="Functioning At Risk">
      <formula>LEFT(C77,LEN("Functioning At Risk"))="Functioning At Risk"</formula>
    </cfRule>
    <cfRule type="beginsWith" dxfId="1138" priority="1652" stopIfTrue="1" operator="beginsWith" text="Not Functioning">
      <formula>LEFT(C77,LEN("Not Functioning"))="Not Functioning"</formula>
    </cfRule>
    <cfRule type="containsText" dxfId="1137" priority="1653" operator="containsText" text="Functioning">
      <formula>NOT(ISERROR(SEARCH("Functioning",C77)))</formula>
    </cfRule>
  </conditionalFormatting>
  <conditionalFormatting sqref="C76">
    <cfRule type="beginsWith" dxfId="1136" priority="1654" stopIfTrue="1" operator="beginsWith" text="Functioning At Risk">
      <formula>LEFT(C76,LEN("Functioning At Risk"))="Functioning At Risk"</formula>
    </cfRule>
    <cfRule type="beginsWith" dxfId="1135" priority="1655" stopIfTrue="1" operator="beginsWith" text="Not Functioning">
      <formula>LEFT(C76,LEN("Not Functioning"))="Not Functioning"</formula>
    </cfRule>
    <cfRule type="containsText" dxfId="1134" priority="1656" operator="containsText" text="Functioning">
      <formula>NOT(ISERROR(SEARCH("Functioning",C76)))</formula>
    </cfRule>
  </conditionalFormatting>
  <conditionalFormatting sqref="C74">
    <cfRule type="beginsWith" dxfId="1133" priority="1648" stopIfTrue="1" operator="beginsWith" text="Functioning At Risk">
      <formula>LEFT(C74,LEN("Functioning At Risk"))="Functioning At Risk"</formula>
    </cfRule>
    <cfRule type="beginsWith" dxfId="1132" priority="1649" stopIfTrue="1" operator="beginsWith" text="Not Functioning">
      <formula>LEFT(C74,LEN("Not Functioning"))="Not Functioning"</formula>
    </cfRule>
    <cfRule type="containsText" dxfId="1131" priority="1650" operator="containsText" text="Functioning">
      <formula>NOT(ISERROR(SEARCH("Functioning",C74)))</formula>
    </cfRule>
  </conditionalFormatting>
  <conditionalFormatting sqref="C60:C61">
    <cfRule type="beginsWith" dxfId="1130" priority="1645" stopIfTrue="1" operator="beginsWith" text="Functioning At Risk">
      <formula>LEFT(C60,LEN("Functioning At Risk"))="Functioning At Risk"</formula>
    </cfRule>
    <cfRule type="beginsWith" dxfId="1129" priority="1646" stopIfTrue="1" operator="beginsWith" text="Not Functioning">
      <formula>LEFT(C60,LEN("Not Functioning"))="Not Functioning"</formula>
    </cfRule>
    <cfRule type="containsText" dxfId="1128" priority="1647" operator="containsText" text="Functioning">
      <formula>NOT(ISERROR(SEARCH("Functioning",C60)))</formula>
    </cfRule>
  </conditionalFormatting>
  <conditionalFormatting sqref="C91:C93 C108:C109 C102:C103 C114 C106 C83:C86 C111:C112">
    <cfRule type="beginsWith" dxfId="1127" priority="1642" stopIfTrue="1" operator="beginsWith" text="Functioning At Risk">
      <formula>LEFT(C83,LEN("Functioning At Risk"))="Functioning At Risk"</formula>
    </cfRule>
    <cfRule type="beginsWith" dxfId="1126" priority="1643" stopIfTrue="1" operator="beginsWith" text="Not Functioning">
      <formula>LEFT(C83,LEN("Not Functioning"))="Not Functioning"</formula>
    </cfRule>
    <cfRule type="containsText" dxfId="1125" priority="1644" operator="containsText" text="Functioning">
      <formula>NOT(ISERROR(SEARCH("Functioning",C83)))</formula>
    </cfRule>
  </conditionalFormatting>
  <conditionalFormatting sqref="C94">
    <cfRule type="beginsWith" dxfId="1124" priority="1639" stopIfTrue="1" operator="beginsWith" text="Functioning At Risk">
      <formula>LEFT(C94,LEN("Functioning At Risk"))="Functioning At Risk"</formula>
    </cfRule>
    <cfRule type="beginsWith" dxfId="1123" priority="1640" stopIfTrue="1" operator="beginsWith" text="Not Functioning">
      <formula>LEFT(C94,LEN("Not Functioning"))="Not Functioning"</formula>
    </cfRule>
    <cfRule type="containsText" dxfId="1122" priority="1641" operator="containsText" text="Functioning">
      <formula>NOT(ISERROR(SEARCH("Functioning",C94)))</formula>
    </cfRule>
  </conditionalFormatting>
  <conditionalFormatting sqref="C101">
    <cfRule type="beginsWith" dxfId="1121" priority="1636" stopIfTrue="1" operator="beginsWith" text="Functioning At Risk">
      <formula>LEFT(C101,LEN("Functioning At Risk"))="Functioning At Risk"</formula>
    </cfRule>
    <cfRule type="beginsWith" dxfId="1120" priority="1637" stopIfTrue="1" operator="beginsWith" text="Not Functioning">
      <formula>LEFT(C101,LEN("Not Functioning"))="Not Functioning"</formula>
    </cfRule>
    <cfRule type="containsText" dxfId="1119" priority="1638" operator="containsText" text="Functioning">
      <formula>NOT(ISERROR(SEARCH("Functioning",C101)))</formula>
    </cfRule>
  </conditionalFormatting>
  <conditionalFormatting sqref="C95:C98">
    <cfRule type="beginsWith" dxfId="1118" priority="1633" stopIfTrue="1" operator="beginsWith" text="Functioning At Risk">
      <formula>LEFT(C95,LEN("Functioning At Risk"))="Functioning At Risk"</formula>
    </cfRule>
    <cfRule type="beginsWith" dxfId="1117" priority="1634" stopIfTrue="1" operator="beginsWith" text="Not Functioning">
      <formula>LEFT(C95,LEN("Not Functioning"))="Not Functioning"</formula>
    </cfRule>
    <cfRule type="containsText" dxfId="1116" priority="1635" operator="containsText" text="Functioning">
      <formula>NOT(ISERROR(SEARCH("Functioning",C95)))</formula>
    </cfRule>
  </conditionalFormatting>
  <conditionalFormatting sqref="C104">
    <cfRule type="beginsWith" dxfId="1115" priority="1630" stopIfTrue="1" operator="beginsWith" text="Functioning At Risk">
      <formula>LEFT(C104,LEN("Functioning At Risk"))="Functioning At Risk"</formula>
    </cfRule>
    <cfRule type="beginsWith" dxfId="1114" priority="1631" stopIfTrue="1" operator="beginsWith" text="Not Functioning">
      <formula>LEFT(C104,LEN("Not Functioning"))="Not Functioning"</formula>
    </cfRule>
    <cfRule type="containsText" dxfId="1113" priority="1632" operator="containsText" text="Functioning">
      <formula>NOT(ISERROR(SEARCH("Functioning",C104)))</formula>
    </cfRule>
  </conditionalFormatting>
  <conditionalFormatting sqref="C105">
    <cfRule type="beginsWith" dxfId="1112" priority="1627" stopIfTrue="1" operator="beginsWith" text="Functioning At Risk">
      <formula>LEFT(C105,LEN("Functioning At Risk"))="Functioning At Risk"</formula>
    </cfRule>
    <cfRule type="beginsWith" dxfId="1111" priority="1628" stopIfTrue="1" operator="beginsWith" text="Not Functioning">
      <formula>LEFT(C105,LEN("Not Functioning"))="Not Functioning"</formula>
    </cfRule>
    <cfRule type="containsText" dxfId="1110" priority="1629" operator="containsText" text="Functioning">
      <formula>NOT(ISERROR(SEARCH("Functioning",C105)))</formula>
    </cfRule>
  </conditionalFormatting>
  <conditionalFormatting sqref="C116">
    <cfRule type="beginsWith" dxfId="1109" priority="1621" stopIfTrue="1" operator="beginsWith" text="Functioning At Risk">
      <formula>LEFT(C116,LEN("Functioning At Risk"))="Functioning At Risk"</formula>
    </cfRule>
    <cfRule type="beginsWith" dxfId="1108" priority="1622" stopIfTrue="1" operator="beginsWith" text="Not Functioning">
      <formula>LEFT(C116,LEN("Not Functioning"))="Not Functioning"</formula>
    </cfRule>
    <cfRule type="containsText" dxfId="1107" priority="1623" operator="containsText" text="Functioning">
      <formula>NOT(ISERROR(SEARCH("Functioning",C116)))</formula>
    </cfRule>
  </conditionalFormatting>
  <conditionalFormatting sqref="C115">
    <cfRule type="beginsWith" dxfId="1106" priority="1624" stopIfTrue="1" operator="beginsWith" text="Functioning At Risk">
      <formula>LEFT(C115,LEN("Functioning At Risk"))="Functioning At Risk"</formula>
    </cfRule>
    <cfRule type="beginsWith" dxfId="1105" priority="1625" stopIfTrue="1" operator="beginsWith" text="Not Functioning">
      <formula>LEFT(C115,LEN("Not Functioning"))="Not Functioning"</formula>
    </cfRule>
    <cfRule type="containsText" dxfId="1104" priority="1626" operator="containsText" text="Functioning">
      <formula>NOT(ISERROR(SEARCH("Functioning",C115)))</formula>
    </cfRule>
  </conditionalFormatting>
  <conditionalFormatting sqref="C113">
    <cfRule type="beginsWith" dxfId="1103" priority="1618" stopIfTrue="1" operator="beginsWith" text="Functioning At Risk">
      <formula>LEFT(C113,LEN("Functioning At Risk"))="Functioning At Risk"</formula>
    </cfRule>
    <cfRule type="beginsWith" dxfId="1102" priority="1619" stopIfTrue="1" operator="beginsWith" text="Not Functioning">
      <formula>LEFT(C113,LEN("Not Functioning"))="Not Functioning"</formula>
    </cfRule>
    <cfRule type="containsText" dxfId="1101" priority="1620" operator="containsText" text="Functioning">
      <formula>NOT(ISERROR(SEARCH("Functioning",C113)))</formula>
    </cfRule>
  </conditionalFormatting>
  <conditionalFormatting sqref="C99:C100">
    <cfRule type="beginsWith" dxfId="1100" priority="1615" stopIfTrue="1" operator="beginsWith" text="Functioning At Risk">
      <formula>LEFT(C99,LEN("Functioning At Risk"))="Functioning At Risk"</formula>
    </cfRule>
    <cfRule type="beginsWith" dxfId="1099" priority="1616" stopIfTrue="1" operator="beginsWith" text="Not Functioning">
      <formula>LEFT(C99,LEN("Not Functioning"))="Not Functioning"</formula>
    </cfRule>
    <cfRule type="containsText" dxfId="1098" priority="1617" operator="containsText" text="Functioning">
      <formula>NOT(ISERROR(SEARCH("Functioning",C99)))</formula>
    </cfRule>
  </conditionalFormatting>
  <conditionalFormatting sqref="C130:C132 C147:C148 C141:C142 C153 C145 C122:C125 C150:C151">
    <cfRule type="beginsWith" dxfId="1097" priority="1612" stopIfTrue="1" operator="beginsWith" text="Functioning At Risk">
      <formula>LEFT(C122,LEN("Functioning At Risk"))="Functioning At Risk"</formula>
    </cfRule>
    <cfRule type="beginsWith" dxfId="1096" priority="1613" stopIfTrue="1" operator="beginsWith" text="Not Functioning">
      <formula>LEFT(C122,LEN("Not Functioning"))="Not Functioning"</formula>
    </cfRule>
    <cfRule type="containsText" dxfId="1095" priority="1614" operator="containsText" text="Functioning">
      <formula>NOT(ISERROR(SEARCH("Functioning",C122)))</formula>
    </cfRule>
  </conditionalFormatting>
  <conditionalFormatting sqref="C133">
    <cfRule type="beginsWith" dxfId="1094" priority="1609" stopIfTrue="1" operator="beginsWith" text="Functioning At Risk">
      <formula>LEFT(C133,LEN("Functioning At Risk"))="Functioning At Risk"</formula>
    </cfRule>
    <cfRule type="beginsWith" dxfId="1093" priority="1610" stopIfTrue="1" operator="beginsWith" text="Not Functioning">
      <formula>LEFT(C133,LEN("Not Functioning"))="Not Functioning"</formula>
    </cfRule>
    <cfRule type="containsText" dxfId="1092" priority="1611" operator="containsText" text="Functioning">
      <formula>NOT(ISERROR(SEARCH("Functioning",C133)))</formula>
    </cfRule>
  </conditionalFormatting>
  <conditionalFormatting sqref="C140">
    <cfRule type="beginsWith" dxfId="1091" priority="1606" stopIfTrue="1" operator="beginsWith" text="Functioning At Risk">
      <formula>LEFT(C140,LEN("Functioning At Risk"))="Functioning At Risk"</formula>
    </cfRule>
    <cfRule type="beginsWith" dxfId="1090" priority="1607" stopIfTrue="1" operator="beginsWith" text="Not Functioning">
      <formula>LEFT(C140,LEN("Not Functioning"))="Not Functioning"</formula>
    </cfRule>
    <cfRule type="containsText" dxfId="1089" priority="1608" operator="containsText" text="Functioning">
      <formula>NOT(ISERROR(SEARCH("Functioning",C140)))</formula>
    </cfRule>
  </conditionalFormatting>
  <conditionalFormatting sqref="C134:C137">
    <cfRule type="beginsWith" dxfId="1088" priority="1603" stopIfTrue="1" operator="beginsWith" text="Functioning At Risk">
      <formula>LEFT(C134,LEN("Functioning At Risk"))="Functioning At Risk"</formula>
    </cfRule>
    <cfRule type="beginsWith" dxfId="1087" priority="1604" stopIfTrue="1" operator="beginsWith" text="Not Functioning">
      <formula>LEFT(C134,LEN("Not Functioning"))="Not Functioning"</formula>
    </cfRule>
    <cfRule type="containsText" dxfId="1086" priority="1605" operator="containsText" text="Functioning">
      <formula>NOT(ISERROR(SEARCH("Functioning",C134)))</formula>
    </cfRule>
  </conditionalFormatting>
  <conditionalFormatting sqref="C143">
    <cfRule type="beginsWith" dxfId="1085" priority="1600" stopIfTrue="1" operator="beginsWith" text="Functioning At Risk">
      <formula>LEFT(C143,LEN("Functioning At Risk"))="Functioning At Risk"</formula>
    </cfRule>
    <cfRule type="beginsWith" dxfId="1084" priority="1601" stopIfTrue="1" operator="beginsWith" text="Not Functioning">
      <formula>LEFT(C143,LEN("Not Functioning"))="Not Functioning"</formula>
    </cfRule>
    <cfRule type="containsText" dxfId="1083" priority="1602" operator="containsText" text="Functioning">
      <formula>NOT(ISERROR(SEARCH("Functioning",C143)))</formula>
    </cfRule>
  </conditionalFormatting>
  <conditionalFormatting sqref="C144">
    <cfRule type="beginsWith" dxfId="1082" priority="1597" stopIfTrue="1" operator="beginsWith" text="Functioning At Risk">
      <formula>LEFT(C144,LEN("Functioning At Risk"))="Functioning At Risk"</formula>
    </cfRule>
    <cfRule type="beginsWith" dxfId="1081" priority="1598" stopIfTrue="1" operator="beginsWith" text="Not Functioning">
      <formula>LEFT(C144,LEN("Not Functioning"))="Not Functioning"</formula>
    </cfRule>
    <cfRule type="containsText" dxfId="1080" priority="1599" operator="containsText" text="Functioning">
      <formula>NOT(ISERROR(SEARCH("Functioning",C144)))</formula>
    </cfRule>
  </conditionalFormatting>
  <conditionalFormatting sqref="C155">
    <cfRule type="beginsWith" dxfId="1079" priority="1591" stopIfTrue="1" operator="beginsWith" text="Functioning At Risk">
      <formula>LEFT(C155,LEN("Functioning At Risk"))="Functioning At Risk"</formula>
    </cfRule>
    <cfRule type="beginsWith" dxfId="1078" priority="1592" stopIfTrue="1" operator="beginsWith" text="Not Functioning">
      <formula>LEFT(C155,LEN("Not Functioning"))="Not Functioning"</formula>
    </cfRule>
    <cfRule type="containsText" dxfId="1077" priority="1593" operator="containsText" text="Functioning">
      <formula>NOT(ISERROR(SEARCH("Functioning",C155)))</formula>
    </cfRule>
  </conditionalFormatting>
  <conditionalFormatting sqref="C154">
    <cfRule type="beginsWith" dxfId="1076" priority="1594" stopIfTrue="1" operator="beginsWith" text="Functioning At Risk">
      <formula>LEFT(C154,LEN("Functioning At Risk"))="Functioning At Risk"</formula>
    </cfRule>
    <cfRule type="beginsWith" dxfId="1075" priority="1595" stopIfTrue="1" operator="beginsWith" text="Not Functioning">
      <formula>LEFT(C154,LEN("Not Functioning"))="Not Functioning"</formula>
    </cfRule>
    <cfRule type="containsText" dxfId="1074" priority="1596" operator="containsText" text="Functioning">
      <formula>NOT(ISERROR(SEARCH("Functioning",C154)))</formula>
    </cfRule>
  </conditionalFormatting>
  <conditionalFormatting sqref="C152">
    <cfRule type="beginsWith" dxfId="1073" priority="1588" stopIfTrue="1" operator="beginsWith" text="Functioning At Risk">
      <formula>LEFT(C152,LEN("Functioning At Risk"))="Functioning At Risk"</formula>
    </cfRule>
    <cfRule type="beginsWith" dxfId="1072" priority="1589" stopIfTrue="1" operator="beginsWith" text="Not Functioning">
      <formula>LEFT(C152,LEN("Not Functioning"))="Not Functioning"</formula>
    </cfRule>
    <cfRule type="containsText" dxfId="1071" priority="1590" operator="containsText" text="Functioning">
      <formula>NOT(ISERROR(SEARCH("Functioning",C152)))</formula>
    </cfRule>
  </conditionalFormatting>
  <conditionalFormatting sqref="C138:C139">
    <cfRule type="beginsWith" dxfId="1070" priority="1585" stopIfTrue="1" operator="beginsWith" text="Functioning At Risk">
      <formula>LEFT(C138,LEN("Functioning At Risk"))="Functioning At Risk"</formula>
    </cfRule>
    <cfRule type="beginsWith" dxfId="1069" priority="1586" stopIfTrue="1" operator="beginsWith" text="Not Functioning">
      <formula>LEFT(C138,LEN("Not Functioning"))="Not Functioning"</formula>
    </cfRule>
    <cfRule type="containsText" dxfId="1068" priority="1587" operator="containsText" text="Functioning">
      <formula>NOT(ISERROR(SEARCH("Functioning",C138)))</formula>
    </cfRule>
  </conditionalFormatting>
  <conditionalFormatting sqref="C169:C171 C186:C187 C180:C181 C192 C184 C161:C164 C189:C190">
    <cfRule type="beginsWith" dxfId="1067" priority="1582" stopIfTrue="1" operator="beginsWith" text="Functioning At Risk">
      <formula>LEFT(C161,LEN("Functioning At Risk"))="Functioning At Risk"</formula>
    </cfRule>
    <cfRule type="beginsWith" dxfId="1066" priority="1583" stopIfTrue="1" operator="beginsWith" text="Not Functioning">
      <formula>LEFT(C161,LEN("Not Functioning"))="Not Functioning"</formula>
    </cfRule>
    <cfRule type="containsText" dxfId="1065" priority="1584" operator="containsText" text="Functioning">
      <formula>NOT(ISERROR(SEARCH("Functioning",C161)))</formula>
    </cfRule>
  </conditionalFormatting>
  <conditionalFormatting sqref="C172">
    <cfRule type="beginsWith" dxfId="1064" priority="1579" stopIfTrue="1" operator="beginsWith" text="Functioning At Risk">
      <formula>LEFT(C172,LEN("Functioning At Risk"))="Functioning At Risk"</formula>
    </cfRule>
    <cfRule type="beginsWith" dxfId="1063" priority="1580" stopIfTrue="1" operator="beginsWith" text="Not Functioning">
      <formula>LEFT(C172,LEN("Not Functioning"))="Not Functioning"</formula>
    </cfRule>
    <cfRule type="containsText" dxfId="1062" priority="1581" operator="containsText" text="Functioning">
      <formula>NOT(ISERROR(SEARCH("Functioning",C172)))</formula>
    </cfRule>
  </conditionalFormatting>
  <conditionalFormatting sqref="C179">
    <cfRule type="beginsWith" dxfId="1061" priority="1576" stopIfTrue="1" operator="beginsWith" text="Functioning At Risk">
      <formula>LEFT(C179,LEN("Functioning At Risk"))="Functioning At Risk"</formula>
    </cfRule>
    <cfRule type="beginsWith" dxfId="1060" priority="1577" stopIfTrue="1" operator="beginsWith" text="Not Functioning">
      <formula>LEFT(C179,LEN("Not Functioning"))="Not Functioning"</formula>
    </cfRule>
    <cfRule type="containsText" dxfId="1059" priority="1578" operator="containsText" text="Functioning">
      <formula>NOT(ISERROR(SEARCH("Functioning",C179)))</formula>
    </cfRule>
  </conditionalFormatting>
  <conditionalFormatting sqref="C173:C176">
    <cfRule type="beginsWith" dxfId="1058" priority="1573" stopIfTrue="1" operator="beginsWith" text="Functioning At Risk">
      <formula>LEFT(C173,LEN("Functioning At Risk"))="Functioning At Risk"</formula>
    </cfRule>
    <cfRule type="beginsWith" dxfId="1057" priority="1574" stopIfTrue="1" operator="beginsWith" text="Not Functioning">
      <formula>LEFT(C173,LEN("Not Functioning"))="Not Functioning"</formula>
    </cfRule>
    <cfRule type="containsText" dxfId="1056" priority="1575" operator="containsText" text="Functioning">
      <formula>NOT(ISERROR(SEARCH("Functioning",C173)))</formula>
    </cfRule>
  </conditionalFormatting>
  <conditionalFormatting sqref="C182">
    <cfRule type="beginsWith" dxfId="1055" priority="1570" stopIfTrue="1" operator="beginsWith" text="Functioning At Risk">
      <formula>LEFT(C182,LEN("Functioning At Risk"))="Functioning At Risk"</formula>
    </cfRule>
    <cfRule type="beginsWith" dxfId="1054" priority="1571" stopIfTrue="1" operator="beginsWith" text="Not Functioning">
      <formula>LEFT(C182,LEN("Not Functioning"))="Not Functioning"</formula>
    </cfRule>
    <cfRule type="containsText" dxfId="1053" priority="1572" operator="containsText" text="Functioning">
      <formula>NOT(ISERROR(SEARCH("Functioning",C182)))</formula>
    </cfRule>
  </conditionalFormatting>
  <conditionalFormatting sqref="C183">
    <cfRule type="beginsWith" dxfId="1052" priority="1567" stopIfTrue="1" operator="beginsWith" text="Functioning At Risk">
      <formula>LEFT(C183,LEN("Functioning At Risk"))="Functioning At Risk"</formula>
    </cfRule>
    <cfRule type="beginsWith" dxfId="1051" priority="1568" stopIfTrue="1" operator="beginsWith" text="Not Functioning">
      <formula>LEFT(C183,LEN("Not Functioning"))="Not Functioning"</formula>
    </cfRule>
    <cfRule type="containsText" dxfId="1050" priority="1569" operator="containsText" text="Functioning">
      <formula>NOT(ISERROR(SEARCH("Functioning",C183)))</formula>
    </cfRule>
  </conditionalFormatting>
  <conditionalFormatting sqref="C194">
    <cfRule type="beginsWith" dxfId="1049" priority="1561" stopIfTrue="1" operator="beginsWith" text="Functioning At Risk">
      <formula>LEFT(C194,LEN("Functioning At Risk"))="Functioning At Risk"</formula>
    </cfRule>
    <cfRule type="beginsWith" dxfId="1048" priority="1562" stopIfTrue="1" operator="beginsWith" text="Not Functioning">
      <formula>LEFT(C194,LEN("Not Functioning"))="Not Functioning"</formula>
    </cfRule>
    <cfRule type="containsText" dxfId="1047" priority="1563" operator="containsText" text="Functioning">
      <formula>NOT(ISERROR(SEARCH("Functioning",C194)))</formula>
    </cfRule>
  </conditionalFormatting>
  <conditionalFormatting sqref="C193">
    <cfRule type="beginsWith" dxfId="1046" priority="1564" stopIfTrue="1" operator="beginsWith" text="Functioning At Risk">
      <formula>LEFT(C193,LEN("Functioning At Risk"))="Functioning At Risk"</formula>
    </cfRule>
    <cfRule type="beginsWith" dxfId="1045" priority="1565" stopIfTrue="1" operator="beginsWith" text="Not Functioning">
      <formula>LEFT(C193,LEN("Not Functioning"))="Not Functioning"</formula>
    </cfRule>
    <cfRule type="containsText" dxfId="1044" priority="1566" operator="containsText" text="Functioning">
      <formula>NOT(ISERROR(SEARCH("Functioning",C193)))</formula>
    </cfRule>
  </conditionalFormatting>
  <conditionalFormatting sqref="C191">
    <cfRule type="beginsWith" dxfId="1043" priority="1558" stopIfTrue="1" operator="beginsWith" text="Functioning At Risk">
      <formula>LEFT(C191,LEN("Functioning At Risk"))="Functioning At Risk"</formula>
    </cfRule>
    <cfRule type="beginsWith" dxfId="1042" priority="1559" stopIfTrue="1" operator="beginsWith" text="Not Functioning">
      <formula>LEFT(C191,LEN("Not Functioning"))="Not Functioning"</formula>
    </cfRule>
    <cfRule type="containsText" dxfId="1041" priority="1560" operator="containsText" text="Functioning">
      <formula>NOT(ISERROR(SEARCH("Functioning",C191)))</formula>
    </cfRule>
  </conditionalFormatting>
  <conditionalFormatting sqref="C177:C178">
    <cfRule type="beginsWith" dxfId="1040" priority="1555" stopIfTrue="1" operator="beginsWith" text="Functioning At Risk">
      <formula>LEFT(C177,LEN("Functioning At Risk"))="Functioning At Risk"</formula>
    </cfRule>
    <cfRule type="beginsWith" dxfId="1039" priority="1556" stopIfTrue="1" operator="beginsWith" text="Not Functioning">
      <formula>LEFT(C177,LEN("Not Functioning"))="Not Functioning"</formula>
    </cfRule>
    <cfRule type="containsText" dxfId="1038" priority="1557" operator="containsText" text="Functioning">
      <formula>NOT(ISERROR(SEARCH("Functioning",C177)))</formula>
    </cfRule>
  </conditionalFormatting>
  <conditionalFormatting sqref="C208:C210 C225:C226 C219:C220 C231 C223 C200:C203 C228:C229">
    <cfRule type="beginsWith" dxfId="1037" priority="1552" stopIfTrue="1" operator="beginsWith" text="Functioning At Risk">
      <formula>LEFT(C200,LEN("Functioning At Risk"))="Functioning At Risk"</formula>
    </cfRule>
    <cfRule type="beginsWith" dxfId="1036" priority="1553" stopIfTrue="1" operator="beginsWith" text="Not Functioning">
      <formula>LEFT(C200,LEN("Not Functioning"))="Not Functioning"</formula>
    </cfRule>
    <cfRule type="containsText" dxfId="1035" priority="1554" operator="containsText" text="Functioning">
      <formula>NOT(ISERROR(SEARCH("Functioning",C200)))</formula>
    </cfRule>
  </conditionalFormatting>
  <conditionalFormatting sqref="C211">
    <cfRule type="beginsWith" dxfId="1034" priority="1549" stopIfTrue="1" operator="beginsWith" text="Functioning At Risk">
      <formula>LEFT(C211,LEN("Functioning At Risk"))="Functioning At Risk"</formula>
    </cfRule>
    <cfRule type="beginsWith" dxfId="1033" priority="1550" stopIfTrue="1" operator="beginsWith" text="Not Functioning">
      <formula>LEFT(C211,LEN("Not Functioning"))="Not Functioning"</formula>
    </cfRule>
    <cfRule type="containsText" dxfId="1032" priority="1551" operator="containsText" text="Functioning">
      <formula>NOT(ISERROR(SEARCH("Functioning",C211)))</formula>
    </cfRule>
  </conditionalFormatting>
  <conditionalFormatting sqref="C218">
    <cfRule type="beginsWith" dxfId="1031" priority="1546" stopIfTrue="1" operator="beginsWith" text="Functioning At Risk">
      <formula>LEFT(C218,LEN("Functioning At Risk"))="Functioning At Risk"</formula>
    </cfRule>
    <cfRule type="beginsWith" dxfId="1030" priority="1547" stopIfTrue="1" operator="beginsWith" text="Not Functioning">
      <formula>LEFT(C218,LEN("Not Functioning"))="Not Functioning"</formula>
    </cfRule>
    <cfRule type="containsText" dxfId="1029" priority="1548" operator="containsText" text="Functioning">
      <formula>NOT(ISERROR(SEARCH("Functioning",C218)))</formula>
    </cfRule>
  </conditionalFormatting>
  <conditionalFormatting sqref="C212:C215">
    <cfRule type="beginsWith" dxfId="1028" priority="1543" stopIfTrue="1" operator="beginsWith" text="Functioning At Risk">
      <formula>LEFT(C212,LEN("Functioning At Risk"))="Functioning At Risk"</formula>
    </cfRule>
    <cfRule type="beginsWith" dxfId="1027" priority="1544" stopIfTrue="1" operator="beginsWith" text="Not Functioning">
      <formula>LEFT(C212,LEN("Not Functioning"))="Not Functioning"</formula>
    </cfRule>
    <cfRule type="containsText" dxfId="1026" priority="1545" operator="containsText" text="Functioning">
      <formula>NOT(ISERROR(SEARCH("Functioning",C212)))</formula>
    </cfRule>
  </conditionalFormatting>
  <conditionalFormatting sqref="C221">
    <cfRule type="beginsWith" dxfId="1025" priority="1540" stopIfTrue="1" operator="beginsWith" text="Functioning At Risk">
      <formula>LEFT(C221,LEN("Functioning At Risk"))="Functioning At Risk"</formula>
    </cfRule>
    <cfRule type="beginsWith" dxfId="1024" priority="1541" stopIfTrue="1" operator="beginsWith" text="Not Functioning">
      <formula>LEFT(C221,LEN("Not Functioning"))="Not Functioning"</formula>
    </cfRule>
    <cfRule type="containsText" dxfId="1023" priority="1542" operator="containsText" text="Functioning">
      <formula>NOT(ISERROR(SEARCH("Functioning",C221)))</formula>
    </cfRule>
  </conditionalFormatting>
  <conditionalFormatting sqref="C222">
    <cfRule type="beginsWith" dxfId="1022" priority="1537" stopIfTrue="1" operator="beginsWith" text="Functioning At Risk">
      <formula>LEFT(C222,LEN("Functioning At Risk"))="Functioning At Risk"</formula>
    </cfRule>
    <cfRule type="beginsWith" dxfId="1021" priority="1538" stopIfTrue="1" operator="beginsWith" text="Not Functioning">
      <formula>LEFT(C222,LEN("Not Functioning"))="Not Functioning"</formula>
    </cfRule>
    <cfRule type="containsText" dxfId="1020" priority="1539" operator="containsText" text="Functioning">
      <formula>NOT(ISERROR(SEARCH("Functioning",C222)))</formula>
    </cfRule>
  </conditionalFormatting>
  <conditionalFormatting sqref="C233">
    <cfRule type="beginsWith" dxfId="1019" priority="1531" stopIfTrue="1" operator="beginsWith" text="Functioning At Risk">
      <formula>LEFT(C233,LEN("Functioning At Risk"))="Functioning At Risk"</formula>
    </cfRule>
    <cfRule type="beginsWith" dxfId="1018" priority="1532" stopIfTrue="1" operator="beginsWith" text="Not Functioning">
      <formula>LEFT(C233,LEN("Not Functioning"))="Not Functioning"</formula>
    </cfRule>
    <cfRule type="containsText" dxfId="1017" priority="1533" operator="containsText" text="Functioning">
      <formula>NOT(ISERROR(SEARCH("Functioning",C233)))</formula>
    </cfRule>
  </conditionalFormatting>
  <conditionalFormatting sqref="C232">
    <cfRule type="beginsWith" dxfId="1016" priority="1534" stopIfTrue="1" operator="beginsWith" text="Functioning At Risk">
      <formula>LEFT(C232,LEN("Functioning At Risk"))="Functioning At Risk"</formula>
    </cfRule>
    <cfRule type="beginsWith" dxfId="1015" priority="1535" stopIfTrue="1" operator="beginsWith" text="Not Functioning">
      <formula>LEFT(C232,LEN("Not Functioning"))="Not Functioning"</formula>
    </cfRule>
    <cfRule type="containsText" dxfId="1014" priority="1536" operator="containsText" text="Functioning">
      <formula>NOT(ISERROR(SEARCH("Functioning",C232)))</formula>
    </cfRule>
  </conditionalFormatting>
  <conditionalFormatting sqref="C230">
    <cfRule type="beginsWith" dxfId="1013" priority="1528" stopIfTrue="1" operator="beginsWith" text="Functioning At Risk">
      <formula>LEFT(C230,LEN("Functioning At Risk"))="Functioning At Risk"</formula>
    </cfRule>
    <cfRule type="beginsWith" dxfId="1012" priority="1529" stopIfTrue="1" operator="beginsWith" text="Not Functioning">
      <formula>LEFT(C230,LEN("Not Functioning"))="Not Functioning"</formula>
    </cfRule>
    <cfRule type="containsText" dxfId="1011" priority="1530" operator="containsText" text="Functioning">
      <formula>NOT(ISERROR(SEARCH("Functioning",C230)))</formula>
    </cfRule>
  </conditionalFormatting>
  <conditionalFormatting sqref="C216:C217">
    <cfRule type="beginsWith" dxfId="1010" priority="1525" stopIfTrue="1" operator="beginsWith" text="Functioning At Risk">
      <formula>LEFT(C216,LEN("Functioning At Risk"))="Functioning At Risk"</formula>
    </cfRule>
    <cfRule type="beginsWith" dxfId="1009" priority="1526" stopIfTrue="1" operator="beginsWith" text="Not Functioning">
      <formula>LEFT(C216,LEN("Not Functioning"))="Not Functioning"</formula>
    </cfRule>
    <cfRule type="containsText" dxfId="1008" priority="1527" operator="containsText" text="Functioning">
      <formula>NOT(ISERROR(SEARCH("Functioning",C216)))</formula>
    </cfRule>
  </conditionalFormatting>
  <conditionalFormatting sqref="C248:C250 C265:C266 C259:C260 C271 C263 C240:C243 C268:C269">
    <cfRule type="beginsWith" dxfId="1007" priority="1522" stopIfTrue="1" operator="beginsWith" text="Functioning At Risk">
      <formula>LEFT(C240,LEN("Functioning At Risk"))="Functioning At Risk"</formula>
    </cfRule>
    <cfRule type="beginsWith" dxfId="1006" priority="1523" stopIfTrue="1" operator="beginsWith" text="Not Functioning">
      <formula>LEFT(C240,LEN("Not Functioning"))="Not Functioning"</formula>
    </cfRule>
    <cfRule type="containsText" dxfId="1005" priority="1524" operator="containsText" text="Functioning">
      <formula>NOT(ISERROR(SEARCH("Functioning",C240)))</formula>
    </cfRule>
  </conditionalFormatting>
  <conditionalFormatting sqref="C251">
    <cfRule type="beginsWith" dxfId="1004" priority="1519" stopIfTrue="1" operator="beginsWith" text="Functioning At Risk">
      <formula>LEFT(C251,LEN("Functioning At Risk"))="Functioning At Risk"</formula>
    </cfRule>
    <cfRule type="beginsWith" dxfId="1003" priority="1520" stopIfTrue="1" operator="beginsWith" text="Not Functioning">
      <formula>LEFT(C251,LEN("Not Functioning"))="Not Functioning"</formula>
    </cfRule>
    <cfRule type="containsText" dxfId="1002" priority="1521" operator="containsText" text="Functioning">
      <formula>NOT(ISERROR(SEARCH("Functioning",C251)))</formula>
    </cfRule>
  </conditionalFormatting>
  <conditionalFormatting sqref="C258">
    <cfRule type="beginsWith" dxfId="1001" priority="1516" stopIfTrue="1" operator="beginsWith" text="Functioning At Risk">
      <formula>LEFT(C258,LEN("Functioning At Risk"))="Functioning At Risk"</formula>
    </cfRule>
    <cfRule type="beginsWith" dxfId="1000" priority="1517" stopIfTrue="1" operator="beginsWith" text="Not Functioning">
      <formula>LEFT(C258,LEN("Not Functioning"))="Not Functioning"</formula>
    </cfRule>
    <cfRule type="containsText" dxfId="999" priority="1518" operator="containsText" text="Functioning">
      <formula>NOT(ISERROR(SEARCH("Functioning",C258)))</formula>
    </cfRule>
  </conditionalFormatting>
  <conditionalFormatting sqref="C252:C255">
    <cfRule type="beginsWith" dxfId="998" priority="1513" stopIfTrue="1" operator="beginsWith" text="Functioning At Risk">
      <formula>LEFT(C252,LEN("Functioning At Risk"))="Functioning At Risk"</formula>
    </cfRule>
    <cfRule type="beginsWith" dxfId="997" priority="1514" stopIfTrue="1" operator="beginsWith" text="Not Functioning">
      <formula>LEFT(C252,LEN("Not Functioning"))="Not Functioning"</formula>
    </cfRule>
    <cfRule type="containsText" dxfId="996" priority="1515" operator="containsText" text="Functioning">
      <formula>NOT(ISERROR(SEARCH("Functioning",C252)))</formula>
    </cfRule>
  </conditionalFormatting>
  <conditionalFormatting sqref="C261">
    <cfRule type="beginsWith" dxfId="995" priority="1510" stopIfTrue="1" operator="beginsWith" text="Functioning At Risk">
      <formula>LEFT(C261,LEN("Functioning At Risk"))="Functioning At Risk"</formula>
    </cfRule>
    <cfRule type="beginsWith" dxfId="994" priority="1511" stopIfTrue="1" operator="beginsWith" text="Not Functioning">
      <formula>LEFT(C261,LEN("Not Functioning"))="Not Functioning"</formula>
    </cfRule>
    <cfRule type="containsText" dxfId="993" priority="1512" operator="containsText" text="Functioning">
      <formula>NOT(ISERROR(SEARCH("Functioning",C261)))</formula>
    </cfRule>
  </conditionalFormatting>
  <conditionalFormatting sqref="C262">
    <cfRule type="beginsWith" dxfId="992" priority="1507" stopIfTrue="1" operator="beginsWith" text="Functioning At Risk">
      <formula>LEFT(C262,LEN("Functioning At Risk"))="Functioning At Risk"</formula>
    </cfRule>
    <cfRule type="beginsWith" dxfId="991" priority="1508" stopIfTrue="1" operator="beginsWith" text="Not Functioning">
      <formula>LEFT(C262,LEN("Not Functioning"))="Not Functioning"</formula>
    </cfRule>
    <cfRule type="containsText" dxfId="990" priority="1509" operator="containsText" text="Functioning">
      <formula>NOT(ISERROR(SEARCH("Functioning",C262)))</formula>
    </cfRule>
  </conditionalFormatting>
  <conditionalFormatting sqref="C273">
    <cfRule type="beginsWith" dxfId="989" priority="1501" stopIfTrue="1" operator="beginsWith" text="Functioning At Risk">
      <formula>LEFT(C273,LEN("Functioning At Risk"))="Functioning At Risk"</formula>
    </cfRule>
    <cfRule type="beginsWith" dxfId="988" priority="1502" stopIfTrue="1" operator="beginsWith" text="Not Functioning">
      <formula>LEFT(C273,LEN("Not Functioning"))="Not Functioning"</formula>
    </cfRule>
    <cfRule type="containsText" dxfId="987" priority="1503" operator="containsText" text="Functioning">
      <formula>NOT(ISERROR(SEARCH("Functioning",C273)))</formula>
    </cfRule>
  </conditionalFormatting>
  <conditionalFormatting sqref="C272">
    <cfRule type="beginsWith" dxfId="986" priority="1504" stopIfTrue="1" operator="beginsWith" text="Functioning At Risk">
      <formula>LEFT(C272,LEN("Functioning At Risk"))="Functioning At Risk"</formula>
    </cfRule>
    <cfRule type="beginsWith" dxfId="985" priority="1505" stopIfTrue="1" operator="beginsWith" text="Not Functioning">
      <formula>LEFT(C272,LEN("Not Functioning"))="Not Functioning"</formula>
    </cfRule>
    <cfRule type="containsText" dxfId="984" priority="1506" operator="containsText" text="Functioning">
      <formula>NOT(ISERROR(SEARCH("Functioning",C272)))</formula>
    </cfRule>
  </conditionalFormatting>
  <conditionalFormatting sqref="C270">
    <cfRule type="beginsWith" dxfId="983" priority="1498" stopIfTrue="1" operator="beginsWith" text="Functioning At Risk">
      <formula>LEFT(C270,LEN("Functioning At Risk"))="Functioning At Risk"</formula>
    </cfRule>
    <cfRule type="beginsWith" dxfId="982" priority="1499" stopIfTrue="1" operator="beginsWith" text="Not Functioning">
      <formula>LEFT(C270,LEN("Not Functioning"))="Not Functioning"</formula>
    </cfRule>
    <cfRule type="containsText" dxfId="981" priority="1500" operator="containsText" text="Functioning">
      <formula>NOT(ISERROR(SEARCH("Functioning",C270)))</formula>
    </cfRule>
  </conditionalFormatting>
  <conditionalFormatting sqref="C256:C257">
    <cfRule type="beginsWith" dxfId="980" priority="1495" stopIfTrue="1" operator="beginsWith" text="Functioning At Risk">
      <formula>LEFT(C256,LEN("Functioning At Risk"))="Functioning At Risk"</formula>
    </cfRule>
    <cfRule type="beginsWith" dxfId="979" priority="1496" stopIfTrue="1" operator="beginsWith" text="Not Functioning">
      <formula>LEFT(C256,LEN("Not Functioning"))="Not Functioning"</formula>
    </cfRule>
    <cfRule type="containsText" dxfId="978" priority="1497" operator="containsText" text="Functioning">
      <formula>NOT(ISERROR(SEARCH("Functioning",C256)))</formula>
    </cfRule>
  </conditionalFormatting>
  <conditionalFormatting sqref="C288:C290 C305:C306 C299:C300 C311 C303 C280:C283 C308:C309">
    <cfRule type="beginsWith" dxfId="977" priority="1492" stopIfTrue="1" operator="beginsWith" text="Functioning At Risk">
      <formula>LEFT(C280,LEN("Functioning At Risk"))="Functioning At Risk"</formula>
    </cfRule>
    <cfRule type="beginsWith" dxfId="976" priority="1493" stopIfTrue="1" operator="beginsWith" text="Not Functioning">
      <formula>LEFT(C280,LEN("Not Functioning"))="Not Functioning"</formula>
    </cfRule>
    <cfRule type="containsText" dxfId="975" priority="1494" operator="containsText" text="Functioning">
      <formula>NOT(ISERROR(SEARCH("Functioning",C280)))</formula>
    </cfRule>
  </conditionalFormatting>
  <conditionalFormatting sqref="C291">
    <cfRule type="beginsWith" dxfId="974" priority="1489" stopIfTrue="1" operator="beginsWith" text="Functioning At Risk">
      <formula>LEFT(C291,LEN("Functioning At Risk"))="Functioning At Risk"</formula>
    </cfRule>
    <cfRule type="beginsWith" dxfId="973" priority="1490" stopIfTrue="1" operator="beginsWith" text="Not Functioning">
      <formula>LEFT(C291,LEN("Not Functioning"))="Not Functioning"</formula>
    </cfRule>
    <cfRule type="containsText" dxfId="972" priority="1491" operator="containsText" text="Functioning">
      <formula>NOT(ISERROR(SEARCH("Functioning",C291)))</formula>
    </cfRule>
  </conditionalFormatting>
  <conditionalFormatting sqref="C298">
    <cfRule type="beginsWith" dxfId="971" priority="1486" stopIfTrue="1" operator="beginsWith" text="Functioning At Risk">
      <formula>LEFT(C298,LEN("Functioning At Risk"))="Functioning At Risk"</formula>
    </cfRule>
    <cfRule type="beginsWith" dxfId="970" priority="1487" stopIfTrue="1" operator="beginsWith" text="Not Functioning">
      <formula>LEFT(C298,LEN("Not Functioning"))="Not Functioning"</formula>
    </cfRule>
    <cfRule type="containsText" dxfId="969" priority="1488" operator="containsText" text="Functioning">
      <formula>NOT(ISERROR(SEARCH("Functioning",C298)))</formula>
    </cfRule>
  </conditionalFormatting>
  <conditionalFormatting sqref="C292:C295">
    <cfRule type="beginsWith" dxfId="968" priority="1483" stopIfTrue="1" operator="beginsWith" text="Functioning At Risk">
      <formula>LEFT(C292,LEN("Functioning At Risk"))="Functioning At Risk"</formula>
    </cfRule>
    <cfRule type="beginsWith" dxfId="967" priority="1484" stopIfTrue="1" operator="beginsWith" text="Not Functioning">
      <formula>LEFT(C292,LEN("Not Functioning"))="Not Functioning"</formula>
    </cfRule>
    <cfRule type="containsText" dxfId="966" priority="1485" operator="containsText" text="Functioning">
      <formula>NOT(ISERROR(SEARCH("Functioning",C292)))</formula>
    </cfRule>
  </conditionalFormatting>
  <conditionalFormatting sqref="C301">
    <cfRule type="beginsWith" dxfId="965" priority="1480" stopIfTrue="1" operator="beginsWith" text="Functioning At Risk">
      <formula>LEFT(C301,LEN("Functioning At Risk"))="Functioning At Risk"</formula>
    </cfRule>
    <cfRule type="beginsWith" dxfId="964" priority="1481" stopIfTrue="1" operator="beginsWith" text="Not Functioning">
      <formula>LEFT(C301,LEN("Not Functioning"))="Not Functioning"</formula>
    </cfRule>
    <cfRule type="containsText" dxfId="963" priority="1482" operator="containsText" text="Functioning">
      <formula>NOT(ISERROR(SEARCH("Functioning",C301)))</formula>
    </cfRule>
  </conditionalFormatting>
  <conditionalFormatting sqref="C302">
    <cfRule type="beginsWith" dxfId="962" priority="1477" stopIfTrue="1" operator="beginsWith" text="Functioning At Risk">
      <formula>LEFT(C302,LEN("Functioning At Risk"))="Functioning At Risk"</formula>
    </cfRule>
    <cfRule type="beginsWith" dxfId="961" priority="1478" stopIfTrue="1" operator="beginsWith" text="Not Functioning">
      <formula>LEFT(C302,LEN("Not Functioning"))="Not Functioning"</formula>
    </cfRule>
    <cfRule type="containsText" dxfId="960" priority="1479" operator="containsText" text="Functioning">
      <formula>NOT(ISERROR(SEARCH("Functioning",C302)))</formula>
    </cfRule>
  </conditionalFormatting>
  <conditionalFormatting sqref="C313">
    <cfRule type="beginsWith" dxfId="959" priority="1471" stopIfTrue="1" operator="beginsWith" text="Functioning At Risk">
      <formula>LEFT(C313,LEN("Functioning At Risk"))="Functioning At Risk"</formula>
    </cfRule>
    <cfRule type="beginsWith" dxfId="958" priority="1472" stopIfTrue="1" operator="beginsWith" text="Not Functioning">
      <formula>LEFT(C313,LEN("Not Functioning"))="Not Functioning"</formula>
    </cfRule>
    <cfRule type="containsText" dxfId="957" priority="1473" operator="containsText" text="Functioning">
      <formula>NOT(ISERROR(SEARCH("Functioning",C313)))</formula>
    </cfRule>
  </conditionalFormatting>
  <conditionalFormatting sqref="C312">
    <cfRule type="beginsWith" dxfId="956" priority="1474" stopIfTrue="1" operator="beginsWith" text="Functioning At Risk">
      <formula>LEFT(C312,LEN("Functioning At Risk"))="Functioning At Risk"</formula>
    </cfRule>
    <cfRule type="beginsWith" dxfId="955" priority="1475" stopIfTrue="1" operator="beginsWith" text="Not Functioning">
      <formula>LEFT(C312,LEN("Not Functioning"))="Not Functioning"</formula>
    </cfRule>
    <cfRule type="containsText" dxfId="954" priority="1476" operator="containsText" text="Functioning">
      <formula>NOT(ISERROR(SEARCH("Functioning",C312)))</formula>
    </cfRule>
  </conditionalFormatting>
  <conditionalFormatting sqref="C310">
    <cfRule type="beginsWith" dxfId="953" priority="1468" stopIfTrue="1" operator="beginsWith" text="Functioning At Risk">
      <formula>LEFT(C310,LEN("Functioning At Risk"))="Functioning At Risk"</formula>
    </cfRule>
    <cfRule type="beginsWith" dxfId="952" priority="1469" stopIfTrue="1" operator="beginsWith" text="Not Functioning">
      <formula>LEFT(C310,LEN("Not Functioning"))="Not Functioning"</formula>
    </cfRule>
    <cfRule type="containsText" dxfId="951" priority="1470" operator="containsText" text="Functioning">
      <formula>NOT(ISERROR(SEARCH("Functioning",C310)))</formula>
    </cfRule>
  </conditionalFormatting>
  <conditionalFormatting sqref="C296:C297">
    <cfRule type="beginsWith" dxfId="950" priority="1465" stopIfTrue="1" operator="beginsWith" text="Functioning At Risk">
      <formula>LEFT(C296,LEN("Functioning At Risk"))="Functioning At Risk"</formula>
    </cfRule>
    <cfRule type="beginsWith" dxfId="949" priority="1466" stopIfTrue="1" operator="beginsWith" text="Not Functioning">
      <formula>LEFT(C296,LEN("Not Functioning"))="Not Functioning"</formula>
    </cfRule>
    <cfRule type="containsText" dxfId="948" priority="1467" operator="containsText" text="Functioning">
      <formula>NOT(ISERROR(SEARCH("Functioning",C296)))</formula>
    </cfRule>
  </conditionalFormatting>
  <conditionalFormatting sqref="C328:C330 C345:C346 C339:C340 C351 C343 C320:C323 C348:C349">
    <cfRule type="beginsWith" dxfId="947" priority="1462" stopIfTrue="1" operator="beginsWith" text="Functioning At Risk">
      <formula>LEFT(C320,LEN("Functioning At Risk"))="Functioning At Risk"</formula>
    </cfRule>
    <cfRule type="beginsWith" dxfId="946" priority="1463" stopIfTrue="1" operator="beginsWith" text="Not Functioning">
      <formula>LEFT(C320,LEN("Not Functioning"))="Not Functioning"</formula>
    </cfRule>
    <cfRule type="containsText" dxfId="945" priority="1464" operator="containsText" text="Functioning">
      <formula>NOT(ISERROR(SEARCH("Functioning",C320)))</formula>
    </cfRule>
  </conditionalFormatting>
  <conditionalFormatting sqref="C331">
    <cfRule type="beginsWith" dxfId="944" priority="1459" stopIfTrue="1" operator="beginsWith" text="Functioning At Risk">
      <formula>LEFT(C331,LEN("Functioning At Risk"))="Functioning At Risk"</formula>
    </cfRule>
    <cfRule type="beginsWith" dxfId="943" priority="1460" stopIfTrue="1" operator="beginsWith" text="Not Functioning">
      <formula>LEFT(C331,LEN("Not Functioning"))="Not Functioning"</formula>
    </cfRule>
    <cfRule type="containsText" dxfId="942" priority="1461" operator="containsText" text="Functioning">
      <formula>NOT(ISERROR(SEARCH("Functioning",C331)))</formula>
    </cfRule>
  </conditionalFormatting>
  <conditionalFormatting sqref="C338">
    <cfRule type="beginsWith" dxfId="941" priority="1456" stopIfTrue="1" operator="beginsWith" text="Functioning At Risk">
      <formula>LEFT(C338,LEN("Functioning At Risk"))="Functioning At Risk"</formula>
    </cfRule>
    <cfRule type="beginsWith" dxfId="940" priority="1457" stopIfTrue="1" operator="beginsWith" text="Not Functioning">
      <formula>LEFT(C338,LEN("Not Functioning"))="Not Functioning"</formula>
    </cfRule>
    <cfRule type="containsText" dxfId="939" priority="1458" operator="containsText" text="Functioning">
      <formula>NOT(ISERROR(SEARCH("Functioning",C338)))</formula>
    </cfRule>
  </conditionalFormatting>
  <conditionalFormatting sqref="C332:C335">
    <cfRule type="beginsWith" dxfId="938" priority="1453" stopIfTrue="1" operator="beginsWith" text="Functioning At Risk">
      <formula>LEFT(C332,LEN("Functioning At Risk"))="Functioning At Risk"</formula>
    </cfRule>
    <cfRule type="beginsWith" dxfId="937" priority="1454" stopIfTrue="1" operator="beginsWith" text="Not Functioning">
      <formula>LEFT(C332,LEN("Not Functioning"))="Not Functioning"</formula>
    </cfRule>
    <cfRule type="containsText" dxfId="936" priority="1455" operator="containsText" text="Functioning">
      <formula>NOT(ISERROR(SEARCH("Functioning",C332)))</formula>
    </cfRule>
  </conditionalFormatting>
  <conditionalFormatting sqref="C341">
    <cfRule type="beginsWith" dxfId="935" priority="1450" stopIfTrue="1" operator="beginsWith" text="Functioning At Risk">
      <formula>LEFT(C341,LEN("Functioning At Risk"))="Functioning At Risk"</formula>
    </cfRule>
    <cfRule type="beginsWith" dxfId="934" priority="1451" stopIfTrue="1" operator="beginsWith" text="Not Functioning">
      <formula>LEFT(C341,LEN("Not Functioning"))="Not Functioning"</formula>
    </cfRule>
    <cfRule type="containsText" dxfId="933" priority="1452" operator="containsText" text="Functioning">
      <formula>NOT(ISERROR(SEARCH("Functioning",C341)))</formula>
    </cfRule>
  </conditionalFormatting>
  <conditionalFormatting sqref="C342">
    <cfRule type="beginsWith" dxfId="932" priority="1447" stopIfTrue="1" operator="beginsWith" text="Functioning At Risk">
      <formula>LEFT(C342,LEN("Functioning At Risk"))="Functioning At Risk"</formula>
    </cfRule>
    <cfRule type="beginsWith" dxfId="931" priority="1448" stopIfTrue="1" operator="beginsWith" text="Not Functioning">
      <formula>LEFT(C342,LEN("Not Functioning"))="Not Functioning"</formula>
    </cfRule>
    <cfRule type="containsText" dxfId="930" priority="1449" operator="containsText" text="Functioning">
      <formula>NOT(ISERROR(SEARCH("Functioning",C342)))</formula>
    </cfRule>
  </conditionalFormatting>
  <conditionalFormatting sqref="C353">
    <cfRule type="beginsWith" dxfId="929" priority="1441" stopIfTrue="1" operator="beginsWith" text="Functioning At Risk">
      <formula>LEFT(C353,LEN("Functioning At Risk"))="Functioning At Risk"</formula>
    </cfRule>
    <cfRule type="beginsWith" dxfId="928" priority="1442" stopIfTrue="1" operator="beginsWith" text="Not Functioning">
      <formula>LEFT(C353,LEN("Not Functioning"))="Not Functioning"</formula>
    </cfRule>
    <cfRule type="containsText" dxfId="927" priority="1443" operator="containsText" text="Functioning">
      <formula>NOT(ISERROR(SEARCH("Functioning",C353)))</formula>
    </cfRule>
  </conditionalFormatting>
  <conditionalFormatting sqref="C352">
    <cfRule type="beginsWith" dxfId="926" priority="1444" stopIfTrue="1" operator="beginsWith" text="Functioning At Risk">
      <formula>LEFT(C352,LEN("Functioning At Risk"))="Functioning At Risk"</formula>
    </cfRule>
    <cfRule type="beginsWith" dxfId="925" priority="1445" stopIfTrue="1" operator="beginsWith" text="Not Functioning">
      <formula>LEFT(C352,LEN("Not Functioning"))="Not Functioning"</formula>
    </cfRule>
    <cfRule type="containsText" dxfId="924" priority="1446" operator="containsText" text="Functioning">
      <formula>NOT(ISERROR(SEARCH("Functioning",C352)))</formula>
    </cfRule>
  </conditionalFormatting>
  <conditionalFormatting sqref="C350">
    <cfRule type="beginsWith" dxfId="923" priority="1438" stopIfTrue="1" operator="beginsWith" text="Functioning At Risk">
      <formula>LEFT(C350,LEN("Functioning At Risk"))="Functioning At Risk"</formula>
    </cfRule>
    <cfRule type="beginsWith" dxfId="922" priority="1439" stopIfTrue="1" operator="beginsWith" text="Not Functioning">
      <formula>LEFT(C350,LEN("Not Functioning"))="Not Functioning"</formula>
    </cfRule>
    <cfRule type="containsText" dxfId="921" priority="1440" operator="containsText" text="Functioning">
      <formula>NOT(ISERROR(SEARCH("Functioning",C350)))</formula>
    </cfRule>
  </conditionalFormatting>
  <conditionalFormatting sqref="C336:C337">
    <cfRule type="beginsWith" dxfId="920" priority="1435" stopIfTrue="1" operator="beginsWith" text="Functioning At Risk">
      <formula>LEFT(C336,LEN("Functioning At Risk"))="Functioning At Risk"</formula>
    </cfRule>
    <cfRule type="beginsWith" dxfId="919" priority="1436" stopIfTrue="1" operator="beginsWith" text="Not Functioning">
      <formula>LEFT(C336,LEN("Not Functioning"))="Not Functioning"</formula>
    </cfRule>
    <cfRule type="containsText" dxfId="918" priority="1437" operator="containsText" text="Functioning">
      <formula>NOT(ISERROR(SEARCH("Functioning",C336)))</formula>
    </cfRule>
  </conditionalFormatting>
  <conditionalFormatting sqref="C368:C370 C385:C386 C379:C380 C391 C383 C360:C363 C388:C389">
    <cfRule type="beginsWith" dxfId="917" priority="1432" stopIfTrue="1" operator="beginsWith" text="Functioning At Risk">
      <formula>LEFT(C360,LEN("Functioning At Risk"))="Functioning At Risk"</formula>
    </cfRule>
    <cfRule type="beginsWith" dxfId="916" priority="1433" stopIfTrue="1" operator="beginsWith" text="Not Functioning">
      <formula>LEFT(C360,LEN("Not Functioning"))="Not Functioning"</formula>
    </cfRule>
    <cfRule type="containsText" dxfId="915" priority="1434" operator="containsText" text="Functioning">
      <formula>NOT(ISERROR(SEARCH("Functioning",C360)))</formula>
    </cfRule>
  </conditionalFormatting>
  <conditionalFormatting sqref="C371">
    <cfRule type="beginsWith" dxfId="914" priority="1429" stopIfTrue="1" operator="beginsWith" text="Functioning At Risk">
      <formula>LEFT(C371,LEN("Functioning At Risk"))="Functioning At Risk"</formula>
    </cfRule>
    <cfRule type="beginsWith" dxfId="913" priority="1430" stopIfTrue="1" operator="beginsWith" text="Not Functioning">
      <formula>LEFT(C371,LEN("Not Functioning"))="Not Functioning"</formula>
    </cfRule>
    <cfRule type="containsText" dxfId="912" priority="1431" operator="containsText" text="Functioning">
      <formula>NOT(ISERROR(SEARCH("Functioning",C371)))</formula>
    </cfRule>
  </conditionalFormatting>
  <conditionalFormatting sqref="C378">
    <cfRule type="beginsWith" dxfId="911" priority="1426" stopIfTrue="1" operator="beginsWith" text="Functioning At Risk">
      <formula>LEFT(C378,LEN("Functioning At Risk"))="Functioning At Risk"</formula>
    </cfRule>
    <cfRule type="beginsWith" dxfId="910" priority="1427" stopIfTrue="1" operator="beginsWith" text="Not Functioning">
      <formula>LEFT(C378,LEN("Not Functioning"))="Not Functioning"</formula>
    </cfRule>
    <cfRule type="containsText" dxfId="909" priority="1428" operator="containsText" text="Functioning">
      <formula>NOT(ISERROR(SEARCH("Functioning",C378)))</formula>
    </cfRule>
  </conditionalFormatting>
  <conditionalFormatting sqref="C372:C375">
    <cfRule type="beginsWith" dxfId="908" priority="1423" stopIfTrue="1" operator="beginsWith" text="Functioning At Risk">
      <formula>LEFT(C372,LEN("Functioning At Risk"))="Functioning At Risk"</formula>
    </cfRule>
    <cfRule type="beginsWith" dxfId="907" priority="1424" stopIfTrue="1" operator="beginsWith" text="Not Functioning">
      <formula>LEFT(C372,LEN("Not Functioning"))="Not Functioning"</formula>
    </cfRule>
    <cfRule type="containsText" dxfId="906" priority="1425" operator="containsText" text="Functioning">
      <formula>NOT(ISERROR(SEARCH("Functioning",C372)))</formula>
    </cfRule>
  </conditionalFormatting>
  <conditionalFormatting sqref="C381">
    <cfRule type="beginsWith" dxfId="905" priority="1420" stopIfTrue="1" operator="beginsWith" text="Functioning At Risk">
      <formula>LEFT(C381,LEN("Functioning At Risk"))="Functioning At Risk"</formula>
    </cfRule>
    <cfRule type="beginsWith" dxfId="904" priority="1421" stopIfTrue="1" operator="beginsWith" text="Not Functioning">
      <formula>LEFT(C381,LEN("Not Functioning"))="Not Functioning"</formula>
    </cfRule>
    <cfRule type="containsText" dxfId="903" priority="1422" operator="containsText" text="Functioning">
      <formula>NOT(ISERROR(SEARCH("Functioning",C381)))</formula>
    </cfRule>
  </conditionalFormatting>
  <conditionalFormatting sqref="C382">
    <cfRule type="beginsWith" dxfId="902" priority="1417" stopIfTrue="1" operator="beginsWith" text="Functioning At Risk">
      <formula>LEFT(C382,LEN("Functioning At Risk"))="Functioning At Risk"</formula>
    </cfRule>
    <cfRule type="beginsWith" dxfId="901" priority="1418" stopIfTrue="1" operator="beginsWith" text="Not Functioning">
      <formula>LEFT(C382,LEN("Not Functioning"))="Not Functioning"</formula>
    </cfRule>
    <cfRule type="containsText" dxfId="900" priority="1419" operator="containsText" text="Functioning">
      <formula>NOT(ISERROR(SEARCH("Functioning",C382)))</formula>
    </cfRule>
  </conditionalFormatting>
  <conditionalFormatting sqref="C393">
    <cfRule type="beginsWith" dxfId="899" priority="1411" stopIfTrue="1" operator="beginsWith" text="Functioning At Risk">
      <formula>LEFT(C393,LEN("Functioning At Risk"))="Functioning At Risk"</formula>
    </cfRule>
    <cfRule type="beginsWith" dxfId="898" priority="1412" stopIfTrue="1" operator="beginsWith" text="Not Functioning">
      <formula>LEFT(C393,LEN("Not Functioning"))="Not Functioning"</formula>
    </cfRule>
    <cfRule type="containsText" dxfId="897" priority="1413" operator="containsText" text="Functioning">
      <formula>NOT(ISERROR(SEARCH("Functioning",C393)))</formula>
    </cfRule>
  </conditionalFormatting>
  <conditionalFormatting sqref="C392">
    <cfRule type="beginsWith" dxfId="896" priority="1414" stopIfTrue="1" operator="beginsWith" text="Functioning At Risk">
      <formula>LEFT(C392,LEN("Functioning At Risk"))="Functioning At Risk"</formula>
    </cfRule>
    <cfRule type="beginsWith" dxfId="895" priority="1415" stopIfTrue="1" operator="beginsWith" text="Not Functioning">
      <formula>LEFT(C392,LEN("Not Functioning"))="Not Functioning"</formula>
    </cfRule>
    <cfRule type="containsText" dxfId="894" priority="1416" operator="containsText" text="Functioning">
      <formula>NOT(ISERROR(SEARCH("Functioning",C392)))</formula>
    </cfRule>
  </conditionalFormatting>
  <conditionalFormatting sqref="C390">
    <cfRule type="beginsWith" dxfId="893" priority="1408" stopIfTrue="1" operator="beginsWith" text="Functioning At Risk">
      <formula>LEFT(C390,LEN("Functioning At Risk"))="Functioning At Risk"</formula>
    </cfRule>
    <cfRule type="beginsWith" dxfId="892" priority="1409" stopIfTrue="1" operator="beginsWith" text="Not Functioning">
      <formula>LEFT(C390,LEN("Not Functioning"))="Not Functioning"</formula>
    </cfRule>
    <cfRule type="containsText" dxfId="891" priority="1410" operator="containsText" text="Functioning">
      <formula>NOT(ISERROR(SEARCH("Functioning",C390)))</formula>
    </cfRule>
  </conditionalFormatting>
  <conditionalFormatting sqref="C376:C377">
    <cfRule type="beginsWith" dxfId="890" priority="1405" stopIfTrue="1" operator="beginsWith" text="Functioning At Risk">
      <formula>LEFT(C376,LEN("Functioning At Risk"))="Functioning At Risk"</formula>
    </cfRule>
    <cfRule type="beginsWith" dxfId="889" priority="1406" stopIfTrue="1" operator="beginsWith" text="Not Functioning">
      <formula>LEFT(C376,LEN("Not Functioning"))="Not Functioning"</formula>
    </cfRule>
    <cfRule type="containsText" dxfId="888" priority="1407" operator="containsText" text="Functioning">
      <formula>NOT(ISERROR(SEARCH("Functioning",C376)))</formula>
    </cfRule>
  </conditionalFormatting>
  <conditionalFormatting sqref="C408:C410 C425:C426 C419:C420 C431 C423 C400:C403 C428:C429">
    <cfRule type="beginsWith" dxfId="887" priority="1402" stopIfTrue="1" operator="beginsWith" text="Functioning At Risk">
      <formula>LEFT(C400,LEN("Functioning At Risk"))="Functioning At Risk"</formula>
    </cfRule>
    <cfRule type="beginsWith" dxfId="886" priority="1403" stopIfTrue="1" operator="beginsWith" text="Not Functioning">
      <formula>LEFT(C400,LEN("Not Functioning"))="Not Functioning"</formula>
    </cfRule>
    <cfRule type="containsText" dxfId="885" priority="1404" operator="containsText" text="Functioning">
      <formula>NOT(ISERROR(SEARCH("Functioning",C400)))</formula>
    </cfRule>
  </conditionalFormatting>
  <conditionalFormatting sqref="C411">
    <cfRule type="beginsWith" dxfId="884" priority="1399" stopIfTrue="1" operator="beginsWith" text="Functioning At Risk">
      <formula>LEFT(C411,LEN("Functioning At Risk"))="Functioning At Risk"</formula>
    </cfRule>
    <cfRule type="beginsWith" dxfId="883" priority="1400" stopIfTrue="1" operator="beginsWith" text="Not Functioning">
      <formula>LEFT(C411,LEN("Not Functioning"))="Not Functioning"</formula>
    </cfRule>
    <cfRule type="containsText" dxfId="882" priority="1401" operator="containsText" text="Functioning">
      <formula>NOT(ISERROR(SEARCH("Functioning",C411)))</formula>
    </cfRule>
  </conditionalFormatting>
  <conditionalFormatting sqref="C418">
    <cfRule type="beginsWith" dxfId="881" priority="1396" stopIfTrue="1" operator="beginsWith" text="Functioning At Risk">
      <formula>LEFT(C418,LEN("Functioning At Risk"))="Functioning At Risk"</formula>
    </cfRule>
    <cfRule type="beginsWith" dxfId="880" priority="1397" stopIfTrue="1" operator="beginsWith" text="Not Functioning">
      <formula>LEFT(C418,LEN("Not Functioning"))="Not Functioning"</formula>
    </cfRule>
    <cfRule type="containsText" dxfId="879" priority="1398" operator="containsText" text="Functioning">
      <formula>NOT(ISERROR(SEARCH("Functioning",C418)))</formula>
    </cfRule>
  </conditionalFormatting>
  <conditionalFormatting sqref="C412:C415">
    <cfRule type="beginsWith" dxfId="878" priority="1393" stopIfTrue="1" operator="beginsWith" text="Functioning At Risk">
      <formula>LEFT(C412,LEN("Functioning At Risk"))="Functioning At Risk"</formula>
    </cfRule>
    <cfRule type="beginsWith" dxfId="877" priority="1394" stopIfTrue="1" operator="beginsWith" text="Not Functioning">
      <formula>LEFT(C412,LEN("Not Functioning"))="Not Functioning"</formula>
    </cfRule>
    <cfRule type="containsText" dxfId="876" priority="1395" operator="containsText" text="Functioning">
      <formula>NOT(ISERROR(SEARCH("Functioning",C412)))</formula>
    </cfRule>
  </conditionalFormatting>
  <conditionalFormatting sqref="C421">
    <cfRule type="beginsWith" dxfId="875" priority="1390" stopIfTrue="1" operator="beginsWith" text="Functioning At Risk">
      <formula>LEFT(C421,LEN("Functioning At Risk"))="Functioning At Risk"</formula>
    </cfRule>
    <cfRule type="beginsWith" dxfId="874" priority="1391" stopIfTrue="1" operator="beginsWith" text="Not Functioning">
      <formula>LEFT(C421,LEN("Not Functioning"))="Not Functioning"</formula>
    </cfRule>
    <cfRule type="containsText" dxfId="873" priority="1392" operator="containsText" text="Functioning">
      <formula>NOT(ISERROR(SEARCH("Functioning",C421)))</formula>
    </cfRule>
  </conditionalFormatting>
  <conditionalFormatting sqref="C422">
    <cfRule type="beginsWith" dxfId="872" priority="1387" stopIfTrue="1" operator="beginsWith" text="Functioning At Risk">
      <formula>LEFT(C422,LEN("Functioning At Risk"))="Functioning At Risk"</formula>
    </cfRule>
    <cfRule type="beginsWith" dxfId="871" priority="1388" stopIfTrue="1" operator="beginsWith" text="Not Functioning">
      <formula>LEFT(C422,LEN("Not Functioning"))="Not Functioning"</formula>
    </cfRule>
    <cfRule type="containsText" dxfId="870" priority="1389" operator="containsText" text="Functioning">
      <formula>NOT(ISERROR(SEARCH("Functioning",C422)))</formula>
    </cfRule>
  </conditionalFormatting>
  <conditionalFormatting sqref="C433">
    <cfRule type="beginsWith" dxfId="869" priority="1381" stopIfTrue="1" operator="beginsWith" text="Functioning At Risk">
      <formula>LEFT(C433,LEN("Functioning At Risk"))="Functioning At Risk"</formula>
    </cfRule>
    <cfRule type="beginsWith" dxfId="868" priority="1382" stopIfTrue="1" operator="beginsWith" text="Not Functioning">
      <formula>LEFT(C433,LEN("Not Functioning"))="Not Functioning"</formula>
    </cfRule>
    <cfRule type="containsText" dxfId="867" priority="1383" operator="containsText" text="Functioning">
      <formula>NOT(ISERROR(SEARCH("Functioning",C433)))</formula>
    </cfRule>
  </conditionalFormatting>
  <conditionalFormatting sqref="C432">
    <cfRule type="beginsWith" dxfId="866" priority="1384" stopIfTrue="1" operator="beginsWith" text="Functioning At Risk">
      <formula>LEFT(C432,LEN("Functioning At Risk"))="Functioning At Risk"</formula>
    </cfRule>
    <cfRule type="beginsWith" dxfId="865" priority="1385" stopIfTrue="1" operator="beginsWith" text="Not Functioning">
      <formula>LEFT(C432,LEN("Not Functioning"))="Not Functioning"</formula>
    </cfRule>
    <cfRule type="containsText" dxfId="864" priority="1386" operator="containsText" text="Functioning">
      <formula>NOT(ISERROR(SEARCH("Functioning",C432)))</formula>
    </cfRule>
  </conditionalFormatting>
  <conditionalFormatting sqref="C430">
    <cfRule type="beginsWith" dxfId="863" priority="1378" stopIfTrue="1" operator="beginsWith" text="Functioning At Risk">
      <formula>LEFT(C430,LEN("Functioning At Risk"))="Functioning At Risk"</formula>
    </cfRule>
    <cfRule type="beginsWith" dxfId="862" priority="1379" stopIfTrue="1" operator="beginsWith" text="Not Functioning">
      <formula>LEFT(C430,LEN("Not Functioning"))="Not Functioning"</formula>
    </cfRule>
    <cfRule type="containsText" dxfId="861" priority="1380" operator="containsText" text="Functioning">
      <formula>NOT(ISERROR(SEARCH("Functioning",C430)))</formula>
    </cfRule>
  </conditionalFormatting>
  <conditionalFormatting sqref="C416:C417">
    <cfRule type="beginsWith" dxfId="860" priority="1375" stopIfTrue="1" operator="beginsWith" text="Functioning At Risk">
      <formula>LEFT(C416,LEN("Functioning At Risk"))="Functioning At Risk"</formula>
    </cfRule>
    <cfRule type="beginsWith" dxfId="859" priority="1376" stopIfTrue="1" operator="beginsWith" text="Not Functioning">
      <formula>LEFT(C416,LEN("Not Functioning"))="Not Functioning"</formula>
    </cfRule>
    <cfRule type="containsText" dxfId="858" priority="1377" operator="containsText" text="Functioning">
      <formula>NOT(ISERROR(SEARCH("Functioning",C416)))</formula>
    </cfRule>
  </conditionalFormatting>
  <conditionalFormatting sqref="E24">
    <cfRule type="beginsWith" dxfId="857" priority="1228" stopIfTrue="1" operator="beginsWith" text="Functioning At Risk">
      <formula>LEFT(E24,LEN("Functioning At Risk"))="Functioning At Risk"</formula>
    </cfRule>
    <cfRule type="beginsWith" dxfId="856" priority="1229" stopIfTrue="1" operator="beginsWith" text="Not Functioning">
      <formula>LEFT(E24,LEN("Not Functioning"))="Not Functioning"</formula>
    </cfRule>
    <cfRule type="containsText" dxfId="855" priority="1230" operator="containsText" text="Functioning">
      <formula>NOT(ISERROR(SEARCH("Functioning",E24)))</formula>
    </cfRule>
  </conditionalFormatting>
  <conditionalFormatting sqref="E26">
    <cfRule type="beginsWith" dxfId="854" priority="1222" stopIfTrue="1" operator="beginsWith" text="Functioning At Risk">
      <formula>LEFT(E26,LEN("Functioning At Risk"))="Functioning At Risk"</formula>
    </cfRule>
    <cfRule type="beginsWith" dxfId="853" priority="1223" stopIfTrue="1" operator="beginsWith" text="Not Functioning">
      <formula>LEFT(E26,LEN("Not Functioning"))="Not Functioning"</formula>
    </cfRule>
    <cfRule type="containsText" dxfId="852" priority="1224" operator="containsText" text="Functioning">
      <formula>NOT(ISERROR(SEARCH("Functioning",E26)))</formula>
    </cfRule>
  </conditionalFormatting>
  <conditionalFormatting sqref="E63">
    <cfRule type="beginsWith" dxfId="851" priority="1219" stopIfTrue="1" operator="beginsWith" text="Functioning At Risk">
      <formula>LEFT(E63,LEN("Functioning At Risk"))="Functioning At Risk"</formula>
    </cfRule>
    <cfRule type="beginsWith" dxfId="850" priority="1220" stopIfTrue="1" operator="beginsWith" text="Not Functioning">
      <formula>LEFT(E63,LEN("Not Functioning"))="Not Functioning"</formula>
    </cfRule>
    <cfRule type="containsText" dxfId="849" priority="1221" operator="containsText" text="Functioning">
      <formula>NOT(ISERROR(SEARCH("Functioning",E63)))</formula>
    </cfRule>
  </conditionalFormatting>
  <conditionalFormatting sqref="E65">
    <cfRule type="beginsWith" dxfId="848" priority="1213" stopIfTrue="1" operator="beginsWith" text="Functioning At Risk">
      <formula>LEFT(E65,LEN("Functioning At Risk"))="Functioning At Risk"</formula>
    </cfRule>
    <cfRule type="beginsWith" dxfId="847" priority="1214" stopIfTrue="1" operator="beginsWith" text="Not Functioning">
      <formula>LEFT(E65,LEN("Not Functioning"))="Not Functioning"</formula>
    </cfRule>
    <cfRule type="containsText" dxfId="846" priority="1215" operator="containsText" text="Functioning">
      <formula>NOT(ISERROR(SEARCH("Functioning",E65)))</formula>
    </cfRule>
  </conditionalFormatting>
  <conditionalFormatting sqref="E102">
    <cfRule type="beginsWith" dxfId="845" priority="1210" stopIfTrue="1" operator="beginsWith" text="Functioning At Risk">
      <formula>LEFT(E102,LEN("Functioning At Risk"))="Functioning At Risk"</formula>
    </cfRule>
    <cfRule type="beginsWith" dxfId="844" priority="1211" stopIfTrue="1" operator="beginsWith" text="Not Functioning">
      <formula>LEFT(E102,LEN("Not Functioning"))="Not Functioning"</formula>
    </cfRule>
    <cfRule type="containsText" dxfId="843" priority="1212" operator="containsText" text="Functioning">
      <formula>NOT(ISERROR(SEARCH("Functioning",E102)))</formula>
    </cfRule>
  </conditionalFormatting>
  <conditionalFormatting sqref="E104">
    <cfRule type="beginsWith" dxfId="842" priority="1204" stopIfTrue="1" operator="beginsWith" text="Functioning At Risk">
      <formula>LEFT(E104,LEN("Functioning At Risk"))="Functioning At Risk"</formula>
    </cfRule>
    <cfRule type="beginsWith" dxfId="841" priority="1205" stopIfTrue="1" operator="beginsWith" text="Not Functioning">
      <formula>LEFT(E104,LEN("Not Functioning"))="Not Functioning"</formula>
    </cfRule>
    <cfRule type="containsText" dxfId="840" priority="1206" operator="containsText" text="Functioning">
      <formula>NOT(ISERROR(SEARCH("Functioning",E104)))</formula>
    </cfRule>
  </conditionalFormatting>
  <conditionalFormatting sqref="E141">
    <cfRule type="beginsWith" dxfId="839" priority="1201" stopIfTrue="1" operator="beginsWith" text="Functioning At Risk">
      <formula>LEFT(E141,LEN("Functioning At Risk"))="Functioning At Risk"</formula>
    </cfRule>
    <cfRule type="beginsWith" dxfId="838" priority="1202" stopIfTrue="1" operator="beginsWith" text="Not Functioning">
      <formula>LEFT(E141,LEN("Not Functioning"))="Not Functioning"</formula>
    </cfRule>
    <cfRule type="containsText" dxfId="837" priority="1203" operator="containsText" text="Functioning">
      <formula>NOT(ISERROR(SEARCH("Functioning",E141)))</formula>
    </cfRule>
  </conditionalFormatting>
  <conditionalFormatting sqref="E143">
    <cfRule type="beginsWith" dxfId="836" priority="1195" stopIfTrue="1" operator="beginsWith" text="Functioning At Risk">
      <formula>LEFT(E143,LEN("Functioning At Risk"))="Functioning At Risk"</formula>
    </cfRule>
    <cfRule type="beginsWith" dxfId="835" priority="1196" stopIfTrue="1" operator="beginsWith" text="Not Functioning">
      <formula>LEFT(E143,LEN("Not Functioning"))="Not Functioning"</formula>
    </cfRule>
    <cfRule type="containsText" dxfId="834" priority="1197" operator="containsText" text="Functioning">
      <formula>NOT(ISERROR(SEARCH("Functioning",E143)))</formula>
    </cfRule>
  </conditionalFormatting>
  <conditionalFormatting sqref="E180">
    <cfRule type="beginsWith" dxfId="833" priority="1192" stopIfTrue="1" operator="beginsWith" text="Functioning At Risk">
      <formula>LEFT(E180,LEN("Functioning At Risk"))="Functioning At Risk"</formula>
    </cfRule>
    <cfRule type="beginsWith" dxfId="832" priority="1193" stopIfTrue="1" operator="beginsWith" text="Not Functioning">
      <formula>LEFT(E180,LEN("Not Functioning"))="Not Functioning"</formula>
    </cfRule>
    <cfRule type="containsText" dxfId="831" priority="1194" operator="containsText" text="Functioning">
      <formula>NOT(ISERROR(SEARCH("Functioning",E180)))</formula>
    </cfRule>
  </conditionalFormatting>
  <conditionalFormatting sqref="E182">
    <cfRule type="beginsWith" dxfId="830" priority="1186" stopIfTrue="1" operator="beginsWith" text="Functioning At Risk">
      <formula>LEFT(E182,LEN("Functioning At Risk"))="Functioning At Risk"</formula>
    </cfRule>
    <cfRule type="beginsWith" dxfId="829" priority="1187" stopIfTrue="1" operator="beginsWith" text="Not Functioning">
      <formula>LEFT(E182,LEN("Not Functioning"))="Not Functioning"</formula>
    </cfRule>
    <cfRule type="containsText" dxfId="828" priority="1188" operator="containsText" text="Functioning">
      <formula>NOT(ISERROR(SEARCH("Functioning",E182)))</formula>
    </cfRule>
  </conditionalFormatting>
  <conditionalFormatting sqref="E219">
    <cfRule type="beginsWith" dxfId="827" priority="1183" stopIfTrue="1" operator="beginsWith" text="Functioning At Risk">
      <formula>LEFT(E219,LEN("Functioning At Risk"))="Functioning At Risk"</formula>
    </cfRule>
    <cfRule type="beginsWith" dxfId="826" priority="1184" stopIfTrue="1" operator="beginsWith" text="Not Functioning">
      <formula>LEFT(E219,LEN("Not Functioning"))="Not Functioning"</formula>
    </cfRule>
    <cfRule type="containsText" dxfId="825" priority="1185" operator="containsText" text="Functioning">
      <formula>NOT(ISERROR(SEARCH("Functioning",E219)))</formula>
    </cfRule>
  </conditionalFormatting>
  <conditionalFormatting sqref="E221">
    <cfRule type="beginsWith" dxfId="824" priority="1177" stopIfTrue="1" operator="beginsWith" text="Functioning At Risk">
      <formula>LEFT(E221,LEN("Functioning At Risk"))="Functioning At Risk"</formula>
    </cfRule>
    <cfRule type="beginsWith" dxfId="823" priority="1178" stopIfTrue="1" operator="beginsWith" text="Not Functioning">
      <formula>LEFT(E221,LEN("Not Functioning"))="Not Functioning"</formula>
    </cfRule>
    <cfRule type="containsText" dxfId="822" priority="1179" operator="containsText" text="Functioning">
      <formula>NOT(ISERROR(SEARCH("Functioning",E221)))</formula>
    </cfRule>
  </conditionalFormatting>
  <conditionalFormatting sqref="E259">
    <cfRule type="beginsWith" dxfId="821" priority="1174" stopIfTrue="1" operator="beginsWith" text="Functioning At Risk">
      <formula>LEFT(E259,LEN("Functioning At Risk"))="Functioning At Risk"</formula>
    </cfRule>
    <cfRule type="beginsWith" dxfId="820" priority="1175" stopIfTrue="1" operator="beginsWith" text="Not Functioning">
      <formula>LEFT(E259,LEN("Not Functioning"))="Not Functioning"</formula>
    </cfRule>
    <cfRule type="containsText" dxfId="819" priority="1176" operator="containsText" text="Functioning">
      <formula>NOT(ISERROR(SEARCH("Functioning",E259)))</formula>
    </cfRule>
  </conditionalFormatting>
  <conditionalFormatting sqref="E261">
    <cfRule type="beginsWith" dxfId="818" priority="1168" stopIfTrue="1" operator="beginsWith" text="Functioning At Risk">
      <formula>LEFT(E261,LEN("Functioning At Risk"))="Functioning At Risk"</formula>
    </cfRule>
    <cfRule type="beginsWith" dxfId="817" priority="1169" stopIfTrue="1" operator="beginsWith" text="Not Functioning">
      <formula>LEFT(E261,LEN("Not Functioning"))="Not Functioning"</formula>
    </cfRule>
    <cfRule type="containsText" dxfId="816" priority="1170" operator="containsText" text="Functioning">
      <formula>NOT(ISERROR(SEARCH("Functioning",E261)))</formula>
    </cfRule>
  </conditionalFormatting>
  <conditionalFormatting sqref="E299">
    <cfRule type="beginsWith" dxfId="815" priority="1165" stopIfTrue="1" operator="beginsWith" text="Functioning At Risk">
      <formula>LEFT(E299,LEN("Functioning At Risk"))="Functioning At Risk"</formula>
    </cfRule>
    <cfRule type="beginsWith" dxfId="814" priority="1166" stopIfTrue="1" operator="beginsWith" text="Not Functioning">
      <formula>LEFT(E299,LEN("Not Functioning"))="Not Functioning"</formula>
    </cfRule>
    <cfRule type="containsText" dxfId="813" priority="1167" operator="containsText" text="Functioning">
      <formula>NOT(ISERROR(SEARCH("Functioning",E299)))</formula>
    </cfRule>
  </conditionalFormatting>
  <conditionalFormatting sqref="E301">
    <cfRule type="beginsWith" dxfId="812" priority="1159" stopIfTrue="1" operator="beginsWith" text="Functioning At Risk">
      <formula>LEFT(E301,LEN("Functioning At Risk"))="Functioning At Risk"</formula>
    </cfRule>
    <cfRule type="beginsWith" dxfId="811" priority="1160" stopIfTrue="1" operator="beginsWith" text="Not Functioning">
      <formula>LEFT(E301,LEN("Not Functioning"))="Not Functioning"</formula>
    </cfRule>
    <cfRule type="containsText" dxfId="810" priority="1161" operator="containsText" text="Functioning">
      <formula>NOT(ISERROR(SEARCH("Functioning",E301)))</formula>
    </cfRule>
  </conditionalFormatting>
  <conditionalFormatting sqref="E339:E340">
    <cfRule type="beginsWith" dxfId="809" priority="1156" stopIfTrue="1" operator="beginsWith" text="Functioning At Risk">
      <formula>LEFT(E339,LEN("Functioning At Risk"))="Functioning At Risk"</formula>
    </cfRule>
    <cfRule type="beginsWith" dxfId="808" priority="1157" stopIfTrue="1" operator="beginsWith" text="Not Functioning">
      <formula>LEFT(E339,LEN("Not Functioning"))="Not Functioning"</formula>
    </cfRule>
    <cfRule type="containsText" dxfId="807" priority="1158" operator="containsText" text="Functioning">
      <formula>NOT(ISERROR(SEARCH("Functioning",E339)))</formula>
    </cfRule>
  </conditionalFormatting>
  <conditionalFormatting sqref="E341">
    <cfRule type="beginsWith" dxfId="806" priority="1150" stopIfTrue="1" operator="beginsWith" text="Functioning At Risk">
      <formula>LEFT(E341,LEN("Functioning At Risk"))="Functioning At Risk"</formula>
    </cfRule>
    <cfRule type="beginsWith" dxfId="805" priority="1151" stopIfTrue="1" operator="beginsWith" text="Not Functioning">
      <formula>LEFT(E341,LEN("Not Functioning"))="Not Functioning"</formula>
    </cfRule>
    <cfRule type="containsText" dxfId="804" priority="1152" operator="containsText" text="Functioning">
      <formula>NOT(ISERROR(SEARCH("Functioning",E341)))</formula>
    </cfRule>
  </conditionalFormatting>
  <conditionalFormatting sqref="E379">
    <cfRule type="beginsWith" dxfId="803" priority="1147" stopIfTrue="1" operator="beginsWith" text="Functioning At Risk">
      <formula>LEFT(E379,LEN("Functioning At Risk"))="Functioning At Risk"</formula>
    </cfRule>
    <cfRule type="beginsWith" dxfId="802" priority="1148" stopIfTrue="1" operator="beginsWith" text="Not Functioning">
      <formula>LEFT(E379,LEN("Not Functioning"))="Not Functioning"</formula>
    </cfRule>
    <cfRule type="containsText" dxfId="801" priority="1149" operator="containsText" text="Functioning">
      <formula>NOT(ISERROR(SEARCH("Functioning",E379)))</formula>
    </cfRule>
  </conditionalFormatting>
  <conditionalFormatting sqref="E381">
    <cfRule type="beginsWith" dxfId="800" priority="1141" stopIfTrue="1" operator="beginsWith" text="Functioning At Risk">
      <formula>LEFT(E381,LEN("Functioning At Risk"))="Functioning At Risk"</formula>
    </cfRule>
    <cfRule type="beginsWith" dxfId="799" priority="1142" stopIfTrue="1" operator="beginsWith" text="Not Functioning">
      <formula>LEFT(E381,LEN("Not Functioning"))="Not Functioning"</formula>
    </cfRule>
    <cfRule type="containsText" dxfId="798" priority="1143" operator="containsText" text="Functioning">
      <formula>NOT(ISERROR(SEARCH("Functioning",E381)))</formula>
    </cfRule>
  </conditionalFormatting>
  <conditionalFormatting sqref="E419">
    <cfRule type="beginsWith" dxfId="797" priority="1138" stopIfTrue="1" operator="beginsWith" text="Functioning At Risk">
      <formula>LEFT(E419,LEN("Functioning At Risk"))="Functioning At Risk"</formula>
    </cfRule>
    <cfRule type="beginsWith" dxfId="796" priority="1139" stopIfTrue="1" operator="beginsWith" text="Not Functioning">
      <formula>LEFT(E419,LEN("Not Functioning"))="Not Functioning"</formula>
    </cfRule>
    <cfRule type="containsText" dxfId="795" priority="1140" operator="containsText" text="Functioning">
      <formula>NOT(ISERROR(SEARCH("Functioning",E419)))</formula>
    </cfRule>
  </conditionalFormatting>
  <conditionalFormatting sqref="E421">
    <cfRule type="beginsWith" dxfId="794" priority="1132" stopIfTrue="1" operator="beginsWith" text="Functioning At Risk">
      <formula>LEFT(E421,LEN("Functioning At Risk"))="Functioning At Risk"</formula>
    </cfRule>
    <cfRule type="beginsWith" dxfId="793" priority="1133" stopIfTrue="1" operator="beginsWith" text="Not Functioning">
      <formula>LEFT(E421,LEN("Not Functioning"))="Not Functioning"</formula>
    </cfRule>
    <cfRule type="containsText" dxfId="792" priority="1134" operator="containsText" text="Functioning">
      <formula>NOT(ISERROR(SEARCH("Functioning",E421)))</formula>
    </cfRule>
  </conditionalFormatting>
  <conditionalFormatting sqref="E300">
    <cfRule type="beginsWith" dxfId="791" priority="937" stopIfTrue="1" operator="beginsWith" text="Functioning At Risk">
      <formula>LEFT(E300,LEN("Functioning At Risk"))="Functioning At Risk"</formula>
    </cfRule>
    <cfRule type="beginsWith" dxfId="790" priority="938" stopIfTrue="1" operator="beginsWith" text="Not Functioning">
      <formula>LEFT(E300,LEN("Not Functioning"))="Not Functioning"</formula>
    </cfRule>
    <cfRule type="containsText" dxfId="789" priority="939" operator="containsText" text="Functioning">
      <formula>NOT(ISERROR(SEARCH("Functioning",E300)))</formula>
    </cfRule>
  </conditionalFormatting>
  <conditionalFormatting sqref="E260">
    <cfRule type="beginsWith" dxfId="788" priority="931" stopIfTrue="1" operator="beginsWith" text="Functioning At Risk">
      <formula>LEFT(E260,LEN("Functioning At Risk"))="Functioning At Risk"</formula>
    </cfRule>
    <cfRule type="beginsWith" dxfId="787" priority="932" stopIfTrue="1" operator="beginsWith" text="Not Functioning">
      <formula>LEFT(E260,LEN("Not Functioning"))="Not Functioning"</formula>
    </cfRule>
    <cfRule type="containsText" dxfId="786" priority="933" operator="containsText" text="Functioning">
      <formula>NOT(ISERROR(SEARCH("Functioning",E260)))</formula>
    </cfRule>
  </conditionalFormatting>
  <conditionalFormatting sqref="E142">
    <cfRule type="beginsWith" dxfId="785" priority="913" stopIfTrue="1" operator="beginsWith" text="Functioning At Risk">
      <formula>LEFT(E142,LEN("Functioning At Risk"))="Functioning At Risk"</formula>
    </cfRule>
    <cfRule type="beginsWith" dxfId="784" priority="914" stopIfTrue="1" operator="beginsWith" text="Not Functioning">
      <formula>LEFT(E142,LEN("Not Functioning"))="Not Functioning"</formula>
    </cfRule>
    <cfRule type="containsText" dxfId="783" priority="915" operator="containsText" text="Functioning">
      <formula>NOT(ISERROR(SEARCH("Functioning",E142)))</formula>
    </cfRule>
  </conditionalFormatting>
  <conditionalFormatting sqref="E103">
    <cfRule type="beginsWith" dxfId="782" priority="907" stopIfTrue="1" operator="beginsWith" text="Functioning At Risk">
      <formula>LEFT(E103,LEN("Functioning At Risk"))="Functioning At Risk"</formula>
    </cfRule>
    <cfRule type="beginsWith" dxfId="781" priority="908" stopIfTrue="1" operator="beginsWith" text="Not Functioning">
      <formula>LEFT(E103,LEN("Not Functioning"))="Not Functioning"</formula>
    </cfRule>
    <cfRule type="containsText" dxfId="780" priority="909" operator="containsText" text="Functioning">
      <formula>NOT(ISERROR(SEARCH("Functioning",E103)))</formula>
    </cfRule>
  </conditionalFormatting>
  <conditionalFormatting sqref="C9:D11">
    <cfRule type="beginsWith" dxfId="779" priority="886" stopIfTrue="1" operator="beginsWith" text="Functioning At Risk">
      <formula>LEFT(C9,LEN("Functioning At Risk"))="Functioning At Risk"</formula>
    </cfRule>
    <cfRule type="beginsWith" dxfId="778" priority="887" stopIfTrue="1" operator="beginsWith" text="Not Functioning">
      <formula>LEFT(C9,LEN("Not Functioning"))="Not Functioning"</formula>
    </cfRule>
    <cfRule type="containsText" dxfId="777" priority="888" operator="containsText" text="Functioning">
      <formula>NOT(ISERROR(SEARCH("Functioning",C9)))</formula>
    </cfRule>
  </conditionalFormatting>
  <conditionalFormatting sqref="B9">
    <cfRule type="beginsWith" dxfId="776" priority="883" stopIfTrue="1" operator="beginsWith" text="Functioning At Risk">
      <formula>LEFT(B9,LEN("Functioning At Risk"))="Functioning At Risk"</formula>
    </cfRule>
    <cfRule type="beginsWith" dxfId="775" priority="884" stopIfTrue="1" operator="beginsWith" text="Not Functioning">
      <formula>LEFT(B9,LEN("Not Functioning"))="Not Functioning"</formula>
    </cfRule>
    <cfRule type="containsText" dxfId="774" priority="885" operator="containsText" text="Functioning">
      <formula>NOT(ISERROR(SEARCH("Functioning",B9)))</formula>
    </cfRule>
  </conditionalFormatting>
  <conditionalFormatting sqref="E10">
    <cfRule type="beginsWith" dxfId="773" priority="880" stopIfTrue="1" operator="beginsWith" text="Functioning At Risk">
      <formula>LEFT(E10,LEN("Functioning At Risk"))="Functioning At Risk"</formula>
    </cfRule>
    <cfRule type="beginsWith" dxfId="772" priority="881" stopIfTrue="1" operator="beginsWith" text="Not Functioning">
      <formula>LEFT(E10,LEN("Not Functioning"))="Not Functioning"</formula>
    </cfRule>
    <cfRule type="containsText" dxfId="771" priority="882" operator="containsText" text="Functioning">
      <formula>NOT(ISERROR(SEARCH("Functioning",E10)))</formula>
    </cfRule>
  </conditionalFormatting>
  <conditionalFormatting sqref="E380">
    <cfRule type="beginsWith" dxfId="770" priority="949" stopIfTrue="1" operator="beginsWith" text="Functioning At Risk">
      <formula>LEFT(E380,LEN("Functioning At Risk"))="Functioning At Risk"</formula>
    </cfRule>
    <cfRule type="beginsWith" dxfId="769" priority="950" stopIfTrue="1" operator="beginsWith" text="Not Functioning">
      <formula>LEFT(E380,LEN("Not Functioning"))="Not Functioning"</formula>
    </cfRule>
    <cfRule type="containsText" dxfId="768" priority="951" operator="containsText" text="Functioning">
      <formula>NOT(ISERROR(SEARCH("Functioning",E380)))</formula>
    </cfRule>
  </conditionalFormatting>
  <conditionalFormatting sqref="E420">
    <cfRule type="beginsWith" dxfId="767" priority="943" stopIfTrue="1" operator="beginsWith" text="Functioning At Risk">
      <formula>LEFT(E420,LEN("Functioning At Risk"))="Functioning At Risk"</formula>
    </cfRule>
    <cfRule type="beginsWith" dxfId="766" priority="944" stopIfTrue="1" operator="beginsWith" text="Not Functioning">
      <formula>LEFT(E420,LEN("Not Functioning"))="Not Functioning"</formula>
    </cfRule>
    <cfRule type="containsText" dxfId="765" priority="945" operator="containsText" text="Functioning">
      <formula>NOT(ISERROR(SEARCH("Functioning",E420)))</formula>
    </cfRule>
  </conditionalFormatting>
  <conditionalFormatting sqref="E220">
    <cfRule type="beginsWith" dxfId="764" priority="925" stopIfTrue="1" operator="beginsWith" text="Functioning At Risk">
      <formula>LEFT(E220,LEN("Functioning At Risk"))="Functioning At Risk"</formula>
    </cfRule>
    <cfRule type="beginsWith" dxfId="763" priority="926" stopIfTrue="1" operator="beginsWith" text="Not Functioning">
      <formula>LEFT(E220,LEN("Not Functioning"))="Not Functioning"</formula>
    </cfRule>
    <cfRule type="containsText" dxfId="762" priority="927" operator="containsText" text="Functioning">
      <formula>NOT(ISERROR(SEARCH("Functioning",E220)))</formula>
    </cfRule>
  </conditionalFormatting>
  <conditionalFormatting sqref="E181">
    <cfRule type="beginsWith" dxfId="761" priority="919" stopIfTrue="1" operator="beginsWith" text="Functioning At Risk">
      <formula>LEFT(E181,LEN("Functioning At Risk"))="Functioning At Risk"</formula>
    </cfRule>
    <cfRule type="beginsWith" dxfId="760" priority="920" stopIfTrue="1" operator="beginsWith" text="Not Functioning">
      <formula>LEFT(E181,LEN("Not Functioning"))="Not Functioning"</formula>
    </cfRule>
    <cfRule type="containsText" dxfId="759" priority="921" operator="containsText" text="Functioning">
      <formula>NOT(ISERROR(SEARCH("Functioning",E181)))</formula>
    </cfRule>
  </conditionalFormatting>
  <conditionalFormatting sqref="E64">
    <cfRule type="beginsWith" dxfId="758" priority="901" stopIfTrue="1" operator="beginsWith" text="Functioning At Risk">
      <formula>LEFT(E64,LEN("Functioning At Risk"))="Functioning At Risk"</formula>
    </cfRule>
    <cfRule type="beginsWith" dxfId="757" priority="902" stopIfTrue="1" operator="beginsWith" text="Not Functioning">
      <formula>LEFT(E64,LEN("Not Functioning"))="Not Functioning"</formula>
    </cfRule>
    <cfRule type="containsText" dxfId="756" priority="903" operator="containsText" text="Functioning">
      <formula>NOT(ISERROR(SEARCH("Functioning",E64)))</formula>
    </cfRule>
  </conditionalFormatting>
  <conditionalFormatting sqref="E25">
    <cfRule type="beginsWith" dxfId="755" priority="895" stopIfTrue="1" operator="beginsWith" text="Functioning At Risk">
      <formula>LEFT(E25,LEN("Functioning At Risk"))="Functioning At Risk"</formula>
    </cfRule>
    <cfRule type="beginsWith" dxfId="754" priority="896" stopIfTrue="1" operator="beginsWith" text="Not Functioning">
      <formula>LEFT(E25,LEN("Not Functioning"))="Not Functioning"</formula>
    </cfRule>
    <cfRule type="containsText" dxfId="753" priority="897" operator="containsText" text="Functioning">
      <formula>NOT(ISERROR(SEARCH("Functioning",E25)))</formula>
    </cfRule>
  </conditionalFormatting>
  <conditionalFormatting sqref="E228:E230">
    <cfRule type="expression" dxfId="752" priority="7279">
      <formula>B48="Level 5 - Biology"</formula>
    </cfRule>
  </conditionalFormatting>
  <conditionalFormatting sqref="E268:E270">
    <cfRule type="expression" dxfId="751" priority="7304">
      <formula>B88="Level 5 - Biology"</formula>
    </cfRule>
  </conditionalFormatting>
  <conditionalFormatting sqref="E9">
    <cfRule type="beginsWith" dxfId="750" priority="877" stopIfTrue="1" operator="beginsWith" text="Functioning At Risk">
      <formula>LEFT(E9,LEN("Functioning At Risk"))="Functioning At Risk"</formula>
    </cfRule>
    <cfRule type="beginsWith" dxfId="749" priority="878" stopIfTrue="1" operator="beginsWith" text="Not Functioning">
      <formula>LEFT(E9,LEN("Not Functioning"))="Not Functioning"</formula>
    </cfRule>
    <cfRule type="containsText" dxfId="748" priority="879" operator="containsText" text="Functioning">
      <formula>NOT(ISERROR(SEARCH("Functioning",E9)))</formula>
    </cfRule>
  </conditionalFormatting>
  <conditionalFormatting sqref="E9">
    <cfRule type="expression" dxfId="747" priority="876" stopIfTrue="1">
      <formula>ISBLANK($B$13)</formula>
    </cfRule>
  </conditionalFormatting>
  <conditionalFormatting sqref="E11:E12">
    <cfRule type="beginsWith" dxfId="746" priority="873" stopIfTrue="1" operator="beginsWith" text="Functioning At Risk">
      <formula>LEFT(E11,LEN("Functioning At Risk"))="Functioning At Risk"</formula>
    </cfRule>
    <cfRule type="beginsWith" dxfId="745" priority="874" stopIfTrue="1" operator="beginsWith" text="Not Functioning">
      <formula>LEFT(E11,LEN("Not Functioning"))="Not Functioning"</formula>
    </cfRule>
    <cfRule type="containsText" dxfId="744" priority="875" operator="containsText" text="Functioning">
      <formula>NOT(ISERROR(SEARCH("Functioning",E11)))</formula>
    </cfRule>
  </conditionalFormatting>
  <conditionalFormatting sqref="C48:D50">
    <cfRule type="beginsWith" dxfId="743" priority="867" stopIfTrue="1" operator="beginsWith" text="Functioning At Risk">
      <formula>LEFT(C48,LEN("Functioning At Risk"))="Functioning At Risk"</formula>
    </cfRule>
    <cfRule type="beginsWith" dxfId="742" priority="868" stopIfTrue="1" operator="beginsWith" text="Not Functioning">
      <formula>LEFT(C48,LEN("Not Functioning"))="Not Functioning"</formula>
    </cfRule>
    <cfRule type="containsText" dxfId="741" priority="869" operator="containsText" text="Functioning">
      <formula>NOT(ISERROR(SEARCH("Functioning",C48)))</formula>
    </cfRule>
  </conditionalFormatting>
  <conditionalFormatting sqref="B48">
    <cfRule type="beginsWith" dxfId="740" priority="864" stopIfTrue="1" operator="beginsWith" text="Functioning At Risk">
      <formula>LEFT(B48,LEN("Functioning At Risk"))="Functioning At Risk"</formula>
    </cfRule>
    <cfRule type="beginsWith" dxfId="739" priority="865" stopIfTrue="1" operator="beginsWith" text="Not Functioning">
      <formula>LEFT(B48,LEN("Not Functioning"))="Not Functioning"</formula>
    </cfRule>
    <cfRule type="containsText" dxfId="738" priority="866" operator="containsText" text="Functioning">
      <formula>NOT(ISERROR(SEARCH("Functioning",B48)))</formula>
    </cfRule>
  </conditionalFormatting>
  <conditionalFormatting sqref="E49">
    <cfRule type="beginsWith" dxfId="737" priority="861" stopIfTrue="1" operator="beginsWith" text="Functioning At Risk">
      <formula>LEFT(E49,LEN("Functioning At Risk"))="Functioning At Risk"</formula>
    </cfRule>
    <cfRule type="beginsWith" dxfId="736" priority="862" stopIfTrue="1" operator="beginsWith" text="Not Functioning">
      <formula>LEFT(E49,LEN("Not Functioning"))="Not Functioning"</formula>
    </cfRule>
    <cfRule type="containsText" dxfId="735" priority="863" operator="containsText" text="Functioning">
      <formula>NOT(ISERROR(SEARCH("Functioning",E49)))</formula>
    </cfRule>
  </conditionalFormatting>
  <conditionalFormatting sqref="E48">
    <cfRule type="beginsWith" dxfId="734" priority="858" stopIfTrue="1" operator="beginsWith" text="Functioning At Risk">
      <formula>LEFT(E48,LEN("Functioning At Risk"))="Functioning At Risk"</formula>
    </cfRule>
    <cfRule type="beginsWith" dxfId="733" priority="859" stopIfTrue="1" operator="beginsWith" text="Not Functioning">
      <formula>LEFT(E48,LEN("Not Functioning"))="Not Functioning"</formula>
    </cfRule>
    <cfRule type="containsText" dxfId="732" priority="860" operator="containsText" text="Functioning">
      <formula>NOT(ISERROR(SEARCH("Functioning",E48)))</formula>
    </cfRule>
  </conditionalFormatting>
  <conditionalFormatting sqref="E48">
    <cfRule type="expression" dxfId="731" priority="857" stopIfTrue="1">
      <formula>ISBLANK($B$13)</formula>
    </cfRule>
  </conditionalFormatting>
  <conditionalFormatting sqref="E50:E51">
    <cfRule type="beginsWith" dxfId="730" priority="854" stopIfTrue="1" operator="beginsWith" text="Functioning At Risk">
      <formula>LEFT(E50,LEN("Functioning At Risk"))="Functioning At Risk"</formula>
    </cfRule>
    <cfRule type="beginsWith" dxfId="729" priority="855" stopIfTrue="1" operator="beginsWith" text="Not Functioning">
      <formula>LEFT(E50,LEN("Not Functioning"))="Not Functioning"</formula>
    </cfRule>
    <cfRule type="containsText" dxfId="728" priority="856" operator="containsText" text="Functioning">
      <formula>NOT(ISERROR(SEARCH("Functioning",E50)))</formula>
    </cfRule>
  </conditionalFormatting>
  <conditionalFormatting sqref="C87:D89">
    <cfRule type="beginsWith" dxfId="727" priority="848" stopIfTrue="1" operator="beginsWith" text="Functioning At Risk">
      <formula>LEFT(C87,LEN("Functioning At Risk"))="Functioning At Risk"</formula>
    </cfRule>
    <cfRule type="beginsWith" dxfId="726" priority="849" stopIfTrue="1" operator="beginsWith" text="Not Functioning">
      <formula>LEFT(C87,LEN("Not Functioning"))="Not Functioning"</formula>
    </cfRule>
    <cfRule type="containsText" dxfId="725" priority="850" operator="containsText" text="Functioning">
      <formula>NOT(ISERROR(SEARCH("Functioning",C87)))</formula>
    </cfRule>
  </conditionalFormatting>
  <conditionalFormatting sqref="B87">
    <cfRule type="beginsWith" dxfId="724" priority="845" stopIfTrue="1" operator="beginsWith" text="Functioning At Risk">
      <formula>LEFT(B87,LEN("Functioning At Risk"))="Functioning At Risk"</formula>
    </cfRule>
    <cfRule type="beginsWith" dxfId="723" priority="846" stopIfTrue="1" operator="beginsWith" text="Not Functioning">
      <formula>LEFT(B87,LEN("Not Functioning"))="Not Functioning"</formula>
    </cfRule>
    <cfRule type="containsText" dxfId="722" priority="847" operator="containsText" text="Functioning">
      <formula>NOT(ISERROR(SEARCH("Functioning",B87)))</formula>
    </cfRule>
  </conditionalFormatting>
  <conditionalFormatting sqref="E88">
    <cfRule type="beginsWith" dxfId="721" priority="842" stopIfTrue="1" operator="beginsWith" text="Functioning At Risk">
      <formula>LEFT(E88,LEN("Functioning At Risk"))="Functioning At Risk"</formula>
    </cfRule>
    <cfRule type="beginsWith" dxfId="720" priority="843" stopIfTrue="1" operator="beginsWith" text="Not Functioning">
      <formula>LEFT(E88,LEN("Not Functioning"))="Not Functioning"</formula>
    </cfRule>
    <cfRule type="containsText" dxfId="719" priority="844" operator="containsText" text="Functioning">
      <formula>NOT(ISERROR(SEARCH("Functioning",E88)))</formula>
    </cfRule>
  </conditionalFormatting>
  <conditionalFormatting sqref="E87">
    <cfRule type="beginsWith" dxfId="718" priority="839" stopIfTrue="1" operator="beginsWith" text="Functioning At Risk">
      <formula>LEFT(E87,LEN("Functioning At Risk"))="Functioning At Risk"</formula>
    </cfRule>
    <cfRule type="beginsWith" dxfId="717" priority="840" stopIfTrue="1" operator="beginsWith" text="Not Functioning">
      <formula>LEFT(E87,LEN("Not Functioning"))="Not Functioning"</formula>
    </cfRule>
    <cfRule type="containsText" dxfId="716" priority="841" operator="containsText" text="Functioning">
      <formula>NOT(ISERROR(SEARCH("Functioning",E87)))</formula>
    </cfRule>
  </conditionalFormatting>
  <conditionalFormatting sqref="E87">
    <cfRule type="expression" dxfId="715" priority="838" stopIfTrue="1">
      <formula>ISBLANK($B$13)</formula>
    </cfRule>
  </conditionalFormatting>
  <conditionalFormatting sqref="E89:E90">
    <cfRule type="beginsWith" dxfId="714" priority="835" stopIfTrue="1" operator="beginsWith" text="Functioning At Risk">
      <formula>LEFT(E89,LEN("Functioning At Risk"))="Functioning At Risk"</formula>
    </cfRule>
    <cfRule type="beginsWith" dxfId="713" priority="836" stopIfTrue="1" operator="beginsWith" text="Not Functioning">
      <formula>LEFT(E89,LEN("Not Functioning"))="Not Functioning"</formula>
    </cfRule>
    <cfRule type="containsText" dxfId="712" priority="837" operator="containsText" text="Functioning">
      <formula>NOT(ISERROR(SEARCH("Functioning",E89)))</formula>
    </cfRule>
  </conditionalFormatting>
  <conditionalFormatting sqref="C126:D128">
    <cfRule type="beginsWith" dxfId="711" priority="829" stopIfTrue="1" operator="beginsWith" text="Functioning At Risk">
      <formula>LEFT(C126,LEN("Functioning At Risk"))="Functioning At Risk"</formula>
    </cfRule>
    <cfRule type="beginsWith" dxfId="710" priority="830" stopIfTrue="1" operator="beginsWith" text="Not Functioning">
      <formula>LEFT(C126,LEN("Not Functioning"))="Not Functioning"</formula>
    </cfRule>
    <cfRule type="containsText" dxfId="709" priority="831" operator="containsText" text="Functioning">
      <formula>NOT(ISERROR(SEARCH("Functioning",C126)))</formula>
    </cfRule>
  </conditionalFormatting>
  <conditionalFormatting sqref="B126">
    <cfRule type="beginsWith" dxfId="708" priority="826" stopIfTrue="1" operator="beginsWith" text="Functioning At Risk">
      <formula>LEFT(B126,LEN("Functioning At Risk"))="Functioning At Risk"</formula>
    </cfRule>
    <cfRule type="beginsWith" dxfId="707" priority="827" stopIfTrue="1" operator="beginsWith" text="Not Functioning">
      <formula>LEFT(B126,LEN("Not Functioning"))="Not Functioning"</formula>
    </cfRule>
    <cfRule type="containsText" dxfId="706" priority="828" operator="containsText" text="Functioning">
      <formula>NOT(ISERROR(SEARCH("Functioning",B126)))</formula>
    </cfRule>
  </conditionalFormatting>
  <conditionalFormatting sqref="E127">
    <cfRule type="beginsWith" dxfId="705" priority="823" stopIfTrue="1" operator="beginsWith" text="Functioning At Risk">
      <formula>LEFT(E127,LEN("Functioning At Risk"))="Functioning At Risk"</formula>
    </cfRule>
    <cfRule type="beginsWith" dxfId="704" priority="824" stopIfTrue="1" operator="beginsWith" text="Not Functioning">
      <formula>LEFT(E127,LEN("Not Functioning"))="Not Functioning"</formula>
    </cfRule>
    <cfRule type="containsText" dxfId="703" priority="825" operator="containsText" text="Functioning">
      <formula>NOT(ISERROR(SEARCH("Functioning",E127)))</formula>
    </cfRule>
  </conditionalFormatting>
  <conditionalFormatting sqref="E126">
    <cfRule type="beginsWith" dxfId="702" priority="820" stopIfTrue="1" operator="beginsWith" text="Functioning At Risk">
      <formula>LEFT(E126,LEN("Functioning At Risk"))="Functioning At Risk"</formula>
    </cfRule>
    <cfRule type="beginsWith" dxfId="701" priority="821" stopIfTrue="1" operator="beginsWith" text="Not Functioning">
      <formula>LEFT(E126,LEN("Not Functioning"))="Not Functioning"</formula>
    </cfRule>
    <cfRule type="containsText" dxfId="700" priority="822" operator="containsText" text="Functioning">
      <formula>NOT(ISERROR(SEARCH("Functioning",E126)))</formula>
    </cfRule>
  </conditionalFormatting>
  <conditionalFormatting sqref="E126">
    <cfRule type="expression" dxfId="699" priority="819" stopIfTrue="1">
      <formula>ISBLANK($B$13)</formula>
    </cfRule>
  </conditionalFormatting>
  <conditionalFormatting sqref="E128:E129">
    <cfRule type="beginsWith" dxfId="698" priority="816" stopIfTrue="1" operator="beginsWith" text="Functioning At Risk">
      <formula>LEFT(E128,LEN("Functioning At Risk"))="Functioning At Risk"</formula>
    </cfRule>
    <cfRule type="beginsWith" dxfId="697" priority="817" stopIfTrue="1" operator="beginsWith" text="Not Functioning">
      <formula>LEFT(E128,LEN("Not Functioning"))="Not Functioning"</formula>
    </cfRule>
    <cfRule type="containsText" dxfId="696" priority="818" operator="containsText" text="Functioning">
      <formula>NOT(ISERROR(SEARCH("Functioning",E128)))</formula>
    </cfRule>
  </conditionalFormatting>
  <conditionalFormatting sqref="C165:D167">
    <cfRule type="beginsWith" dxfId="695" priority="810" stopIfTrue="1" operator="beginsWith" text="Functioning At Risk">
      <formula>LEFT(C165,LEN("Functioning At Risk"))="Functioning At Risk"</formula>
    </cfRule>
    <cfRule type="beginsWith" dxfId="694" priority="811" stopIfTrue="1" operator="beginsWith" text="Not Functioning">
      <formula>LEFT(C165,LEN("Not Functioning"))="Not Functioning"</formula>
    </cfRule>
    <cfRule type="containsText" dxfId="693" priority="812" operator="containsText" text="Functioning">
      <formula>NOT(ISERROR(SEARCH("Functioning",C165)))</formula>
    </cfRule>
  </conditionalFormatting>
  <conditionalFormatting sqref="B165">
    <cfRule type="beginsWith" dxfId="692" priority="807" stopIfTrue="1" operator="beginsWith" text="Functioning At Risk">
      <formula>LEFT(B165,LEN("Functioning At Risk"))="Functioning At Risk"</formula>
    </cfRule>
    <cfRule type="beginsWith" dxfId="691" priority="808" stopIfTrue="1" operator="beginsWith" text="Not Functioning">
      <formula>LEFT(B165,LEN("Not Functioning"))="Not Functioning"</formula>
    </cfRule>
    <cfRule type="containsText" dxfId="690" priority="809" operator="containsText" text="Functioning">
      <formula>NOT(ISERROR(SEARCH("Functioning",B165)))</formula>
    </cfRule>
  </conditionalFormatting>
  <conditionalFormatting sqref="E166">
    <cfRule type="beginsWith" dxfId="689" priority="804" stopIfTrue="1" operator="beginsWith" text="Functioning At Risk">
      <formula>LEFT(E166,LEN("Functioning At Risk"))="Functioning At Risk"</formula>
    </cfRule>
    <cfRule type="beginsWith" dxfId="688" priority="805" stopIfTrue="1" operator="beginsWith" text="Not Functioning">
      <formula>LEFT(E166,LEN("Not Functioning"))="Not Functioning"</formula>
    </cfRule>
    <cfRule type="containsText" dxfId="687" priority="806" operator="containsText" text="Functioning">
      <formula>NOT(ISERROR(SEARCH("Functioning",E166)))</formula>
    </cfRule>
  </conditionalFormatting>
  <conditionalFormatting sqref="E165">
    <cfRule type="beginsWith" dxfId="686" priority="801" stopIfTrue="1" operator="beginsWith" text="Functioning At Risk">
      <formula>LEFT(E165,LEN("Functioning At Risk"))="Functioning At Risk"</formula>
    </cfRule>
    <cfRule type="beginsWith" dxfId="685" priority="802" stopIfTrue="1" operator="beginsWith" text="Not Functioning">
      <formula>LEFT(E165,LEN("Not Functioning"))="Not Functioning"</formula>
    </cfRule>
    <cfRule type="containsText" dxfId="684" priority="803" operator="containsText" text="Functioning">
      <formula>NOT(ISERROR(SEARCH("Functioning",E165)))</formula>
    </cfRule>
  </conditionalFormatting>
  <conditionalFormatting sqref="E165">
    <cfRule type="expression" dxfId="683" priority="800" stopIfTrue="1">
      <formula>ISBLANK($B$13)</formula>
    </cfRule>
  </conditionalFormatting>
  <conditionalFormatting sqref="E167:E168">
    <cfRule type="beginsWith" dxfId="682" priority="797" stopIfTrue="1" operator="beginsWith" text="Functioning At Risk">
      <formula>LEFT(E167,LEN("Functioning At Risk"))="Functioning At Risk"</formula>
    </cfRule>
    <cfRule type="beginsWith" dxfId="681" priority="798" stopIfTrue="1" operator="beginsWith" text="Not Functioning">
      <formula>LEFT(E167,LEN("Not Functioning"))="Not Functioning"</formula>
    </cfRule>
    <cfRule type="containsText" dxfId="680" priority="799" operator="containsText" text="Functioning">
      <formula>NOT(ISERROR(SEARCH("Functioning",E167)))</formula>
    </cfRule>
  </conditionalFormatting>
  <conditionalFormatting sqref="C204:D206">
    <cfRule type="beginsWith" dxfId="679" priority="791" stopIfTrue="1" operator="beginsWith" text="Functioning At Risk">
      <formula>LEFT(C204,LEN("Functioning At Risk"))="Functioning At Risk"</formula>
    </cfRule>
    <cfRule type="beginsWith" dxfId="678" priority="792" stopIfTrue="1" operator="beginsWith" text="Not Functioning">
      <formula>LEFT(C204,LEN("Not Functioning"))="Not Functioning"</formula>
    </cfRule>
    <cfRule type="containsText" dxfId="677" priority="793" operator="containsText" text="Functioning">
      <formula>NOT(ISERROR(SEARCH("Functioning",C204)))</formula>
    </cfRule>
  </conditionalFormatting>
  <conditionalFormatting sqref="B204">
    <cfRule type="beginsWith" dxfId="676" priority="788" stopIfTrue="1" operator="beginsWith" text="Functioning At Risk">
      <formula>LEFT(B204,LEN("Functioning At Risk"))="Functioning At Risk"</formula>
    </cfRule>
    <cfRule type="beginsWith" dxfId="675" priority="789" stopIfTrue="1" operator="beginsWith" text="Not Functioning">
      <formula>LEFT(B204,LEN("Not Functioning"))="Not Functioning"</formula>
    </cfRule>
    <cfRule type="containsText" dxfId="674" priority="790" operator="containsText" text="Functioning">
      <formula>NOT(ISERROR(SEARCH("Functioning",B204)))</formula>
    </cfRule>
  </conditionalFormatting>
  <conditionalFormatting sqref="E205">
    <cfRule type="beginsWith" dxfId="673" priority="785" stopIfTrue="1" operator="beginsWith" text="Functioning At Risk">
      <formula>LEFT(E205,LEN("Functioning At Risk"))="Functioning At Risk"</formula>
    </cfRule>
    <cfRule type="beginsWith" dxfId="672" priority="786" stopIfTrue="1" operator="beginsWith" text="Not Functioning">
      <formula>LEFT(E205,LEN("Not Functioning"))="Not Functioning"</formula>
    </cfRule>
    <cfRule type="containsText" dxfId="671" priority="787" operator="containsText" text="Functioning">
      <formula>NOT(ISERROR(SEARCH("Functioning",E205)))</formula>
    </cfRule>
  </conditionalFormatting>
  <conditionalFormatting sqref="E204">
    <cfRule type="beginsWith" dxfId="670" priority="782" stopIfTrue="1" operator="beginsWith" text="Functioning At Risk">
      <formula>LEFT(E204,LEN("Functioning At Risk"))="Functioning At Risk"</formula>
    </cfRule>
    <cfRule type="beginsWith" dxfId="669" priority="783" stopIfTrue="1" operator="beginsWith" text="Not Functioning">
      <formula>LEFT(E204,LEN("Not Functioning"))="Not Functioning"</formula>
    </cfRule>
    <cfRule type="containsText" dxfId="668" priority="784" operator="containsText" text="Functioning">
      <formula>NOT(ISERROR(SEARCH("Functioning",E204)))</formula>
    </cfRule>
  </conditionalFormatting>
  <conditionalFormatting sqref="E204">
    <cfRule type="expression" dxfId="667" priority="781" stopIfTrue="1">
      <formula>ISBLANK($B$13)</formula>
    </cfRule>
  </conditionalFormatting>
  <conditionalFormatting sqref="E206:E207">
    <cfRule type="beginsWith" dxfId="666" priority="778" stopIfTrue="1" operator="beginsWith" text="Functioning At Risk">
      <formula>LEFT(E206,LEN("Functioning At Risk"))="Functioning At Risk"</formula>
    </cfRule>
    <cfRule type="beginsWith" dxfId="665" priority="779" stopIfTrue="1" operator="beginsWith" text="Not Functioning">
      <formula>LEFT(E206,LEN("Not Functioning"))="Not Functioning"</formula>
    </cfRule>
    <cfRule type="containsText" dxfId="664" priority="780" operator="containsText" text="Functioning">
      <formula>NOT(ISERROR(SEARCH("Functioning",E206)))</formula>
    </cfRule>
  </conditionalFormatting>
  <conditionalFormatting sqref="C244:D246">
    <cfRule type="beginsWith" dxfId="663" priority="772" stopIfTrue="1" operator="beginsWith" text="Functioning At Risk">
      <formula>LEFT(C244,LEN("Functioning At Risk"))="Functioning At Risk"</formula>
    </cfRule>
    <cfRule type="beginsWith" dxfId="662" priority="773" stopIfTrue="1" operator="beginsWith" text="Not Functioning">
      <formula>LEFT(C244,LEN("Not Functioning"))="Not Functioning"</formula>
    </cfRule>
    <cfRule type="containsText" dxfId="661" priority="774" operator="containsText" text="Functioning">
      <formula>NOT(ISERROR(SEARCH("Functioning",C244)))</formula>
    </cfRule>
  </conditionalFormatting>
  <conditionalFormatting sqref="B244">
    <cfRule type="beginsWith" dxfId="660" priority="769" stopIfTrue="1" operator="beginsWith" text="Functioning At Risk">
      <formula>LEFT(B244,LEN("Functioning At Risk"))="Functioning At Risk"</formula>
    </cfRule>
    <cfRule type="beginsWith" dxfId="659" priority="770" stopIfTrue="1" operator="beginsWith" text="Not Functioning">
      <formula>LEFT(B244,LEN("Not Functioning"))="Not Functioning"</formula>
    </cfRule>
    <cfRule type="containsText" dxfId="658" priority="771" operator="containsText" text="Functioning">
      <formula>NOT(ISERROR(SEARCH("Functioning",B244)))</formula>
    </cfRule>
  </conditionalFormatting>
  <conditionalFormatting sqref="E245">
    <cfRule type="beginsWith" dxfId="657" priority="766" stopIfTrue="1" operator="beginsWith" text="Functioning At Risk">
      <formula>LEFT(E245,LEN("Functioning At Risk"))="Functioning At Risk"</formula>
    </cfRule>
    <cfRule type="beginsWith" dxfId="656" priority="767" stopIfTrue="1" operator="beginsWith" text="Not Functioning">
      <formula>LEFT(E245,LEN("Not Functioning"))="Not Functioning"</formula>
    </cfRule>
    <cfRule type="containsText" dxfId="655" priority="768" operator="containsText" text="Functioning">
      <formula>NOT(ISERROR(SEARCH("Functioning",E245)))</formula>
    </cfRule>
  </conditionalFormatting>
  <conditionalFormatting sqref="E244">
    <cfRule type="beginsWith" dxfId="654" priority="763" stopIfTrue="1" operator="beginsWith" text="Functioning At Risk">
      <formula>LEFT(E244,LEN("Functioning At Risk"))="Functioning At Risk"</formula>
    </cfRule>
    <cfRule type="beginsWith" dxfId="653" priority="764" stopIfTrue="1" operator="beginsWith" text="Not Functioning">
      <formula>LEFT(E244,LEN("Not Functioning"))="Not Functioning"</formula>
    </cfRule>
    <cfRule type="containsText" dxfId="652" priority="765" operator="containsText" text="Functioning">
      <formula>NOT(ISERROR(SEARCH("Functioning",E244)))</formula>
    </cfRule>
  </conditionalFormatting>
  <conditionalFormatting sqref="E244">
    <cfRule type="expression" dxfId="651" priority="762" stopIfTrue="1">
      <formula>ISBLANK($B$13)</formula>
    </cfRule>
  </conditionalFormatting>
  <conditionalFormatting sqref="E246:E247">
    <cfRule type="beginsWith" dxfId="650" priority="759" stopIfTrue="1" operator="beginsWith" text="Functioning At Risk">
      <formula>LEFT(E246,LEN("Functioning At Risk"))="Functioning At Risk"</formula>
    </cfRule>
    <cfRule type="beginsWith" dxfId="649" priority="760" stopIfTrue="1" operator="beginsWith" text="Not Functioning">
      <formula>LEFT(E246,LEN("Not Functioning"))="Not Functioning"</formula>
    </cfRule>
    <cfRule type="containsText" dxfId="648" priority="761" operator="containsText" text="Functioning">
      <formula>NOT(ISERROR(SEARCH("Functioning",E246)))</formula>
    </cfRule>
  </conditionalFormatting>
  <conditionalFormatting sqref="C284:D286">
    <cfRule type="beginsWith" dxfId="647" priority="753" stopIfTrue="1" operator="beginsWith" text="Functioning At Risk">
      <formula>LEFT(C284,LEN("Functioning At Risk"))="Functioning At Risk"</formula>
    </cfRule>
    <cfRule type="beginsWith" dxfId="646" priority="754" stopIfTrue="1" operator="beginsWith" text="Not Functioning">
      <formula>LEFT(C284,LEN("Not Functioning"))="Not Functioning"</formula>
    </cfRule>
    <cfRule type="containsText" dxfId="645" priority="755" operator="containsText" text="Functioning">
      <formula>NOT(ISERROR(SEARCH("Functioning",C284)))</formula>
    </cfRule>
  </conditionalFormatting>
  <conditionalFormatting sqref="B284">
    <cfRule type="beginsWith" dxfId="644" priority="750" stopIfTrue="1" operator="beginsWith" text="Functioning At Risk">
      <formula>LEFT(B284,LEN("Functioning At Risk"))="Functioning At Risk"</formula>
    </cfRule>
    <cfRule type="beginsWith" dxfId="643" priority="751" stopIfTrue="1" operator="beginsWith" text="Not Functioning">
      <formula>LEFT(B284,LEN("Not Functioning"))="Not Functioning"</formula>
    </cfRule>
    <cfRule type="containsText" dxfId="642" priority="752" operator="containsText" text="Functioning">
      <formula>NOT(ISERROR(SEARCH("Functioning",B284)))</formula>
    </cfRule>
  </conditionalFormatting>
  <conditionalFormatting sqref="E285">
    <cfRule type="beginsWith" dxfId="641" priority="747" stopIfTrue="1" operator="beginsWith" text="Functioning At Risk">
      <formula>LEFT(E285,LEN("Functioning At Risk"))="Functioning At Risk"</formula>
    </cfRule>
    <cfRule type="beginsWith" dxfId="640" priority="748" stopIfTrue="1" operator="beginsWith" text="Not Functioning">
      <formula>LEFT(E285,LEN("Not Functioning"))="Not Functioning"</formula>
    </cfRule>
    <cfRule type="containsText" dxfId="639" priority="749" operator="containsText" text="Functioning">
      <formula>NOT(ISERROR(SEARCH("Functioning",E285)))</formula>
    </cfRule>
  </conditionalFormatting>
  <conditionalFormatting sqref="E284">
    <cfRule type="beginsWith" dxfId="638" priority="744" stopIfTrue="1" operator="beginsWith" text="Functioning At Risk">
      <formula>LEFT(E284,LEN("Functioning At Risk"))="Functioning At Risk"</formula>
    </cfRule>
    <cfRule type="beginsWith" dxfId="637" priority="745" stopIfTrue="1" operator="beginsWith" text="Not Functioning">
      <formula>LEFT(E284,LEN("Not Functioning"))="Not Functioning"</formula>
    </cfRule>
    <cfRule type="containsText" dxfId="636" priority="746" operator="containsText" text="Functioning">
      <formula>NOT(ISERROR(SEARCH("Functioning",E284)))</formula>
    </cfRule>
  </conditionalFormatting>
  <conditionalFormatting sqref="E284">
    <cfRule type="expression" dxfId="635" priority="743" stopIfTrue="1">
      <formula>ISBLANK($B$13)</formula>
    </cfRule>
  </conditionalFormatting>
  <conditionalFormatting sqref="E286:E287">
    <cfRule type="beginsWith" dxfId="634" priority="740" stopIfTrue="1" operator="beginsWith" text="Functioning At Risk">
      <formula>LEFT(E286,LEN("Functioning At Risk"))="Functioning At Risk"</formula>
    </cfRule>
    <cfRule type="beginsWith" dxfId="633" priority="741" stopIfTrue="1" operator="beginsWith" text="Not Functioning">
      <formula>LEFT(E286,LEN("Not Functioning"))="Not Functioning"</formula>
    </cfRule>
    <cfRule type="containsText" dxfId="632" priority="742" operator="containsText" text="Functioning">
      <formula>NOT(ISERROR(SEARCH("Functioning",E286)))</formula>
    </cfRule>
  </conditionalFormatting>
  <conditionalFormatting sqref="C324:D326">
    <cfRule type="beginsWith" dxfId="631" priority="734" stopIfTrue="1" operator="beginsWith" text="Functioning At Risk">
      <formula>LEFT(C324,LEN("Functioning At Risk"))="Functioning At Risk"</formula>
    </cfRule>
    <cfRule type="beginsWith" dxfId="630" priority="735" stopIfTrue="1" operator="beginsWith" text="Not Functioning">
      <formula>LEFT(C324,LEN("Not Functioning"))="Not Functioning"</formula>
    </cfRule>
    <cfRule type="containsText" dxfId="629" priority="736" operator="containsText" text="Functioning">
      <formula>NOT(ISERROR(SEARCH("Functioning",C324)))</formula>
    </cfRule>
  </conditionalFormatting>
  <conditionalFormatting sqref="B324">
    <cfRule type="beginsWith" dxfId="628" priority="731" stopIfTrue="1" operator="beginsWith" text="Functioning At Risk">
      <formula>LEFT(B324,LEN("Functioning At Risk"))="Functioning At Risk"</formula>
    </cfRule>
    <cfRule type="beginsWith" dxfId="627" priority="732" stopIfTrue="1" operator="beginsWith" text="Not Functioning">
      <formula>LEFT(B324,LEN("Not Functioning"))="Not Functioning"</formula>
    </cfRule>
    <cfRule type="containsText" dxfId="626" priority="733" operator="containsText" text="Functioning">
      <formula>NOT(ISERROR(SEARCH("Functioning",B324)))</formula>
    </cfRule>
  </conditionalFormatting>
  <conditionalFormatting sqref="E325">
    <cfRule type="beginsWith" dxfId="625" priority="728" stopIfTrue="1" operator="beginsWith" text="Functioning At Risk">
      <formula>LEFT(E325,LEN("Functioning At Risk"))="Functioning At Risk"</formula>
    </cfRule>
    <cfRule type="beginsWith" dxfId="624" priority="729" stopIfTrue="1" operator="beginsWith" text="Not Functioning">
      <formula>LEFT(E325,LEN("Not Functioning"))="Not Functioning"</formula>
    </cfRule>
    <cfRule type="containsText" dxfId="623" priority="730" operator="containsText" text="Functioning">
      <formula>NOT(ISERROR(SEARCH("Functioning",E325)))</formula>
    </cfRule>
  </conditionalFormatting>
  <conditionalFormatting sqref="E324">
    <cfRule type="beginsWith" dxfId="622" priority="725" stopIfTrue="1" operator="beginsWith" text="Functioning At Risk">
      <formula>LEFT(E324,LEN("Functioning At Risk"))="Functioning At Risk"</formula>
    </cfRule>
    <cfRule type="beginsWith" dxfId="621" priority="726" stopIfTrue="1" operator="beginsWith" text="Not Functioning">
      <formula>LEFT(E324,LEN("Not Functioning"))="Not Functioning"</formula>
    </cfRule>
    <cfRule type="containsText" dxfId="620" priority="727" operator="containsText" text="Functioning">
      <formula>NOT(ISERROR(SEARCH("Functioning",E324)))</formula>
    </cfRule>
  </conditionalFormatting>
  <conditionalFormatting sqref="E324">
    <cfRule type="expression" dxfId="619" priority="724" stopIfTrue="1">
      <formula>ISBLANK($B$13)</formula>
    </cfRule>
  </conditionalFormatting>
  <conditionalFormatting sqref="E326:E327">
    <cfRule type="beginsWith" dxfId="618" priority="721" stopIfTrue="1" operator="beginsWith" text="Functioning At Risk">
      <formula>LEFT(E326,LEN("Functioning At Risk"))="Functioning At Risk"</formula>
    </cfRule>
    <cfRule type="beginsWith" dxfId="617" priority="722" stopIfTrue="1" operator="beginsWith" text="Not Functioning">
      <formula>LEFT(E326,LEN("Not Functioning"))="Not Functioning"</formula>
    </cfRule>
    <cfRule type="containsText" dxfId="616" priority="723" operator="containsText" text="Functioning">
      <formula>NOT(ISERROR(SEARCH("Functioning",E326)))</formula>
    </cfRule>
  </conditionalFormatting>
  <conditionalFormatting sqref="C364:D366">
    <cfRule type="beginsWith" dxfId="615" priority="715" stopIfTrue="1" operator="beginsWith" text="Functioning At Risk">
      <formula>LEFT(C364,LEN("Functioning At Risk"))="Functioning At Risk"</formula>
    </cfRule>
    <cfRule type="beginsWith" dxfId="614" priority="716" stopIfTrue="1" operator="beginsWith" text="Not Functioning">
      <formula>LEFT(C364,LEN("Not Functioning"))="Not Functioning"</formula>
    </cfRule>
    <cfRule type="containsText" dxfId="613" priority="717" operator="containsText" text="Functioning">
      <formula>NOT(ISERROR(SEARCH("Functioning",C364)))</formula>
    </cfRule>
  </conditionalFormatting>
  <conditionalFormatting sqref="B364">
    <cfRule type="beginsWith" dxfId="612" priority="712" stopIfTrue="1" operator="beginsWith" text="Functioning At Risk">
      <formula>LEFT(B364,LEN("Functioning At Risk"))="Functioning At Risk"</formula>
    </cfRule>
    <cfRule type="beginsWith" dxfId="611" priority="713" stopIfTrue="1" operator="beginsWith" text="Not Functioning">
      <formula>LEFT(B364,LEN("Not Functioning"))="Not Functioning"</formula>
    </cfRule>
    <cfRule type="containsText" dxfId="610" priority="714" operator="containsText" text="Functioning">
      <formula>NOT(ISERROR(SEARCH("Functioning",B364)))</formula>
    </cfRule>
  </conditionalFormatting>
  <conditionalFormatting sqref="E365">
    <cfRule type="beginsWith" dxfId="609" priority="709" stopIfTrue="1" operator="beginsWith" text="Functioning At Risk">
      <formula>LEFT(E365,LEN("Functioning At Risk"))="Functioning At Risk"</formula>
    </cfRule>
    <cfRule type="beginsWith" dxfId="608" priority="710" stopIfTrue="1" operator="beginsWith" text="Not Functioning">
      <formula>LEFT(E365,LEN("Not Functioning"))="Not Functioning"</formula>
    </cfRule>
    <cfRule type="containsText" dxfId="607" priority="711" operator="containsText" text="Functioning">
      <formula>NOT(ISERROR(SEARCH("Functioning",E365)))</formula>
    </cfRule>
  </conditionalFormatting>
  <conditionalFormatting sqref="E364">
    <cfRule type="beginsWith" dxfId="606" priority="706" stopIfTrue="1" operator="beginsWith" text="Functioning At Risk">
      <formula>LEFT(E364,LEN("Functioning At Risk"))="Functioning At Risk"</formula>
    </cfRule>
    <cfRule type="beginsWith" dxfId="605" priority="707" stopIfTrue="1" operator="beginsWith" text="Not Functioning">
      <formula>LEFT(E364,LEN("Not Functioning"))="Not Functioning"</formula>
    </cfRule>
    <cfRule type="containsText" dxfId="604" priority="708" operator="containsText" text="Functioning">
      <formula>NOT(ISERROR(SEARCH("Functioning",E364)))</formula>
    </cfRule>
  </conditionalFormatting>
  <conditionalFormatting sqref="E364">
    <cfRule type="expression" dxfId="603" priority="705" stopIfTrue="1">
      <formula>ISBLANK($B$13)</formula>
    </cfRule>
  </conditionalFormatting>
  <conditionalFormatting sqref="E366:E367">
    <cfRule type="beginsWith" dxfId="602" priority="702" stopIfTrue="1" operator="beginsWith" text="Functioning At Risk">
      <formula>LEFT(E366,LEN("Functioning At Risk"))="Functioning At Risk"</formula>
    </cfRule>
    <cfRule type="beginsWith" dxfId="601" priority="703" stopIfTrue="1" operator="beginsWith" text="Not Functioning">
      <formula>LEFT(E366,LEN("Not Functioning"))="Not Functioning"</formula>
    </cfRule>
    <cfRule type="containsText" dxfId="600" priority="704" operator="containsText" text="Functioning">
      <formula>NOT(ISERROR(SEARCH("Functioning",E366)))</formula>
    </cfRule>
  </conditionalFormatting>
  <conditionalFormatting sqref="C404:D406">
    <cfRule type="beginsWith" dxfId="599" priority="696" stopIfTrue="1" operator="beginsWith" text="Functioning At Risk">
      <formula>LEFT(C404,LEN("Functioning At Risk"))="Functioning At Risk"</formula>
    </cfRule>
    <cfRule type="beginsWith" dxfId="598" priority="697" stopIfTrue="1" operator="beginsWith" text="Not Functioning">
      <formula>LEFT(C404,LEN("Not Functioning"))="Not Functioning"</formula>
    </cfRule>
    <cfRule type="containsText" dxfId="597" priority="698" operator="containsText" text="Functioning">
      <formula>NOT(ISERROR(SEARCH("Functioning",C404)))</formula>
    </cfRule>
  </conditionalFormatting>
  <conditionalFormatting sqref="B404">
    <cfRule type="beginsWith" dxfId="596" priority="693" stopIfTrue="1" operator="beginsWith" text="Functioning At Risk">
      <formula>LEFT(B404,LEN("Functioning At Risk"))="Functioning At Risk"</formula>
    </cfRule>
    <cfRule type="beginsWith" dxfId="595" priority="694" stopIfTrue="1" operator="beginsWith" text="Not Functioning">
      <formula>LEFT(B404,LEN("Not Functioning"))="Not Functioning"</formula>
    </cfRule>
    <cfRule type="containsText" dxfId="594" priority="695" operator="containsText" text="Functioning">
      <formula>NOT(ISERROR(SEARCH("Functioning",B404)))</formula>
    </cfRule>
  </conditionalFormatting>
  <conditionalFormatting sqref="E405">
    <cfRule type="beginsWith" dxfId="593" priority="690" stopIfTrue="1" operator="beginsWith" text="Functioning At Risk">
      <formula>LEFT(E405,LEN("Functioning At Risk"))="Functioning At Risk"</formula>
    </cfRule>
    <cfRule type="beginsWith" dxfId="592" priority="691" stopIfTrue="1" operator="beginsWith" text="Not Functioning">
      <formula>LEFT(E405,LEN("Not Functioning"))="Not Functioning"</formula>
    </cfRule>
    <cfRule type="containsText" dxfId="591" priority="692" operator="containsText" text="Functioning">
      <formula>NOT(ISERROR(SEARCH("Functioning",E405)))</formula>
    </cfRule>
  </conditionalFormatting>
  <conditionalFormatting sqref="E404">
    <cfRule type="beginsWith" dxfId="590" priority="687" stopIfTrue="1" operator="beginsWith" text="Functioning At Risk">
      <formula>LEFT(E404,LEN("Functioning At Risk"))="Functioning At Risk"</formula>
    </cfRule>
    <cfRule type="beginsWith" dxfId="589" priority="688" stopIfTrue="1" operator="beginsWith" text="Not Functioning">
      <formula>LEFT(E404,LEN("Not Functioning"))="Not Functioning"</formula>
    </cfRule>
    <cfRule type="containsText" dxfId="588" priority="689" operator="containsText" text="Functioning">
      <formula>NOT(ISERROR(SEARCH("Functioning",E404)))</formula>
    </cfRule>
  </conditionalFormatting>
  <conditionalFormatting sqref="E404">
    <cfRule type="expression" dxfId="587" priority="686" stopIfTrue="1">
      <formula>ISBLANK($B$13)</formula>
    </cfRule>
  </conditionalFormatting>
  <conditionalFormatting sqref="E406:E407">
    <cfRule type="beginsWith" dxfId="586" priority="683" stopIfTrue="1" operator="beginsWith" text="Functioning At Risk">
      <formula>LEFT(E406,LEN("Functioning At Risk"))="Functioning At Risk"</formula>
    </cfRule>
    <cfRule type="beginsWith" dxfId="585" priority="684" stopIfTrue="1" operator="beginsWith" text="Not Functioning">
      <formula>LEFT(E406,LEN("Not Functioning"))="Not Functioning"</formula>
    </cfRule>
    <cfRule type="containsText" dxfId="584" priority="685" operator="containsText" text="Functioning">
      <formula>NOT(ISERROR(SEARCH("Functioning",E406)))</formula>
    </cfRule>
  </conditionalFormatting>
  <conditionalFormatting sqref="E13:E15">
    <cfRule type="beginsWith" dxfId="583" priority="680" stopIfTrue="1" operator="beginsWith" text="Functioning At Risk">
      <formula>LEFT(E13,LEN("Functioning At Risk"))="Functioning At Risk"</formula>
    </cfRule>
    <cfRule type="beginsWith" dxfId="582" priority="681" stopIfTrue="1" operator="beginsWith" text="Not Functioning">
      <formula>LEFT(E13,LEN("Not Functioning"))="Not Functioning"</formula>
    </cfRule>
    <cfRule type="containsText" dxfId="581" priority="682" operator="containsText" text="Functioning">
      <formula>NOT(ISERROR(SEARCH("Functioning",E13)))</formula>
    </cfRule>
  </conditionalFormatting>
  <conditionalFormatting sqref="E17:E18">
    <cfRule type="beginsWith" dxfId="580" priority="677" stopIfTrue="1" operator="beginsWith" text="Functioning At Risk">
      <formula>LEFT(E17,LEN("Functioning At Risk"))="Functioning At Risk"</formula>
    </cfRule>
    <cfRule type="beginsWith" dxfId="579" priority="678" stopIfTrue="1" operator="beginsWith" text="Not Functioning">
      <formula>LEFT(E17,LEN("Not Functioning"))="Not Functioning"</formula>
    </cfRule>
    <cfRule type="containsText" dxfId="578" priority="679" operator="containsText" text="Functioning">
      <formula>NOT(ISERROR(SEARCH("Functioning",E17)))</formula>
    </cfRule>
  </conditionalFormatting>
  <conditionalFormatting sqref="E56:E59">
    <cfRule type="beginsWith" dxfId="577" priority="665" stopIfTrue="1" operator="beginsWith" text="Functioning At Risk">
      <formula>LEFT(E56,LEN("Functioning At Risk"))="Functioning At Risk"</formula>
    </cfRule>
    <cfRule type="beginsWith" dxfId="576" priority="666" stopIfTrue="1" operator="beginsWith" text="Not Functioning">
      <formula>LEFT(E56,LEN("Not Functioning"))="Not Functioning"</formula>
    </cfRule>
    <cfRule type="containsText" dxfId="575" priority="667" operator="containsText" text="Functioning">
      <formula>NOT(ISERROR(SEARCH("Functioning",E56)))</formula>
    </cfRule>
  </conditionalFormatting>
  <conditionalFormatting sqref="E52:E54">
    <cfRule type="beginsWith" dxfId="574" priority="668" stopIfTrue="1" operator="beginsWith" text="Functioning At Risk">
      <formula>LEFT(E52,LEN("Functioning At Risk"))="Functioning At Risk"</formula>
    </cfRule>
    <cfRule type="beginsWith" dxfId="573" priority="669" stopIfTrue="1" operator="beginsWith" text="Not Functioning">
      <formula>LEFT(E52,LEN("Not Functioning"))="Not Functioning"</formula>
    </cfRule>
    <cfRule type="containsText" dxfId="572" priority="670" operator="containsText" text="Functioning">
      <formula>NOT(ISERROR(SEARCH("Functioning",E52)))</formula>
    </cfRule>
  </conditionalFormatting>
  <conditionalFormatting sqref="E91:E93">
    <cfRule type="beginsWith" dxfId="571" priority="656" stopIfTrue="1" operator="beginsWith" text="Functioning At Risk">
      <formula>LEFT(E91,LEN("Functioning At Risk"))="Functioning At Risk"</formula>
    </cfRule>
    <cfRule type="beginsWith" dxfId="570" priority="657" stopIfTrue="1" operator="beginsWith" text="Not Functioning">
      <formula>LEFT(E91,LEN("Not Functioning"))="Not Functioning"</formula>
    </cfRule>
    <cfRule type="containsText" dxfId="569" priority="658" operator="containsText" text="Functioning">
      <formula>NOT(ISERROR(SEARCH("Functioning",E91)))</formula>
    </cfRule>
  </conditionalFormatting>
  <conditionalFormatting sqref="E95:E98">
    <cfRule type="beginsWith" dxfId="568" priority="653" stopIfTrue="1" operator="beginsWith" text="Functioning At Risk">
      <formula>LEFT(E95,LEN("Functioning At Risk"))="Functioning At Risk"</formula>
    </cfRule>
    <cfRule type="beginsWith" dxfId="567" priority="654" stopIfTrue="1" operator="beginsWith" text="Not Functioning">
      <formula>LEFT(E95,LEN("Not Functioning"))="Not Functioning"</formula>
    </cfRule>
    <cfRule type="containsText" dxfId="566" priority="655" operator="containsText" text="Functioning">
      <formula>NOT(ISERROR(SEARCH("Functioning",E95)))</formula>
    </cfRule>
  </conditionalFormatting>
  <conditionalFormatting sqref="E130:E132">
    <cfRule type="beginsWith" dxfId="565" priority="644" stopIfTrue="1" operator="beginsWith" text="Functioning At Risk">
      <formula>LEFT(E130,LEN("Functioning At Risk"))="Functioning At Risk"</formula>
    </cfRule>
    <cfRule type="beginsWith" dxfId="564" priority="645" stopIfTrue="1" operator="beginsWith" text="Not Functioning">
      <formula>LEFT(E130,LEN("Not Functioning"))="Not Functioning"</formula>
    </cfRule>
    <cfRule type="containsText" dxfId="563" priority="646" operator="containsText" text="Functioning">
      <formula>NOT(ISERROR(SEARCH("Functioning",E130)))</formula>
    </cfRule>
  </conditionalFormatting>
  <conditionalFormatting sqref="E134:E137">
    <cfRule type="beginsWith" dxfId="562" priority="641" stopIfTrue="1" operator="beginsWith" text="Functioning At Risk">
      <formula>LEFT(E134,LEN("Functioning At Risk"))="Functioning At Risk"</formula>
    </cfRule>
    <cfRule type="beginsWith" dxfId="561" priority="642" stopIfTrue="1" operator="beginsWith" text="Not Functioning">
      <formula>LEFT(E134,LEN("Not Functioning"))="Not Functioning"</formula>
    </cfRule>
    <cfRule type="containsText" dxfId="560" priority="643" operator="containsText" text="Functioning">
      <formula>NOT(ISERROR(SEARCH("Functioning",E134)))</formula>
    </cfRule>
  </conditionalFormatting>
  <conditionalFormatting sqref="E169:E171">
    <cfRule type="beginsWith" dxfId="559" priority="632" stopIfTrue="1" operator="beginsWith" text="Functioning At Risk">
      <formula>LEFT(E169,LEN("Functioning At Risk"))="Functioning At Risk"</formula>
    </cfRule>
    <cfRule type="beginsWith" dxfId="558" priority="633" stopIfTrue="1" operator="beginsWith" text="Not Functioning">
      <formula>LEFT(E169,LEN("Not Functioning"))="Not Functioning"</formula>
    </cfRule>
    <cfRule type="containsText" dxfId="557" priority="634" operator="containsText" text="Functioning">
      <formula>NOT(ISERROR(SEARCH("Functioning",E169)))</formula>
    </cfRule>
  </conditionalFormatting>
  <conditionalFormatting sqref="E173:E176">
    <cfRule type="beginsWith" dxfId="556" priority="629" stopIfTrue="1" operator="beginsWith" text="Functioning At Risk">
      <formula>LEFT(E173,LEN("Functioning At Risk"))="Functioning At Risk"</formula>
    </cfRule>
    <cfRule type="beginsWith" dxfId="555" priority="630" stopIfTrue="1" operator="beginsWith" text="Not Functioning">
      <formula>LEFT(E173,LEN("Not Functioning"))="Not Functioning"</formula>
    </cfRule>
    <cfRule type="containsText" dxfId="554" priority="631" operator="containsText" text="Functioning">
      <formula>NOT(ISERROR(SEARCH("Functioning",E173)))</formula>
    </cfRule>
  </conditionalFormatting>
  <conditionalFormatting sqref="E208:E210">
    <cfRule type="beginsWith" dxfId="553" priority="620" stopIfTrue="1" operator="beginsWith" text="Functioning At Risk">
      <formula>LEFT(E208,LEN("Functioning At Risk"))="Functioning At Risk"</formula>
    </cfRule>
    <cfRule type="beginsWith" dxfId="552" priority="621" stopIfTrue="1" operator="beginsWith" text="Not Functioning">
      <formula>LEFT(E208,LEN("Not Functioning"))="Not Functioning"</formula>
    </cfRule>
    <cfRule type="containsText" dxfId="551" priority="622" operator="containsText" text="Functioning">
      <formula>NOT(ISERROR(SEARCH("Functioning",E208)))</formula>
    </cfRule>
  </conditionalFormatting>
  <conditionalFormatting sqref="E212:E215">
    <cfRule type="beginsWith" dxfId="550" priority="617" stopIfTrue="1" operator="beginsWith" text="Functioning At Risk">
      <formula>LEFT(E212,LEN("Functioning At Risk"))="Functioning At Risk"</formula>
    </cfRule>
    <cfRule type="beginsWith" dxfId="549" priority="618" stopIfTrue="1" operator="beginsWith" text="Not Functioning">
      <formula>LEFT(E212,LEN("Not Functioning"))="Not Functioning"</formula>
    </cfRule>
    <cfRule type="containsText" dxfId="548" priority="619" operator="containsText" text="Functioning">
      <formula>NOT(ISERROR(SEARCH("Functioning",E212)))</formula>
    </cfRule>
  </conditionalFormatting>
  <conditionalFormatting sqref="E248:E250">
    <cfRule type="beginsWith" dxfId="547" priority="608" stopIfTrue="1" operator="beginsWith" text="Functioning At Risk">
      <formula>LEFT(E248,LEN("Functioning At Risk"))="Functioning At Risk"</formula>
    </cfRule>
    <cfRule type="beginsWith" dxfId="546" priority="609" stopIfTrue="1" operator="beginsWith" text="Not Functioning">
      <formula>LEFT(E248,LEN("Not Functioning"))="Not Functioning"</formula>
    </cfRule>
    <cfRule type="containsText" dxfId="545" priority="610" operator="containsText" text="Functioning">
      <formula>NOT(ISERROR(SEARCH("Functioning",E248)))</formula>
    </cfRule>
  </conditionalFormatting>
  <conditionalFormatting sqref="E252:E255">
    <cfRule type="beginsWith" dxfId="544" priority="605" stopIfTrue="1" operator="beginsWith" text="Functioning At Risk">
      <formula>LEFT(E252,LEN("Functioning At Risk"))="Functioning At Risk"</formula>
    </cfRule>
    <cfRule type="beginsWith" dxfId="543" priority="606" stopIfTrue="1" operator="beginsWith" text="Not Functioning">
      <formula>LEFT(E252,LEN("Not Functioning"))="Not Functioning"</formula>
    </cfRule>
    <cfRule type="containsText" dxfId="542" priority="607" operator="containsText" text="Functioning">
      <formula>NOT(ISERROR(SEARCH("Functioning",E252)))</formula>
    </cfRule>
  </conditionalFormatting>
  <conditionalFormatting sqref="E288:E290">
    <cfRule type="beginsWith" dxfId="541" priority="596" stopIfTrue="1" operator="beginsWith" text="Functioning At Risk">
      <formula>LEFT(E288,LEN("Functioning At Risk"))="Functioning At Risk"</formula>
    </cfRule>
    <cfRule type="beginsWith" dxfId="540" priority="597" stopIfTrue="1" operator="beginsWith" text="Not Functioning">
      <formula>LEFT(E288,LEN("Not Functioning"))="Not Functioning"</formula>
    </cfRule>
    <cfRule type="containsText" dxfId="539" priority="598" operator="containsText" text="Functioning">
      <formula>NOT(ISERROR(SEARCH("Functioning",E288)))</formula>
    </cfRule>
  </conditionalFormatting>
  <conditionalFormatting sqref="E292:E295">
    <cfRule type="beginsWith" dxfId="538" priority="593" stopIfTrue="1" operator="beginsWith" text="Functioning At Risk">
      <formula>LEFT(E292,LEN("Functioning At Risk"))="Functioning At Risk"</formula>
    </cfRule>
    <cfRule type="beginsWith" dxfId="537" priority="594" stopIfTrue="1" operator="beginsWith" text="Not Functioning">
      <formula>LEFT(E292,LEN("Not Functioning"))="Not Functioning"</formula>
    </cfRule>
    <cfRule type="containsText" dxfId="536" priority="595" operator="containsText" text="Functioning">
      <formula>NOT(ISERROR(SEARCH("Functioning",E292)))</formula>
    </cfRule>
  </conditionalFormatting>
  <conditionalFormatting sqref="E328:E330">
    <cfRule type="beginsWith" dxfId="535" priority="584" stopIfTrue="1" operator="beginsWith" text="Functioning At Risk">
      <formula>LEFT(E328,LEN("Functioning At Risk"))="Functioning At Risk"</formula>
    </cfRule>
    <cfRule type="beginsWith" dxfId="534" priority="585" stopIfTrue="1" operator="beginsWith" text="Not Functioning">
      <formula>LEFT(E328,LEN("Not Functioning"))="Not Functioning"</formula>
    </cfRule>
    <cfRule type="containsText" dxfId="533" priority="586" operator="containsText" text="Functioning">
      <formula>NOT(ISERROR(SEARCH("Functioning",E328)))</formula>
    </cfRule>
  </conditionalFormatting>
  <conditionalFormatting sqref="E332:E335">
    <cfRule type="beginsWith" dxfId="532" priority="581" stopIfTrue="1" operator="beginsWith" text="Functioning At Risk">
      <formula>LEFT(E332,LEN("Functioning At Risk"))="Functioning At Risk"</formula>
    </cfRule>
    <cfRule type="beginsWith" dxfId="531" priority="582" stopIfTrue="1" operator="beginsWith" text="Not Functioning">
      <formula>LEFT(E332,LEN("Not Functioning"))="Not Functioning"</formula>
    </cfRule>
    <cfRule type="containsText" dxfId="530" priority="583" operator="containsText" text="Functioning">
      <formula>NOT(ISERROR(SEARCH("Functioning",E332)))</formula>
    </cfRule>
  </conditionalFormatting>
  <conditionalFormatting sqref="E368:E370">
    <cfRule type="beginsWith" dxfId="529" priority="572" stopIfTrue="1" operator="beginsWith" text="Functioning At Risk">
      <formula>LEFT(E368,LEN("Functioning At Risk"))="Functioning At Risk"</formula>
    </cfRule>
    <cfRule type="beginsWith" dxfId="528" priority="573" stopIfTrue="1" operator="beginsWith" text="Not Functioning">
      <formula>LEFT(E368,LEN("Not Functioning"))="Not Functioning"</formula>
    </cfRule>
    <cfRule type="containsText" dxfId="527" priority="574" operator="containsText" text="Functioning">
      <formula>NOT(ISERROR(SEARCH("Functioning",E368)))</formula>
    </cfRule>
  </conditionalFormatting>
  <conditionalFormatting sqref="E372:E375">
    <cfRule type="beginsWith" dxfId="526" priority="569" stopIfTrue="1" operator="beginsWith" text="Functioning At Risk">
      <formula>LEFT(E372,LEN("Functioning At Risk"))="Functioning At Risk"</formula>
    </cfRule>
    <cfRule type="beginsWith" dxfId="525" priority="570" stopIfTrue="1" operator="beginsWith" text="Not Functioning">
      <formula>LEFT(E372,LEN("Not Functioning"))="Not Functioning"</formula>
    </cfRule>
    <cfRule type="containsText" dxfId="524" priority="571" operator="containsText" text="Functioning">
      <formula>NOT(ISERROR(SEARCH("Functioning",E372)))</formula>
    </cfRule>
  </conditionalFormatting>
  <conditionalFormatting sqref="E408:E410">
    <cfRule type="beginsWith" dxfId="523" priority="560" stopIfTrue="1" operator="beginsWith" text="Functioning At Risk">
      <formula>LEFT(E408,LEN("Functioning At Risk"))="Functioning At Risk"</formula>
    </cfRule>
    <cfRule type="beginsWith" dxfId="522" priority="561" stopIfTrue="1" operator="beginsWith" text="Not Functioning">
      <formula>LEFT(E408,LEN("Not Functioning"))="Not Functioning"</formula>
    </cfRule>
    <cfRule type="containsText" dxfId="521" priority="562" operator="containsText" text="Functioning">
      <formula>NOT(ISERROR(SEARCH("Functioning",E408)))</formula>
    </cfRule>
  </conditionalFormatting>
  <conditionalFormatting sqref="E412:E415">
    <cfRule type="beginsWith" dxfId="520" priority="557" stopIfTrue="1" operator="beginsWith" text="Functioning At Risk">
      <formula>LEFT(E412,LEN("Functioning At Risk"))="Functioning At Risk"</formula>
    </cfRule>
    <cfRule type="beginsWith" dxfId="519" priority="558" stopIfTrue="1" operator="beginsWith" text="Not Functioning">
      <formula>LEFT(E412,LEN("Not Functioning"))="Not Functioning"</formula>
    </cfRule>
    <cfRule type="containsText" dxfId="518" priority="559" operator="containsText" text="Functioning">
      <formula>NOT(ISERROR(SEARCH("Functioning",E412)))</formula>
    </cfRule>
  </conditionalFormatting>
  <conditionalFormatting sqref="E416">
    <cfRule type="beginsWith" dxfId="517" priority="554" stopIfTrue="1" operator="beginsWith" text="Functioning At Risk">
      <formula>LEFT(E416,LEN("Functioning At Risk"))="Functioning At Risk"</formula>
    </cfRule>
    <cfRule type="beginsWith" dxfId="516" priority="555" stopIfTrue="1" operator="beginsWith" text="Not Functioning">
      <formula>LEFT(E416,LEN("Not Functioning"))="Not Functioning"</formula>
    </cfRule>
    <cfRule type="containsText" dxfId="515" priority="556" operator="containsText" text="Functioning">
      <formula>NOT(ISERROR(SEARCH("Functioning",E416)))</formula>
    </cfRule>
  </conditionalFormatting>
  <conditionalFormatting sqref="E417">
    <cfRule type="beginsWith" dxfId="514" priority="551" stopIfTrue="1" operator="beginsWith" text="Functioning At Risk">
      <formula>LEFT(E417,LEN("Functioning At Risk"))="Functioning At Risk"</formula>
    </cfRule>
    <cfRule type="beginsWith" dxfId="513" priority="552" stopIfTrue="1" operator="beginsWith" text="Not Functioning">
      <formula>LEFT(E417,LEN("Not Functioning"))="Not Functioning"</formula>
    </cfRule>
    <cfRule type="containsText" dxfId="512" priority="553" operator="containsText" text="Functioning">
      <formula>NOT(ISERROR(SEARCH("Functioning",E417)))</formula>
    </cfRule>
  </conditionalFormatting>
  <conditionalFormatting sqref="E7:E8">
    <cfRule type="beginsWith" dxfId="511" priority="547" stopIfTrue="1" operator="beginsWith" text="Functioning At Risk">
      <formula>LEFT(E7,LEN("Functioning At Risk"))="Functioning At Risk"</formula>
    </cfRule>
    <cfRule type="beginsWith" dxfId="510" priority="548" stopIfTrue="1" operator="beginsWith" text="Not Functioning">
      <formula>LEFT(E7,LEN("Not Functioning"))="Not Functioning"</formula>
    </cfRule>
    <cfRule type="containsText" dxfId="509" priority="549" operator="containsText" text="Functioning">
      <formula>NOT(ISERROR(SEARCH("Functioning",E7)))</formula>
    </cfRule>
  </conditionalFormatting>
  <conditionalFormatting sqref="E46:E47">
    <cfRule type="beginsWith" dxfId="508" priority="544" stopIfTrue="1" operator="beginsWith" text="Functioning At Risk">
      <formula>LEFT(E46,LEN("Functioning At Risk"))="Functioning At Risk"</formula>
    </cfRule>
    <cfRule type="beginsWith" dxfId="507" priority="545" stopIfTrue="1" operator="beginsWith" text="Not Functioning">
      <formula>LEFT(E46,LEN("Not Functioning"))="Not Functioning"</formula>
    </cfRule>
    <cfRule type="containsText" dxfId="506" priority="546" operator="containsText" text="Functioning">
      <formula>NOT(ISERROR(SEARCH("Functioning",E46)))</formula>
    </cfRule>
  </conditionalFormatting>
  <conditionalFormatting sqref="E85:E86">
    <cfRule type="beginsWith" dxfId="505" priority="541" stopIfTrue="1" operator="beginsWith" text="Functioning At Risk">
      <formula>LEFT(E85,LEN("Functioning At Risk"))="Functioning At Risk"</formula>
    </cfRule>
    <cfRule type="beginsWith" dxfId="504" priority="542" stopIfTrue="1" operator="beginsWith" text="Not Functioning">
      <formula>LEFT(E85,LEN("Not Functioning"))="Not Functioning"</formula>
    </cfRule>
    <cfRule type="containsText" dxfId="503" priority="543" operator="containsText" text="Functioning">
      <formula>NOT(ISERROR(SEARCH("Functioning",E85)))</formula>
    </cfRule>
  </conditionalFormatting>
  <conditionalFormatting sqref="E124:E125">
    <cfRule type="beginsWith" dxfId="502" priority="538" stopIfTrue="1" operator="beginsWith" text="Functioning At Risk">
      <formula>LEFT(E124,LEN("Functioning At Risk"))="Functioning At Risk"</formula>
    </cfRule>
    <cfRule type="beginsWith" dxfId="501" priority="539" stopIfTrue="1" operator="beginsWith" text="Not Functioning">
      <formula>LEFT(E124,LEN("Not Functioning"))="Not Functioning"</formula>
    </cfRule>
    <cfRule type="containsText" dxfId="500" priority="540" operator="containsText" text="Functioning">
      <formula>NOT(ISERROR(SEARCH("Functioning",E124)))</formula>
    </cfRule>
  </conditionalFormatting>
  <conditionalFormatting sqref="E163:E164">
    <cfRule type="beginsWith" dxfId="499" priority="535" stopIfTrue="1" operator="beginsWith" text="Functioning At Risk">
      <formula>LEFT(E163,LEN("Functioning At Risk"))="Functioning At Risk"</formula>
    </cfRule>
    <cfRule type="beginsWith" dxfId="498" priority="536" stopIfTrue="1" operator="beginsWith" text="Not Functioning">
      <formula>LEFT(E163,LEN("Not Functioning"))="Not Functioning"</formula>
    </cfRule>
    <cfRule type="containsText" dxfId="497" priority="537" operator="containsText" text="Functioning">
      <formula>NOT(ISERROR(SEARCH("Functioning",E163)))</formula>
    </cfRule>
  </conditionalFormatting>
  <conditionalFormatting sqref="E202:E203">
    <cfRule type="beginsWith" dxfId="496" priority="532" stopIfTrue="1" operator="beginsWith" text="Functioning At Risk">
      <formula>LEFT(E202,LEN("Functioning At Risk"))="Functioning At Risk"</formula>
    </cfRule>
    <cfRule type="beginsWith" dxfId="495" priority="533" stopIfTrue="1" operator="beginsWith" text="Not Functioning">
      <formula>LEFT(E202,LEN("Not Functioning"))="Not Functioning"</formula>
    </cfRule>
    <cfRule type="containsText" dxfId="494" priority="534" operator="containsText" text="Functioning">
      <formula>NOT(ISERROR(SEARCH("Functioning",E202)))</formula>
    </cfRule>
  </conditionalFormatting>
  <conditionalFormatting sqref="E242:E243">
    <cfRule type="beginsWith" dxfId="493" priority="529" stopIfTrue="1" operator="beginsWith" text="Functioning At Risk">
      <formula>LEFT(E242,LEN("Functioning At Risk"))="Functioning At Risk"</formula>
    </cfRule>
    <cfRule type="beginsWith" dxfId="492" priority="530" stopIfTrue="1" operator="beginsWith" text="Not Functioning">
      <formula>LEFT(E242,LEN("Not Functioning"))="Not Functioning"</formula>
    </cfRule>
    <cfRule type="containsText" dxfId="491" priority="531" operator="containsText" text="Functioning">
      <formula>NOT(ISERROR(SEARCH("Functioning",E242)))</formula>
    </cfRule>
  </conditionalFormatting>
  <conditionalFormatting sqref="E282:E283">
    <cfRule type="beginsWith" dxfId="490" priority="526" stopIfTrue="1" operator="beginsWith" text="Functioning At Risk">
      <formula>LEFT(E282,LEN("Functioning At Risk"))="Functioning At Risk"</formula>
    </cfRule>
    <cfRule type="beginsWith" dxfId="489" priority="527" stopIfTrue="1" operator="beginsWith" text="Not Functioning">
      <formula>LEFT(E282,LEN("Not Functioning"))="Not Functioning"</formula>
    </cfRule>
    <cfRule type="containsText" dxfId="488" priority="528" operator="containsText" text="Functioning">
      <formula>NOT(ISERROR(SEARCH("Functioning",E282)))</formula>
    </cfRule>
  </conditionalFormatting>
  <conditionalFormatting sqref="E322:E323">
    <cfRule type="beginsWith" dxfId="487" priority="523" stopIfTrue="1" operator="beginsWith" text="Functioning At Risk">
      <formula>LEFT(E322,LEN("Functioning At Risk"))="Functioning At Risk"</formula>
    </cfRule>
    <cfRule type="beginsWith" dxfId="486" priority="524" stopIfTrue="1" operator="beginsWith" text="Not Functioning">
      <formula>LEFT(E322,LEN("Not Functioning"))="Not Functioning"</formula>
    </cfRule>
    <cfRule type="containsText" dxfId="485" priority="525" operator="containsText" text="Functioning">
      <formula>NOT(ISERROR(SEARCH("Functioning",E322)))</formula>
    </cfRule>
  </conditionalFormatting>
  <conditionalFormatting sqref="E362:E363">
    <cfRule type="beginsWith" dxfId="484" priority="520" stopIfTrue="1" operator="beginsWith" text="Functioning At Risk">
      <formula>LEFT(E362,LEN("Functioning At Risk"))="Functioning At Risk"</formula>
    </cfRule>
    <cfRule type="beginsWith" dxfId="483" priority="521" stopIfTrue="1" operator="beginsWith" text="Not Functioning">
      <formula>LEFT(E362,LEN("Not Functioning"))="Not Functioning"</formula>
    </cfRule>
    <cfRule type="containsText" dxfId="482" priority="522" operator="containsText" text="Functioning">
      <formula>NOT(ISERROR(SEARCH("Functioning",E362)))</formula>
    </cfRule>
  </conditionalFormatting>
  <conditionalFormatting sqref="E402:E403">
    <cfRule type="beginsWith" dxfId="481" priority="517" stopIfTrue="1" operator="beginsWith" text="Functioning At Risk">
      <formula>LEFT(E402,LEN("Functioning At Risk"))="Functioning At Risk"</formula>
    </cfRule>
    <cfRule type="beginsWith" dxfId="480" priority="518" stopIfTrue="1" operator="beginsWith" text="Not Functioning">
      <formula>LEFT(E402,LEN("Not Functioning"))="Not Functioning"</formula>
    </cfRule>
    <cfRule type="containsText" dxfId="479" priority="519" operator="containsText" text="Functioning">
      <formula>NOT(ISERROR(SEARCH("Functioning",E402)))</formula>
    </cfRule>
  </conditionalFormatting>
  <conditionalFormatting sqref="E19:E20">
    <cfRule type="beginsWith" dxfId="478" priority="424" stopIfTrue="1" operator="beginsWith" text="Functioning At Risk">
      <formula>LEFT(E19,LEN("Functioning At Risk"))="Functioning At Risk"</formula>
    </cfRule>
    <cfRule type="beginsWith" dxfId="477" priority="425" stopIfTrue="1" operator="beginsWith" text="Not Functioning">
      <formula>LEFT(E19,LEN("Not Functioning"))="Not Functioning"</formula>
    </cfRule>
    <cfRule type="containsText" dxfId="476" priority="426" operator="containsText" text="Functioning">
      <formula>NOT(ISERROR(SEARCH("Functioning",E19)))</formula>
    </cfRule>
  </conditionalFormatting>
  <conditionalFormatting sqref="E21">
    <cfRule type="beginsWith" dxfId="475" priority="421" stopIfTrue="1" operator="beginsWith" text="Functioning At Risk">
      <formula>LEFT(E21,LEN("Functioning At Risk"))="Functioning At Risk"</formula>
    </cfRule>
    <cfRule type="beginsWith" dxfId="474" priority="422" stopIfTrue="1" operator="beginsWith" text="Not Functioning">
      <formula>LEFT(E21,LEN("Not Functioning"))="Not Functioning"</formula>
    </cfRule>
    <cfRule type="containsText" dxfId="473" priority="423" operator="containsText" text="Functioning">
      <formula>NOT(ISERROR(SEARCH("Functioning",E21)))</formula>
    </cfRule>
  </conditionalFormatting>
  <conditionalFormatting sqref="E22">
    <cfRule type="beginsWith" dxfId="472" priority="418" stopIfTrue="1" operator="beginsWith" text="Functioning At Risk">
      <formula>LEFT(E22,LEN("Functioning At Risk"))="Functioning At Risk"</formula>
    </cfRule>
    <cfRule type="beginsWith" dxfId="471" priority="419" stopIfTrue="1" operator="beginsWith" text="Not Functioning">
      <formula>LEFT(E22,LEN("Not Functioning"))="Not Functioning"</formula>
    </cfRule>
    <cfRule type="containsText" dxfId="470" priority="420" operator="containsText" text="Functioning">
      <formula>NOT(ISERROR(SEARCH("Functioning",E22)))</formula>
    </cfRule>
  </conditionalFormatting>
  <conditionalFormatting sqref="E376">
    <cfRule type="beginsWith" dxfId="469" priority="349" stopIfTrue="1" operator="beginsWith" text="Functioning At Risk">
      <formula>LEFT(E376,LEN("Functioning At Risk"))="Functioning At Risk"</formula>
    </cfRule>
    <cfRule type="beginsWith" dxfId="468" priority="350" stopIfTrue="1" operator="beginsWith" text="Not Functioning">
      <formula>LEFT(E376,LEN("Not Functioning"))="Not Functioning"</formula>
    </cfRule>
    <cfRule type="containsText" dxfId="467" priority="351" operator="containsText" text="Functioning">
      <formula>NOT(ISERROR(SEARCH("Functioning",E376)))</formula>
    </cfRule>
  </conditionalFormatting>
  <conditionalFormatting sqref="E377">
    <cfRule type="beginsWith" dxfId="466" priority="346" stopIfTrue="1" operator="beginsWith" text="Functioning At Risk">
      <formula>LEFT(E377,LEN("Functioning At Risk"))="Functioning At Risk"</formula>
    </cfRule>
    <cfRule type="beginsWith" dxfId="465" priority="347" stopIfTrue="1" operator="beginsWith" text="Not Functioning">
      <formula>LEFT(E377,LEN("Not Functioning"))="Not Functioning"</formula>
    </cfRule>
    <cfRule type="containsText" dxfId="464" priority="348" operator="containsText" text="Functioning">
      <formula>NOT(ISERROR(SEARCH("Functioning",E377)))</formula>
    </cfRule>
  </conditionalFormatting>
  <conditionalFormatting sqref="E336">
    <cfRule type="beginsWith" dxfId="463" priority="343" stopIfTrue="1" operator="beginsWith" text="Functioning At Risk">
      <formula>LEFT(E336,LEN("Functioning At Risk"))="Functioning At Risk"</formula>
    </cfRule>
    <cfRule type="beginsWith" dxfId="462" priority="344" stopIfTrue="1" operator="beginsWith" text="Not Functioning">
      <formula>LEFT(E336,LEN("Not Functioning"))="Not Functioning"</formula>
    </cfRule>
    <cfRule type="containsText" dxfId="461" priority="345" operator="containsText" text="Functioning">
      <formula>NOT(ISERROR(SEARCH("Functioning",E336)))</formula>
    </cfRule>
  </conditionalFormatting>
  <conditionalFormatting sqref="E337">
    <cfRule type="beginsWith" dxfId="460" priority="340" stopIfTrue="1" operator="beginsWith" text="Functioning At Risk">
      <formula>LEFT(E337,LEN("Functioning At Risk"))="Functioning At Risk"</formula>
    </cfRule>
    <cfRule type="beginsWith" dxfId="459" priority="341" stopIfTrue="1" operator="beginsWith" text="Not Functioning">
      <formula>LEFT(E337,LEN("Not Functioning"))="Not Functioning"</formula>
    </cfRule>
    <cfRule type="containsText" dxfId="458" priority="342" operator="containsText" text="Functioning">
      <formula>NOT(ISERROR(SEARCH("Functioning",E337)))</formula>
    </cfRule>
  </conditionalFormatting>
  <conditionalFormatting sqref="E296">
    <cfRule type="beginsWith" dxfId="457" priority="337" stopIfTrue="1" operator="beginsWith" text="Functioning At Risk">
      <formula>LEFT(E296,LEN("Functioning At Risk"))="Functioning At Risk"</formula>
    </cfRule>
    <cfRule type="beginsWith" dxfId="456" priority="338" stopIfTrue="1" operator="beginsWith" text="Not Functioning">
      <formula>LEFT(E296,LEN("Not Functioning"))="Not Functioning"</formula>
    </cfRule>
    <cfRule type="containsText" dxfId="455" priority="339" operator="containsText" text="Functioning">
      <formula>NOT(ISERROR(SEARCH("Functioning",E296)))</formula>
    </cfRule>
  </conditionalFormatting>
  <conditionalFormatting sqref="E297">
    <cfRule type="beginsWith" dxfId="454" priority="334" stopIfTrue="1" operator="beginsWith" text="Functioning At Risk">
      <formula>LEFT(E297,LEN("Functioning At Risk"))="Functioning At Risk"</formula>
    </cfRule>
    <cfRule type="beginsWith" dxfId="453" priority="335" stopIfTrue="1" operator="beginsWith" text="Not Functioning">
      <formula>LEFT(E297,LEN("Not Functioning"))="Not Functioning"</formula>
    </cfRule>
    <cfRule type="containsText" dxfId="452" priority="336" operator="containsText" text="Functioning">
      <formula>NOT(ISERROR(SEARCH("Functioning",E297)))</formula>
    </cfRule>
  </conditionalFormatting>
  <conditionalFormatting sqref="E256">
    <cfRule type="beginsWith" dxfId="451" priority="331" stopIfTrue="1" operator="beginsWith" text="Functioning At Risk">
      <formula>LEFT(E256,LEN("Functioning At Risk"))="Functioning At Risk"</formula>
    </cfRule>
    <cfRule type="beginsWith" dxfId="450" priority="332" stopIfTrue="1" operator="beginsWith" text="Not Functioning">
      <formula>LEFT(E256,LEN("Not Functioning"))="Not Functioning"</formula>
    </cfRule>
    <cfRule type="containsText" dxfId="449" priority="333" operator="containsText" text="Functioning">
      <formula>NOT(ISERROR(SEARCH("Functioning",E256)))</formula>
    </cfRule>
  </conditionalFormatting>
  <conditionalFormatting sqref="E257">
    <cfRule type="beginsWith" dxfId="448" priority="328" stopIfTrue="1" operator="beginsWith" text="Functioning At Risk">
      <formula>LEFT(E257,LEN("Functioning At Risk"))="Functioning At Risk"</formula>
    </cfRule>
    <cfRule type="beginsWith" dxfId="447" priority="329" stopIfTrue="1" operator="beginsWith" text="Not Functioning">
      <formula>LEFT(E257,LEN("Not Functioning"))="Not Functioning"</formula>
    </cfRule>
    <cfRule type="containsText" dxfId="446" priority="330" operator="containsText" text="Functioning">
      <formula>NOT(ISERROR(SEARCH("Functioning",E257)))</formula>
    </cfRule>
  </conditionalFormatting>
  <conditionalFormatting sqref="E216">
    <cfRule type="beginsWith" dxfId="445" priority="325" stopIfTrue="1" operator="beginsWith" text="Functioning At Risk">
      <formula>LEFT(E216,LEN("Functioning At Risk"))="Functioning At Risk"</formula>
    </cfRule>
    <cfRule type="beginsWith" dxfId="444" priority="326" stopIfTrue="1" operator="beginsWith" text="Not Functioning">
      <formula>LEFT(E216,LEN("Not Functioning"))="Not Functioning"</formula>
    </cfRule>
    <cfRule type="containsText" dxfId="443" priority="327" operator="containsText" text="Functioning">
      <formula>NOT(ISERROR(SEARCH("Functioning",E216)))</formula>
    </cfRule>
  </conditionalFormatting>
  <conditionalFormatting sqref="E217">
    <cfRule type="beginsWith" dxfId="442" priority="322" stopIfTrue="1" operator="beginsWith" text="Functioning At Risk">
      <formula>LEFT(E217,LEN("Functioning At Risk"))="Functioning At Risk"</formula>
    </cfRule>
    <cfRule type="beginsWith" dxfId="441" priority="323" stopIfTrue="1" operator="beginsWith" text="Not Functioning">
      <formula>LEFT(E217,LEN("Not Functioning"))="Not Functioning"</formula>
    </cfRule>
    <cfRule type="containsText" dxfId="440" priority="324" operator="containsText" text="Functioning">
      <formula>NOT(ISERROR(SEARCH("Functioning",E217)))</formula>
    </cfRule>
  </conditionalFormatting>
  <conditionalFormatting sqref="E177">
    <cfRule type="beginsWith" dxfId="439" priority="319" stopIfTrue="1" operator="beginsWith" text="Functioning At Risk">
      <formula>LEFT(E177,LEN("Functioning At Risk"))="Functioning At Risk"</formula>
    </cfRule>
    <cfRule type="beginsWith" dxfId="438" priority="320" stopIfTrue="1" operator="beginsWith" text="Not Functioning">
      <formula>LEFT(E177,LEN("Not Functioning"))="Not Functioning"</formula>
    </cfRule>
    <cfRule type="containsText" dxfId="437" priority="321" operator="containsText" text="Functioning">
      <formula>NOT(ISERROR(SEARCH("Functioning",E177)))</formula>
    </cfRule>
  </conditionalFormatting>
  <conditionalFormatting sqref="E178">
    <cfRule type="beginsWith" dxfId="436" priority="316" stopIfTrue="1" operator="beginsWith" text="Functioning At Risk">
      <formula>LEFT(E178,LEN("Functioning At Risk"))="Functioning At Risk"</formula>
    </cfRule>
    <cfRule type="beginsWith" dxfId="435" priority="317" stopIfTrue="1" operator="beginsWith" text="Not Functioning">
      <formula>LEFT(E178,LEN("Not Functioning"))="Not Functioning"</formula>
    </cfRule>
    <cfRule type="containsText" dxfId="434" priority="318" operator="containsText" text="Functioning">
      <formula>NOT(ISERROR(SEARCH("Functioning",E178)))</formula>
    </cfRule>
  </conditionalFormatting>
  <conditionalFormatting sqref="E138">
    <cfRule type="beginsWith" dxfId="433" priority="313" stopIfTrue="1" operator="beginsWith" text="Functioning At Risk">
      <formula>LEFT(E138,LEN("Functioning At Risk"))="Functioning At Risk"</formula>
    </cfRule>
    <cfRule type="beginsWith" dxfId="432" priority="314" stopIfTrue="1" operator="beginsWith" text="Not Functioning">
      <formula>LEFT(E138,LEN("Not Functioning"))="Not Functioning"</formula>
    </cfRule>
    <cfRule type="containsText" dxfId="431" priority="315" operator="containsText" text="Functioning">
      <formula>NOT(ISERROR(SEARCH("Functioning",E138)))</formula>
    </cfRule>
  </conditionalFormatting>
  <conditionalFormatting sqref="E139">
    <cfRule type="beginsWith" dxfId="430" priority="310" stopIfTrue="1" operator="beginsWith" text="Functioning At Risk">
      <formula>LEFT(E139,LEN("Functioning At Risk"))="Functioning At Risk"</formula>
    </cfRule>
    <cfRule type="beginsWith" dxfId="429" priority="311" stopIfTrue="1" operator="beginsWith" text="Not Functioning">
      <formula>LEFT(E139,LEN("Not Functioning"))="Not Functioning"</formula>
    </cfRule>
    <cfRule type="containsText" dxfId="428" priority="312" operator="containsText" text="Functioning">
      <formula>NOT(ISERROR(SEARCH("Functioning",E139)))</formula>
    </cfRule>
  </conditionalFormatting>
  <conditionalFormatting sqref="E99">
    <cfRule type="beginsWith" dxfId="427" priority="307" stopIfTrue="1" operator="beginsWith" text="Functioning At Risk">
      <formula>LEFT(E99,LEN("Functioning At Risk"))="Functioning At Risk"</formula>
    </cfRule>
    <cfRule type="beginsWith" dxfId="426" priority="308" stopIfTrue="1" operator="beginsWith" text="Not Functioning">
      <formula>LEFT(E99,LEN("Not Functioning"))="Not Functioning"</formula>
    </cfRule>
    <cfRule type="containsText" dxfId="425" priority="309" operator="containsText" text="Functioning">
      <formula>NOT(ISERROR(SEARCH("Functioning",E99)))</formula>
    </cfRule>
  </conditionalFormatting>
  <conditionalFormatting sqref="E100">
    <cfRule type="beginsWith" dxfId="424" priority="304" stopIfTrue="1" operator="beginsWith" text="Functioning At Risk">
      <formula>LEFT(E100,LEN("Functioning At Risk"))="Functioning At Risk"</formula>
    </cfRule>
    <cfRule type="beginsWith" dxfId="423" priority="305" stopIfTrue="1" operator="beginsWith" text="Not Functioning">
      <formula>LEFT(E100,LEN("Not Functioning"))="Not Functioning"</formula>
    </cfRule>
    <cfRule type="containsText" dxfId="422" priority="306" operator="containsText" text="Functioning">
      <formula>NOT(ISERROR(SEARCH("Functioning",E100)))</formula>
    </cfRule>
  </conditionalFormatting>
  <conditionalFormatting sqref="E60">
    <cfRule type="beginsWith" dxfId="421" priority="301" stopIfTrue="1" operator="beginsWith" text="Functioning At Risk">
      <formula>LEFT(E60,LEN("Functioning At Risk"))="Functioning At Risk"</formula>
    </cfRule>
    <cfRule type="beginsWith" dxfId="420" priority="302" stopIfTrue="1" operator="beginsWith" text="Not Functioning">
      <formula>LEFT(E60,LEN("Not Functioning"))="Not Functioning"</formula>
    </cfRule>
    <cfRule type="containsText" dxfId="419" priority="303" operator="containsText" text="Functioning">
      <formula>NOT(ISERROR(SEARCH("Functioning",E60)))</formula>
    </cfRule>
  </conditionalFormatting>
  <conditionalFormatting sqref="E61">
    <cfRule type="beginsWith" dxfId="418" priority="298" stopIfTrue="1" operator="beginsWith" text="Functioning At Risk">
      <formula>LEFT(E61,LEN("Functioning At Risk"))="Functioning At Risk"</formula>
    </cfRule>
    <cfRule type="beginsWith" dxfId="417" priority="299" stopIfTrue="1" operator="beginsWith" text="Not Functioning">
      <formula>LEFT(E61,LEN("Not Functioning"))="Not Functioning"</formula>
    </cfRule>
    <cfRule type="containsText" dxfId="416" priority="300" operator="containsText" text="Functioning">
      <formula>NOT(ISERROR(SEARCH("Functioning",E61)))</formula>
    </cfRule>
  </conditionalFormatting>
  <conditionalFormatting sqref="F28 F5:F6 F13:F16">
    <cfRule type="beginsWith" dxfId="415" priority="295" stopIfTrue="1" operator="beginsWith" text="Functioning At Risk">
      <formula>LEFT(F5,LEN("Functioning At Risk"))="Functioning At Risk"</formula>
    </cfRule>
    <cfRule type="beginsWith" dxfId="414" priority="296" stopIfTrue="1" operator="beginsWith" text="Not Functioning">
      <formula>LEFT(F5,LEN("Not Functioning"))="Not Functioning"</formula>
    </cfRule>
    <cfRule type="containsText" dxfId="413" priority="297" operator="containsText" text="Functioning">
      <formula>NOT(ISERROR(SEARCH("Functioning",F5)))</formula>
    </cfRule>
  </conditionalFormatting>
  <conditionalFormatting sqref="F17:F18">
    <cfRule type="beginsWith" dxfId="412" priority="292" stopIfTrue="1" operator="beginsWith" text="Functioning At Risk">
      <formula>LEFT(F17,LEN("Functioning At Risk"))="Functioning At Risk"</formula>
    </cfRule>
    <cfRule type="beginsWith" dxfId="411" priority="293" stopIfTrue="1" operator="beginsWith" text="Not Functioning">
      <formula>LEFT(F17,LEN("Not Functioning"))="Not Functioning"</formula>
    </cfRule>
    <cfRule type="containsText" dxfId="410" priority="294" operator="containsText" text="Functioning">
      <formula>NOT(ISERROR(SEARCH("Functioning",F17)))</formula>
    </cfRule>
  </conditionalFormatting>
  <conditionalFormatting sqref="F37:F38">
    <cfRule type="beginsWith" dxfId="409" priority="289" stopIfTrue="1" operator="beginsWith" text="Functioning At Risk">
      <formula>LEFT(F37,LEN("Functioning At Risk"))="Functioning At Risk"</formula>
    </cfRule>
    <cfRule type="beginsWith" dxfId="408" priority="290" stopIfTrue="1" operator="beginsWith" text="Not Functioning">
      <formula>LEFT(F37,LEN("Not Functioning"))="Not Functioning"</formula>
    </cfRule>
    <cfRule type="containsText" dxfId="407" priority="291" operator="containsText" text="Functioning">
      <formula>NOT(ISERROR(SEARCH("Functioning",F37)))</formula>
    </cfRule>
  </conditionalFormatting>
  <conditionalFormatting sqref="F33:F36">
    <cfRule type="beginsWith" dxfId="406" priority="286" stopIfTrue="1" operator="beginsWith" text="Functioning At Risk">
      <formula>LEFT(F33,LEN("Functioning At Risk"))="Functioning At Risk"</formula>
    </cfRule>
    <cfRule type="beginsWith" dxfId="405" priority="287" stopIfTrue="1" operator="beginsWith" text="Not Functioning">
      <formula>LEFT(F33,LEN("Not Functioning"))="Not Functioning"</formula>
    </cfRule>
    <cfRule type="containsText" dxfId="404" priority="288" operator="containsText" text="Functioning">
      <formula>NOT(ISERROR(SEARCH("Functioning",F33)))</formula>
    </cfRule>
  </conditionalFormatting>
  <conditionalFormatting sqref="F21">
    <cfRule type="beginsWith" dxfId="403" priority="283" stopIfTrue="1" operator="beginsWith" text="Functioning At Risk">
      <formula>LEFT(F21,LEN("Functioning At Risk"))="Functioning At Risk"</formula>
    </cfRule>
    <cfRule type="beginsWith" dxfId="402" priority="284" stopIfTrue="1" operator="beginsWith" text="Not Functioning">
      <formula>LEFT(F21,LEN("Not Functioning"))="Not Functioning"</formula>
    </cfRule>
    <cfRule type="containsText" dxfId="401" priority="285" operator="containsText" text="Functioning">
      <formula>NOT(ISERROR(SEARCH("Functioning",F21)))</formula>
    </cfRule>
  </conditionalFormatting>
  <conditionalFormatting sqref="F7:F8">
    <cfRule type="beginsWith" dxfId="400" priority="280" stopIfTrue="1" operator="beginsWith" text="Functioning At Risk">
      <formula>LEFT(F7,LEN("Functioning At Risk"))="Functioning At Risk"</formula>
    </cfRule>
    <cfRule type="beginsWith" dxfId="399" priority="281" stopIfTrue="1" operator="beginsWith" text="Not Functioning">
      <formula>LEFT(F7,LEN("Not Functioning"))="Not Functioning"</formula>
    </cfRule>
    <cfRule type="containsText" dxfId="398" priority="282" operator="containsText" text="Functioning">
      <formula>NOT(ISERROR(SEARCH("Functioning",F7)))</formula>
    </cfRule>
  </conditionalFormatting>
  <conditionalFormatting sqref="F10">
    <cfRule type="beginsWith" dxfId="397" priority="277" stopIfTrue="1" operator="beginsWith" text="Functioning At Risk">
      <formula>LEFT(F10,LEN("Functioning At Risk"))="Functioning At Risk"</formula>
    </cfRule>
    <cfRule type="beginsWith" dxfId="396" priority="278" stopIfTrue="1" operator="beginsWith" text="Not Functioning">
      <formula>LEFT(F10,LEN("Not Functioning"))="Not Functioning"</formula>
    </cfRule>
    <cfRule type="containsText" dxfId="395" priority="279" operator="containsText" text="Functioning">
      <formula>NOT(ISERROR(SEARCH("Functioning",F10)))</formula>
    </cfRule>
  </conditionalFormatting>
  <conditionalFormatting sqref="F25">
    <cfRule type="beginsWith" dxfId="394" priority="274" stopIfTrue="1" operator="beginsWith" text="Functioning At Risk">
      <formula>LEFT(F25,LEN("Functioning At Risk"))="Functioning At Risk"</formula>
    </cfRule>
    <cfRule type="beginsWith" dxfId="393" priority="275" stopIfTrue="1" operator="beginsWith" text="Not Functioning">
      <formula>LEFT(F25,LEN("Not Functioning"))="Not Functioning"</formula>
    </cfRule>
    <cfRule type="containsText" dxfId="392" priority="276" operator="containsText" text="Functioning">
      <formula>NOT(ISERROR(SEARCH("Functioning",F25)))</formula>
    </cfRule>
  </conditionalFormatting>
  <conditionalFormatting sqref="F22">
    <cfRule type="beginsWith" dxfId="391" priority="271" stopIfTrue="1" operator="beginsWith" text="Functioning At Risk">
      <formula>LEFT(F22,LEN("Functioning At Risk"))="Functioning At Risk"</formula>
    </cfRule>
    <cfRule type="beginsWith" dxfId="390" priority="272" stopIfTrue="1" operator="beginsWith" text="Not Functioning">
      <formula>LEFT(F22,LEN("Not Functioning"))="Not Functioning"</formula>
    </cfRule>
    <cfRule type="containsText" dxfId="389" priority="273" operator="containsText" text="Functioning">
      <formula>NOT(ISERROR(SEARCH("Functioning",F22)))</formula>
    </cfRule>
  </conditionalFormatting>
  <conditionalFormatting sqref="F67 F44:F45 F52:F55">
    <cfRule type="beginsWith" dxfId="388" priority="268" stopIfTrue="1" operator="beginsWith" text="Functioning At Risk">
      <formula>LEFT(F44,LEN("Functioning At Risk"))="Functioning At Risk"</formula>
    </cfRule>
    <cfRule type="beginsWith" dxfId="387" priority="269" stopIfTrue="1" operator="beginsWith" text="Not Functioning">
      <formula>LEFT(F44,LEN("Not Functioning"))="Not Functioning"</formula>
    </cfRule>
    <cfRule type="containsText" dxfId="386" priority="270" operator="containsText" text="Functioning">
      <formula>NOT(ISERROR(SEARCH("Functioning",F44)))</formula>
    </cfRule>
  </conditionalFormatting>
  <conditionalFormatting sqref="F56:F57">
    <cfRule type="beginsWith" dxfId="385" priority="265" stopIfTrue="1" operator="beginsWith" text="Functioning At Risk">
      <formula>LEFT(F56,LEN("Functioning At Risk"))="Functioning At Risk"</formula>
    </cfRule>
    <cfRule type="beginsWith" dxfId="384" priority="266" stopIfTrue="1" operator="beginsWith" text="Not Functioning">
      <formula>LEFT(F56,LEN("Not Functioning"))="Not Functioning"</formula>
    </cfRule>
    <cfRule type="containsText" dxfId="383" priority="267" operator="containsText" text="Functioning">
      <formula>NOT(ISERROR(SEARCH("Functioning",F56)))</formula>
    </cfRule>
  </conditionalFormatting>
  <conditionalFormatting sqref="F76:F77">
    <cfRule type="beginsWith" dxfId="382" priority="262" stopIfTrue="1" operator="beginsWith" text="Functioning At Risk">
      <formula>LEFT(F76,LEN("Functioning At Risk"))="Functioning At Risk"</formula>
    </cfRule>
    <cfRule type="beginsWith" dxfId="381" priority="263" stopIfTrue="1" operator="beginsWith" text="Not Functioning">
      <formula>LEFT(F76,LEN("Not Functioning"))="Not Functioning"</formula>
    </cfRule>
    <cfRule type="containsText" dxfId="380" priority="264" operator="containsText" text="Functioning">
      <formula>NOT(ISERROR(SEARCH("Functioning",F76)))</formula>
    </cfRule>
  </conditionalFormatting>
  <conditionalFormatting sqref="F72:F75">
    <cfRule type="beginsWith" dxfId="379" priority="259" stopIfTrue="1" operator="beginsWith" text="Functioning At Risk">
      <formula>LEFT(F72,LEN("Functioning At Risk"))="Functioning At Risk"</formula>
    </cfRule>
    <cfRule type="beginsWith" dxfId="378" priority="260" stopIfTrue="1" operator="beginsWith" text="Not Functioning">
      <formula>LEFT(F72,LEN("Not Functioning"))="Not Functioning"</formula>
    </cfRule>
    <cfRule type="containsText" dxfId="377" priority="261" operator="containsText" text="Functioning">
      <formula>NOT(ISERROR(SEARCH("Functioning",F72)))</formula>
    </cfRule>
  </conditionalFormatting>
  <conditionalFormatting sqref="F60">
    <cfRule type="beginsWith" dxfId="376" priority="256" stopIfTrue="1" operator="beginsWith" text="Functioning At Risk">
      <formula>LEFT(F60,LEN("Functioning At Risk"))="Functioning At Risk"</formula>
    </cfRule>
    <cfRule type="beginsWith" dxfId="375" priority="257" stopIfTrue="1" operator="beginsWith" text="Not Functioning">
      <formula>LEFT(F60,LEN("Not Functioning"))="Not Functioning"</formula>
    </cfRule>
    <cfRule type="containsText" dxfId="374" priority="258" operator="containsText" text="Functioning">
      <formula>NOT(ISERROR(SEARCH("Functioning",F60)))</formula>
    </cfRule>
  </conditionalFormatting>
  <conditionalFormatting sqref="F46:F47">
    <cfRule type="beginsWith" dxfId="373" priority="253" stopIfTrue="1" operator="beginsWith" text="Functioning At Risk">
      <formula>LEFT(F46,LEN("Functioning At Risk"))="Functioning At Risk"</formula>
    </cfRule>
    <cfRule type="beginsWith" dxfId="372" priority="254" stopIfTrue="1" operator="beginsWith" text="Not Functioning">
      <formula>LEFT(F46,LEN("Not Functioning"))="Not Functioning"</formula>
    </cfRule>
    <cfRule type="containsText" dxfId="371" priority="255" operator="containsText" text="Functioning">
      <formula>NOT(ISERROR(SEARCH("Functioning",F46)))</formula>
    </cfRule>
  </conditionalFormatting>
  <conditionalFormatting sqref="F49">
    <cfRule type="beginsWith" dxfId="370" priority="250" stopIfTrue="1" operator="beginsWith" text="Functioning At Risk">
      <formula>LEFT(F49,LEN("Functioning At Risk"))="Functioning At Risk"</formula>
    </cfRule>
    <cfRule type="beginsWith" dxfId="369" priority="251" stopIfTrue="1" operator="beginsWith" text="Not Functioning">
      <formula>LEFT(F49,LEN("Not Functioning"))="Not Functioning"</formula>
    </cfRule>
    <cfRule type="containsText" dxfId="368" priority="252" operator="containsText" text="Functioning">
      <formula>NOT(ISERROR(SEARCH("Functioning",F49)))</formula>
    </cfRule>
  </conditionalFormatting>
  <conditionalFormatting sqref="F64">
    <cfRule type="beginsWith" dxfId="367" priority="247" stopIfTrue="1" operator="beginsWith" text="Functioning At Risk">
      <formula>LEFT(F64,LEN("Functioning At Risk"))="Functioning At Risk"</formula>
    </cfRule>
    <cfRule type="beginsWith" dxfId="366" priority="248" stopIfTrue="1" operator="beginsWith" text="Not Functioning">
      <formula>LEFT(F64,LEN("Not Functioning"))="Not Functioning"</formula>
    </cfRule>
    <cfRule type="containsText" dxfId="365" priority="249" operator="containsText" text="Functioning">
      <formula>NOT(ISERROR(SEARCH("Functioning",F64)))</formula>
    </cfRule>
  </conditionalFormatting>
  <conditionalFormatting sqref="F61">
    <cfRule type="beginsWith" dxfId="364" priority="244" stopIfTrue="1" operator="beginsWith" text="Functioning At Risk">
      <formula>LEFT(F61,LEN("Functioning At Risk"))="Functioning At Risk"</formula>
    </cfRule>
    <cfRule type="beginsWith" dxfId="363" priority="245" stopIfTrue="1" operator="beginsWith" text="Not Functioning">
      <formula>LEFT(F61,LEN("Not Functioning"))="Not Functioning"</formula>
    </cfRule>
    <cfRule type="containsText" dxfId="362" priority="246" operator="containsText" text="Functioning">
      <formula>NOT(ISERROR(SEARCH("Functioning",F61)))</formula>
    </cfRule>
  </conditionalFormatting>
  <conditionalFormatting sqref="F106 F83:F84 F91:F94">
    <cfRule type="beginsWith" dxfId="361" priority="241" stopIfTrue="1" operator="beginsWith" text="Functioning At Risk">
      <formula>LEFT(F83,LEN("Functioning At Risk"))="Functioning At Risk"</formula>
    </cfRule>
    <cfRule type="beginsWith" dxfId="360" priority="242" stopIfTrue="1" operator="beginsWith" text="Not Functioning">
      <formula>LEFT(F83,LEN("Not Functioning"))="Not Functioning"</formula>
    </cfRule>
    <cfRule type="containsText" dxfId="359" priority="243" operator="containsText" text="Functioning">
      <formula>NOT(ISERROR(SEARCH("Functioning",F83)))</formula>
    </cfRule>
  </conditionalFormatting>
  <conditionalFormatting sqref="F95:F96">
    <cfRule type="beginsWith" dxfId="358" priority="238" stopIfTrue="1" operator="beginsWith" text="Functioning At Risk">
      <formula>LEFT(F95,LEN("Functioning At Risk"))="Functioning At Risk"</formula>
    </cfRule>
    <cfRule type="beginsWith" dxfId="357" priority="239" stopIfTrue="1" operator="beginsWith" text="Not Functioning">
      <formula>LEFT(F95,LEN("Not Functioning"))="Not Functioning"</formula>
    </cfRule>
    <cfRule type="containsText" dxfId="356" priority="240" operator="containsText" text="Functioning">
      <formula>NOT(ISERROR(SEARCH("Functioning",F95)))</formula>
    </cfRule>
  </conditionalFormatting>
  <conditionalFormatting sqref="F115:F116">
    <cfRule type="beginsWith" dxfId="355" priority="235" stopIfTrue="1" operator="beginsWith" text="Functioning At Risk">
      <formula>LEFT(F115,LEN("Functioning At Risk"))="Functioning At Risk"</formula>
    </cfRule>
    <cfRule type="beginsWith" dxfId="354" priority="236" stopIfTrue="1" operator="beginsWith" text="Not Functioning">
      <formula>LEFT(F115,LEN("Not Functioning"))="Not Functioning"</formula>
    </cfRule>
    <cfRule type="containsText" dxfId="353" priority="237" operator="containsText" text="Functioning">
      <formula>NOT(ISERROR(SEARCH("Functioning",F115)))</formula>
    </cfRule>
  </conditionalFormatting>
  <conditionalFormatting sqref="F111:F114">
    <cfRule type="beginsWith" dxfId="352" priority="232" stopIfTrue="1" operator="beginsWith" text="Functioning At Risk">
      <formula>LEFT(F111,LEN("Functioning At Risk"))="Functioning At Risk"</formula>
    </cfRule>
    <cfRule type="beginsWith" dxfId="351" priority="233" stopIfTrue="1" operator="beginsWith" text="Not Functioning">
      <formula>LEFT(F111,LEN("Not Functioning"))="Not Functioning"</formula>
    </cfRule>
    <cfRule type="containsText" dxfId="350" priority="234" operator="containsText" text="Functioning">
      <formula>NOT(ISERROR(SEARCH("Functioning",F111)))</formula>
    </cfRule>
  </conditionalFormatting>
  <conditionalFormatting sqref="F99">
    <cfRule type="beginsWith" dxfId="349" priority="229" stopIfTrue="1" operator="beginsWith" text="Functioning At Risk">
      <formula>LEFT(F99,LEN("Functioning At Risk"))="Functioning At Risk"</formula>
    </cfRule>
    <cfRule type="beginsWith" dxfId="348" priority="230" stopIfTrue="1" operator="beginsWith" text="Not Functioning">
      <formula>LEFT(F99,LEN("Not Functioning"))="Not Functioning"</formula>
    </cfRule>
    <cfRule type="containsText" dxfId="347" priority="231" operator="containsText" text="Functioning">
      <formula>NOT(ISERROR(SEARCH("Functioning",F99)))</formula>
    </cfRule>
  </conditionalFormatting>
  <conditionalFormatting sqref="F85:F86">
    <cfRule type="beginsWith" dxfId="346" priority="226" stopIfTrue="1" operator="beginsWith" text="Functioning At Risk">
      <formula>LEFT(F85,LEN("Functioning At Risk"))="Functioning At Risk"</formula>
    </cfRule>
    <cfRule type="beginsWith" dxfId="345" priority="227" stopIfTrue="1" operator="beginsWith" text="Not Functioning">
      <formula>LEFT(F85,LEN("Not Functioning"))="Not Functioning"</formula>
    </cfRule>
    <cfRule type="containsText" dxfId="344" priority="228" operator="containsText" text="Functioning">
      <formula>NOT(ISERROR(SEARCH("Functioning",F85)))</formula>
    </cfRule>
  </conditionalFormatting>
  <conditionalFormatting sqref="F88">
    <cfRule type="beginsWith" dxfId="343" priority="223" stopIfTrue="1" operator="beginsWith" text="Functioning At Risk">
      <formula>LEFT(F88,LEN("Functioning At Risk"))="Functioning At Risk"</formula>
    </cfRule>
    <cfRule type="beginsWith" dxfId="342" priority="224" stopIfTrue="1" operator="beginsWith" text="Not Functioning">
      <formula>LEFT(F88,LEN("Not Functioning"))="Not Functioning"</formula>
    </cfRule>
    <cfRule type="containsText" dxfId="341" priority="225" operator="containsText" text="Functioning">
      <formula>NOT(ISERROR(SEARCH("Functioning",F88)))</formula>
    </cfRule>
  </conditionalFormatting>
  <conditionalFormatting sqref="F103">
    <cfRule type="beginsWith" dxfId="340" priority="220" stopIfTrue="1" operator="beginsWith" text="Functioning At Risk">
      <formula>LEFT(F103,LEN("Functioning At Risk"))="Functioning At Risk"</formula>
    </cfRule>
    <cfRule type="beginsWith" dxfId="339" priority="221" stopIfTrue="1" operator="beginsWith" text="Not Functioning">
      <formula>LEFT(F103,LEN("Not Functioning"))="Not Functioning"</formula>
    </cfRule>
    <cfRule type="containsText" dxfId="338" priority="222" operator="containsText" text="Functioning">
      <formula>NOT(ISERROR(SEARCH("Functioning",F103)))</formula>
    </cfRule>
  </conditionalFormatting>
  <conditionalFormatting sqref="F100">
    <cfRule type="beginsWith" dxfId="337" priority="217" stopIfTrue="1" operator="beginsWith" text="Functioning At Risk">
      <formula>LEFT(F100,LEN("Functioning At Risk"))="Functioning At Risk"</formula>
    </cfRule>
    <cfRule type="beginsWith" dxfId="336" priority="218" stopIfTrue="1" operator="beginsWith" text="Not Functioning">
      <formula>LEFT(F100,LEN("Not Functioning"))="Not Functioning"</formula>
    </cfRule>
    <cfRule type="containsText" dxfId="335" priority="219" operator="containsText" text="Functioning">
      <formula>NOT(ISERROR(SEARCH("Functioning",F100)))</formula>
    </cfRule>
  </conditionalFormatting>
  <conditionalFormatting sqref="F145 F122:F123 F130:F133">
    <cfRule type="beginsWith" dxfId="334" priority="214" stopIfTrue="1" operator="beginsWith" text="Functioning At Risk">
      <formula>LEFT(F122,LEN("Functioning At Risk"))="Functioning At Risk"</formula>
    </cfRule>
    <cfRule type="beginsWith" dxfId="333" priority="215" stopIfTrue="1" operator="beginsWith" text="Not Functioning">
      <formula>LEFT(F122,LEN("Not Functioning"))="Not Functioning"</formula>
    </cfRule>
    <cfRule type="containsText" dxfId="332" priority="216" operator="containsText" text="Functioning">
      <formula>NOT(ISERROR(SEARCH("Functioning",F122)))</formula>
    </cfRule>
  </conditionalFormatting>
  <conditionalFormatting sqref="F134:F135">
    <cfRule type="beginsWith" dxfId="331" priority="211" stopIfTrue="1" operator="beginsWith" text="Functioning At Risk">
      <formula>LEFT(F134,LEN("Functioning At Risk"))="Functioning At Risk"</formula>
    </cfRule>
    <cfRule type="beginsWith" dxfId="330" priority="212" stopIfTrue="1" operator="beginsWith" text="Not Functioning">
      <formula>LEFT(F134,LEN("Not Functioning"))="Not Functioning"</formula>
    </cfRule>
    <cfRule type="containsText" dxfId="329" priority="213" operator="containsText" text="Functioning">
      <formula>NOT(ISERROR(SEARCH("Functioning",F134)))</formula>
    </cfRule>
  </conditionalFormatting>
  <conditionalFormatting sqref="F154:F155">
    <cfRule type="beginsWith" dxfId="328" priority="208" stopIfTrue="1" operator="beginsWith" text="Functioning At Risk">
      <formula>LEFT(F154,LEN("Functioning At Risk"))="Functioning At Risk"</formula>
    </cfRule>
    <cfRule type="beginsWith" dxfId="327" priority="209" stopIfTrue="1" operator="beginsWith" text="Not Functioning">
      <formula>LEFT(F154,LEN("Not Functioning"))="Not Functioning"</formula>
    </cfRule>
    <cfRule type="containsText" dxfId="326" priority="210" operator="containsText" text="Functioning">
      <formula>NOT(ISERROR(SEARCH("Functioning",F154)))</formula>
    </cfRule>
  </conditionalFormatting>
  <conditionalFormatting sqref="F150:F153">
    <cfRule type="beginsWith" dxfId="325" priority="205" stopIfTrue="1" operator="beginsWith" text="Functioning At Risk">
      <formula>LEFT(F150,LEN("Functioning At Risk"))="Functioning At Risk"</formula>
    </cfRule>
    <cfRule type="beginsWith" dxfId="324" priority="206" stopIfTrue="1" operator="beginsWith" text="Not Functioning">
      <formula>LEFT(F150,LEN("Not Functioning"))="Not Functioning"</formula>
    </cfRule>
    <cfRule type="containsText" dxfId="323" priority="207" operator="containsText" text="Functioning">
      <formula>NOT(ISERROR(SEARCH("Functioning",F150)))</formula>
    </cfRule>
  </conditionalFormatting>
  <conditionalFormatting sqref="F138">
    <cfRule type="beginsWith" dxfId="322" priority="202" stopIfTrue="1" operator="beginsWith" text="Functioning At Risk">
      <formula>LEFT(F138,LEN("Functioning At Risk"))="Functioning At Risk"</formula>
    </cfRule>
    <cfRule type="beginsWith" dxfId="321" priority="203" stopIfTrue="1" operator="beginsWith" text="Not Functioning">
      <formula>LEFT(F138,LEN("Not Functioning"))="Not Functioning"</formula>
    </cfRule>
    <cfRule type="containsText" dxfId="320" priority="204" operator="containsText" text="Functioning">
      <formula>NOT(ISERROR(SEARCH("Functioning",F138)))</formula>
    </cfRule>
  </conditionalFormatting>
  <conditionalFormatting sqref="F124:F125">
    <cfRule type="beginsWith" dxfId="319" priority="199" stopIfTrue="1" operator="beginsWith" text="Functioning At Risk">
      <formula>LEFT(F124,LEN("Functioning At Risk"))="Functioning At Risk"</formula>
    </cfRule>
    <cfRule type="beginsWith" dxfId="318" priority="200" stopIfTrue="1" operator="beginsWith" text="Not Functioning">
      <formula>LEFT(F124,LEN("Not Functioning"))="Not Functioning"</formula>
    </cfRule>
    <cfRule type="containsText" dxfId="317" priority="201" operator="containsText" text="Functioning">
      <formula>NOT(ISERROR(SEARCH("Functioning",F124)))</formula>
    </cfRule>
  </conditionalFormatting>
  <conditionalFormatting sqref="F127">
    <cfRule type="beginsWith" dxfId="316" priority="196" stopIfTrue="1" operator="beginsWith" text="Functioning At Risk">
      <formula>LEFT(F127,LEN("Functioning At Risk"))="Functioning At Risk"</formula>
    </cfRule>
    <cfRule type="beginsWith" dxfId="315" priority="197" stopIfTrue="1" operator="beginsWith" text="Not Functioning">
      <formula>LEFT(F127,LEN("Not Functioning"))="Not Functioning"</formula>
    </cfRule>
    <cfRule type="containsText" dxfId="314" priority="198" operator="containsText" text="Functioning">
      <formula>NOT(ISERROR(SEARCH("Functioning",F127)))</formula>
    </cfRule>
  </conditionalFormatting>
  <conditionalFormatting sqref="F142">
    <cfRule type="beginsWith" dxfId="313" priority="193" stopIfTrue="1" operator="beginsWith" text="Functioning At Risk">
      <formula>LEFT(F142,LEN("Functioning At Risk"))="Functioning At Risk"</formula>
    </cfRule>
    <cfRule type="beginsWith" dxfId="312" priority="194" stopIfTrue="1" operator="beginsWith" text="Not Functioning">
      <formula>LEFT(F142,LEN("Not Functioning"))="Not Functioning"</formula>
    </cfRule>
    <cfRule type="containsText" dxfId="311" priority="195" operator="containsText" text="Functioning">
      <formula>NOT(ISERROR(SEARCH("Functioning",F142)))</formula>
    </cfRule>
  </conditionalFormatting>
  <conditionalFormatting sqref="F139">
    <cfRule type="beginsWith" dxfId="310" priority="190" stopIfTrue="1" operator="beginsWith" text="Functioning At Risk">
      <formula>LEFT(F139,LEN("Functioning At Risk"))="Functioning At Risk"</formula>
    </cfRule>
    <cfRule type="beginsWith" dxfId="309" priority="191" stopIfTrue="1" operator="beginsWith" text="Not Functioning">
      <formula>LEFT(F139,LEN("Not Functioning"))="Not Functioning"</formula>
    </cfRule>
    <cfRule type="containsText" dxfId="308" priority="192" operator="containsText" text="Functioning">
      <formula>NOT(ISERROR(SEARCH("Functioning",F139)))</formula>
    </cfRule>
  </conditionalFormatting>
  <conditionalFormatting sqref="F184 F161:F162 F169:F172">
    <cfRule type="beginsWith" dxfId="307" priority="187" stopIfTrue="1" operator="beginsWith" text="Functioning At Risk">
      <formula>LEFT(F161,LEN("Functioning At Risk"))="Functioning At Risk"</formula>
    </cfRule>
    <cfRule type="beginsWith" dxfId="306" priority="188" stopIfTrue="1" operator="beginsWith" text="Not Functioning">
      <formula>LEFT(F161,LEN("Not Functioning"))="Not Functioning"</formula>
    </cfRule>
    <cfRule type="containsText" dxfId="305" priority="189" operator="containsText" text="Functioning">
      <formula>NOT(ISERROR(SEARCH("Functioning",F161)))</formula>
    </cfRule>
  </conditionalFormatting>
  <conditionalFormatting sqref="F173:F174">
    <cfRule type="beginsWith" dxfId="304" priority="184" stopIfTrue="1" operator="beginsWith" text="Functioning At Risk">
      <formula>LEFT(F173,LEN("Functioning At Risk"))="Functioning At Risk"</formula>
    </cfRule>
    <cfRule type="beginsWith" dxfId="303" priority="185" stopIfTrue="1" operator="beginsWith" text="Not Functioning">
      <formula>LEFT(F173,LEN("Not Functioning"))="Not Functioning"</formula>
    </cfRule>
    <cfRule type="containsText" dxfId="302" priority="186" operator="containsText" text="Functioning">
      <formula>NOT(ISERROR(SEARCH("Functioning",F173)))</formula>
    </cfRule>
  </conditionalFormatting>
  <conditionalFormatting sqref="F193:F194">
    <cfRule type="beginsWith" dxfId="301" priority="181" stopIfTrue="1" operator="beginsWith" text="Functioning At Risk">
      <formula>LEFT(F193,LEN("Functioning At Risk"))="Functioning At Risk"</formula>
    </cfRule>
    <cfRule type="beginsWith" dxfId="300" priority="182" stopIfTrue="1" operator="beginsWith" text="Not Functioning">
      <formula>LEFT(F193,LEN("Not Functioning"))="Not Functioning"</formula>
    </cfRule>
    <cfRule type="containsText" dxfId="299" priority="183" operator="containsText" text="Functioning">
      <formula>NOT(ISERROR(SEARCH("Functioning",F193)))</formula>
    </cfRule>
  </conditionalFormatting>
  <conditionalFormatting sqref="F189:F192">
    <cfRule type="beginsWith" dxfId="298" priority="178" stopIfTrue="1" operator="beginsWith" text="Functioning At Risk">
      <formula>LEFT(F189,LEN("Functioning At Risk"))="Functioning At Risk"</formula>
    </cfRule>
    <cfRule type="beginsWith" dxfId="297" priority="179" stopIfTrue="1" operator="beginsWith" text="Not Functioning">
      <formula>LEFT(F189,LEN("Not Functioning"))="Not Functioning"</formula>
    </cfRule>
    <cfRule type="containsText" dxfId="296" priority="180" operator="containsText" text="Functioning">
      <formula>NOT(ISERROR(SEARCH("Functioning",F189)))</formula>
    </cfRule>
  </conditionalFormatting>
  <conditionalFormatting sqref="F177">
    <cfRule type="beginsWith" dxfId="295" priority="175" stopIfTrue="1" operator="beginsWith" text="Functioning At Risk">
      <formula>LEFT(F177,LEN("Functioning At Risk"))="Functioning At Risk"</formula>
    </cfRule>
    <cfRule type="beginsWith" dxfId="294" priority="176" stopIfTrue="1" operator="beginsWith" text="Not Functioning">
      <formula>LEFT(F177,LEN("Not Functioning"))="Not Functioning"</formula>
    </cfRule>
    <cfRule type="containsText" dxfId="293" priority="177" operator="containsText" text="Functioning">
      <formula>NOT(ISERROR(SEARCH("Functioning",F177)))</formula>
    </cfRule>
  </conditionalFormatting>
  <conditionalFormatting sqref="F163:F164">
    <cfRule type="beginsWith" dxfId="292" priority="172" stopIfTrue="1" operator="beginsWith" text="Functioning At Risk">
      <formula>LEFT(F163,LEN("Functioning At Risk"))="Functioning At Risk"</formula>
    </cfRule>
    <cfRule type="beginsWith" dxfId="291" priority="173" stopIfTrue="1" operator="beginsWith" text="Not Functioning">
      <formula>LEFT(F163,LEN("Not Functioning"))="Not Functioning"</formula>
    </cfRule>
    <cfRule type="containsText" dxfId="290" priority="174" operator="containsText" text="Functioning">
      <formula>NOT(ISERROR(SEARCH("Functioning",F163)))</formula>
    </cfRule>
  </conditionalFormatting>
  <conditionalFormatting sqref="F166">
    <cfRule type="beginsWith" dxfId="289" priority="169" stopIfTrue="1" operator="beginsWith" text="Functioning At Risk">
      <formula>LEFT(F166,LEN("Functioning At Risk"))="Functioning At Risk"</formula>
    </cfRule>
    <cfRule type="beginsWith" dxfId="288" priority="170" stopIfTrue="1" operator="beginsWith" text="Not Functioning">
      <formula>LEFT(F166,LEN("Not Functioning"))="Not Functioning"</formula>
    </cfRule>
    <cfRule type="containsText" dxfId="287" priority="171" operator="containsText" text="Functioning">
      <formula>NOT(ISERROR(SEARCH("Functioning",F166)))</formula>
    </cfRule>
  </conditionalFormatting>
  <conditionalFormatting sqref="F181">
    <cfRule type="beginsWith" dxfId="286" priority="166" stopIfTrue="1" operator="beginsWith" text="Functioning At Risk">
      <formula>LEFT(F181,LEN("Functioning At Risk"))="Functioning At Risk"</formula>
    </cfRule>
    <cfRule type="beginsWith" dxfId="285" priority="167" stopIfTrue="1" operator="beginsWith" text="Not Functioning">
      <formula>LEFT(F181,LEN("Not Functioning"))="Not Functioning"</formula>
    </cfRule>
    <cfRule type="containsText" dxfId="284" priority="168" operator="containsText" text="Functioning">
      <formula>NOT(ISERROR(SEARCH("Functioning",F181)))</formula>
    </cfRule>
  </conditionalFormatting>
  <conditionalFormatting sqref="F178">
    <cfRule type="beginsWith" dxfId="283" priority="163" stopIfTrue="1" operator="beginsWith" text="Functioning At Risk">
      <formula>LEFT(F178,LEN("Functioning At Risk"))="Functioning At Risk"</formula>
    </cfRule>
    <cfRule type="beginsWith" dxfId="282" priority="164" stopIfTrue="1" operator="beginsWith" text="Not Functioning">
      <formula>LEFT(F178,LEN("Not Functioning"))="Not Functioning"</formula>
    </cfRule>
    <cfRule type="containsText" dxfId="281" priority="165" operator="containsText" text="Functioning">
      <formula>NOT(ISERROR(SEARCH("Functioning",F178)))</formula>
    </cfRule>
  </conditionalFormatting>
  <conditionalFormatting sqref="F223 F200:F201 F208:F211">
    <cfRule type="beginsWith" dxfId="280" priority="160" stopIfTrue="1" operator="beginsWith" text="Functioning At Risk">
      <formula>LEFT(F200,LEN("Functioning At Risk"))="Functioning At Risk"</formula>
    </cfRule>
    <cfRule type="beginsWith" dxfId="279" priority="161" stopIfTrue="1" operator="beginsWith" text="Not Functioning">
      <formula>LEFT(F200,LEN("Not Functioning"))="Not Functioning"</formula>
    </cfRule>
    <cfRule type="containsText" dxfId="278" priority="162" operator="containsText" text="Functioning">
      <formula>NOT(ISERROR(SEARCH("Functioning",F200)))</formula>
    </cfRule>
  </conditionalFormatting>
  <conditionalFormatting sqref="F212:F213">
    <cfRule type="beginsWith" dxfId="277" priority="157" stopIfTrue="1" operator="beginsWith" text="Functioning At Risk">
      <formula>LEFT(F212,LEN("Functioning At Risk"))="Functioning At Risk"</formula>
    </cfRule>
    <cfRule type="beginsWith" dxfId="276" priority="158" stopIfTrue="1" operator="beginsWith" text="Not Functioning">
      <formula>LEFT(F212,LEN("Not Functioning"))="Not Functioning"</formula>
    </cfRule>
    <cfRule type="containsText" dxfId="275" priority="159" operator="containsText" text="Functioning">
      <formula>NOT(ISERROR(SEARCH("Functioning",F212)))</formula>
    </cfRule>
  </conditionalFormatting>
  <conditionalFormatting sqref="F232:F233">
    <cfRule type="beginsWith" dxfId="274" priority="154" stopIfTrue="1" operator="beginsWith" text="Functioning At Risk">
      <formula>LEFT(F232,LEN("Functioning At Risk"))="Functioning At Risk"</formula>
    </cfRule>
    <cfRule type="beginsWith" dxfId="273" priority="155" stopIfTrue="1" operator="beginsWith" text="Not Functioning">
      <formula>LEFT(F232,LEN("Not Functioning"))="Not Functioning"</formula>
    </cfRule>
    <cfRule type="containsText" dxfId="272" priority="156" operator="containsText" text="Functioning">
      <formula>NOT(ISERROR(SEARCH("Functioning",F232)))</formula>
    </cfRule>
  </conditionalFormatting>
  <conditionalFormatting sqref="F228:F231">
    <cfRule type="beginsWith" dxfId="271" priority="151" stopIfTrue="1" operator="beginsWith" text="Functioning At Risk">
      <formula>LEFT(F228,LEN("Functioning At Risk"))="Functioning At Risk"</formula>
    </cfRule>
    <cfRule type="beginsWith" dxfId="270" priority="152" stopIfTrue="1" operator="beginsWith" text="Not Functioning">
      <formula>LEFT(F228,LEN("Not Functioning"))="Not Functioning"</formula>
    </cfRule>
    <cfRule type="containsText" dxfId="269" priority="153" operator="containsText" text="Functioning">
      <formula>NOT(ISERROR(SEARCH("Functioning",F228)))</formula>
    </cfRule>
  </conditionalFormatting>
  <conditionalFormatting sqref="F216">
    <cfRule type="beginsWith" dxfId="268" priority="148" stopIfTrue="1" operator="beginsWith" text="Functioning At Risk">
      <formula>LEFT(F216,LEN("Functioning At Risk"))="Functioning At Risk"</formula>
    </cfRule>
    <cfRule type="beginsWith" dxfId="267" priority="149" stopIfTrue="1" operator="beginsWith" text="Not Functioning">
      <formula>LEFT(F216,LEN("Not Functioning"))="Not Functioning"</formula>
    </cfRule>
    <cfRule type="containsText" dxfId="266" priority="150" operator="containsText" text="Functioning">
      <formula>NOT(ISERROR(SEARCH("Functioning",F216)))</formula>
    </cfRule>
  </conditionalFormatting>
  <conditionalFormatting sqref="F202:F203">
    <cfRule type="beginsWith" dxfId="265" priority="145" stopIfTrue="1" operator="beginsWith" text="Functioning At Risk">
      <formula>LEFT(F202,LEN("Functioning At Risk"))="Functioning At Risk"</formula>
    </cfRule>
    <cfRule type="beginsWith" dxfId="264" priority="146" stopIfTrue="1" operator="beginsWith" text="Not Functioning">
      <formula>LEFT(F202,LEN("Not Functioning"))="Not Functioning"</formula>
    </cfRule>
    <cfRule type="containsText" dxfId="263" priority="147" operator="containsText" text="Functioning">
      <formula>NOT(ISERROR(SEARCH("Functioning",F202)))</formula>
    </cfRule>
  </conditionalFormatting>
  <conditionalFormatting sqref="F205">
    <cfRule type="beginsWith" dxfId="262" priority="142" stopIfTrue="1" operator="beginsWith" text="Functioning At Risk">
      <formula>LEFT(F205,LEN("Functioning At Risk"))="Functioning At Risk"</formula>
    </cfRule>
    <cfRule type="beginsWith" dxfId="261" priority="143" stopIfTrue="1" operator="beginsWith" text="Not Functioning">
      <formula>LEFT(F205,LEN("Not Functioning"))="Not Functioning"</formula>
    </cfRule>
    <cfRule type="containsText" dxfId="260" priority="144" operator="containsText" text="Functioning">
      <formula>NOT(ISERROR(SEARCH("Functioning",F205)))</formula>
    </cfRule>
  </conditionalFormatting>
  <conditionalFormatting sqref="F220">
    <cfRule type="beginsWith" dxfId="259" priority="139" stopIfTrue="1" operator="beginsWith" text="Functioning At Risk">
      <formula>LEFT(F220,LEN("Functioning At Risk"))="Functioning At Risk"</formula>
    </cfRule>
    <cfRule type="beginsWith" dxfId="258" priority="140" stopIfTrue="1" operator="beginsWith" text="Not Functioning">
      <formula>LEFT(F220,LEN("Not Functioning"))="Not Functioning"</formula>
    </cfRule>
    <cfRule type="containsText" dxfId="257" priority="141" operator="containsText" text="Functioning">
      <formula>NOT(ISERROR(SEARCH("Functioning",F220)))</formula>
    </cfRule>
  </conditionalFormatting>
  <conditionalFormatting sqref="F217">
    <cfRule type="beginsWith" dxfId="256" priority="136" stopIfTrue="1" operator="beginsWith" text="Functioning At Risk">
      <formula>LEFT(F217,LEN("Functioning At Risk"))="Functioning At Risk"</formula>
    </cfRule>
    <cfRule type="beginsWith" dxfId="255" priority="137" stopIfTrue="1" operator="beginsWith" text="Not Functioning">
      <formula>LEFT(F217,LEN("Not Functioning"))="Not Functioning"</formula>
    </cfRule>
    <cfRule type="containsText" dxfId="254" priority="138" operator="containsText" text="Functioning">
      <formula>NOT(ISERROR(SEARCH("Functioning",F217)))</formula>
    </cfRule>
  </conditionalFormatting>
  <conditionalFormatting sqref="F263 F240:F241 F248:F251">
    <cfRule type="beginsWith" dxfId="253" priority="133" stopIfTrue="1" operator="beginsWith" text="Functioning At Risk">
      <formula>LEFT(F240,LEN("Functioning At Risk"))="Functioning At Risk"</formula>
    </cfRule>
    <cfRule type="beginsWith" dxfId="252" priority="134" stopIfTrue="1" operator="beginsWith" text="Not Functioning">
      <formula>LEFT(F240,LEN("Not Functioning"))="Not Functioning"</formula>
    </cfRule>
    <cfRule type="containsText" dxfId="251" priority="135" operator="containsText" text="Functioning">
      <formula>NOT(ISERROR(SEARCH("Functioning",F240)))</formula>
    </cfRule>
  </conditionalFormatting>
  <conditionalFormatting sqref="F252:F253">
    <cfRule type="beginsWith" dxfId="250" priority="130" stopIfTrue="1" operator="beginsWith" text="Functioning At Risk">
      <formula>LEFT(F252,LEN("Functioning At Risk"))="Functioning At Risk"</formula>
    </cfRule>
    <cfRule type="beginsWith" dxfId="249" priority="131" stopIfTrue="1" operator="beginsWith" text="Not Functioning">
      <formula>LEFT(F252,LEN("Not Functioning"))="Not Functioning"</formula>
    </cfRule>
    <cfRule type="containsText" dxfId="248" priority="132" operator="containsText" text="Functioning">
      <formula>NOT(ISERROR(SEARCH("Functioning",F252)))</formula>
    </cfRule>
  </conditionalFormatting>
  <conditionalFormatting sqref="F272:F273">
    <cfRule type="beginsWith" dxfId="247" priority="127" stopIfTrue="1" operator="beginsWith" text="Functioning At Risk">
      <formula>LEFT(F272,LEN("Functioning At Risk"))="Functioning At Risk"</formula>
    </cfRule>
    <cfRule type="beginsWith" dxfId="246" priority="128" stopIfTrue="1" operator="beginsWith" text="Not Functioning">
      <formula>LEFT(F272,LEN("Not Functioning"))="Not Functioning"</formula>
    </cfRule>
    <cfRule type="containsText" dxfId="245" priority="129" operator="containsText" text="Functioning">
      <formula>NOT(ISERROR(SEARCH("Functioning",F272)))</formula>
    </cfRule>
  </conditionalFormatting>
  <conditionalFormatting sqref="F268:F271">
    <cfRule type="beginsWith" dxfId="244" priority="124" stopIfTrue="1" operator="beginsWith" text="Functioning At Risk">
      <formula>LEFT(F268,LEN("Functioning At Risk"))="Functioning At Risk"</formula>
    </cfRule>
    <cfRule type="beginsWith" dxfId="243" priority="125" stopIfTrue="1" operator="beginsWith" text="Not Functioning">
      <formula>LEFT(F268,LEN("Not Functioning"))="Not Functioning"</formula>
    </cfRule>
    <cfRule type="containsText" dxfId="242" priority="126" operator="containsText" text="Functioning">
      <formula>NOT(ISERROR(SEARCH("Functioning",F268)))</formula>
    </cfRule>
  </conditionalFormatting>
  <conditionalFormatting sqref="F256">
    <cfRule type="beginsWith" dxfId="241" priority="121" stopIfTrue="1" operator="beginsWith" text="Functioning At Risk">
      <formula>LEFT(F256,LEN("Functioning At Risk"))="Functioning At Risk"</formula>
    </cfRule>
    <cfRule type="beginsWith" dxfId="240" priority="122" stopIfTrue="1" operator="beginsWith" text="Not Functioning">
      <formula>LEFT(F256,LEN("Not Functioning"))="Not Functioning"</formula>
    </cfRule>
    <cfRule type="containsText" dxfId="239" priority="123" operator="containsText" text="Functioning">
      <formula>NOT(ISERROR(SEARCH("Functioning",F256)))</formula>
    </cfRule>
  </conditionalFormatting>
  <conditionalFormatting sqref="F242:F243">
    <cfRule type="beginsWith" dxfId="238" priority="118" stopIfTrue="1" operator="beginsWith" text="Functioning At Risk">
      <formula>LEFT(F242,LEN("Functioning At Risk"))="Functioning At Risk"</formula>
    </cfRule>
    <cfRule type="beginsWith" dxfId="237" priority="119" stopIfTrue="1" operator="beginsWith" text="Not Functioning">
      <formula>LEFT(F242,LEN("Not Functioning"))="Not Functioning"</formula>
    </cfRule>
    <cfRule type="containsText" dxfId="236" priority="120" operator="containsText" text="Functioning">
      <formula>NOT(ISERROR(SEARCH("Functioning",F242)))</formula>
    </cfRule>
  </conditionalFormatting>
  <conditionalFormatting sqref="F245">
    <cfRule type="beginsWith" dxfId="235" priority="115" stopIfTrue="1" operator="beginsWith" text="Functioning At Risk">
      <formula>LEFT(F245,LEN("Functioning At Risk"))="Functioning At Risk"</formula>
    </cfRule>
    <cfRule type="beginsWith" dxfId="234" priority="116" stopIfTrue="1" operator="beginsWith" text="Not Functioning">
      <formula>LEFT(F245,LEN("Not Functioning"))="Not Functioning"</formula>
    </cfRule>
    <cfRule type="containsText" dxfId="233" priority="117" operator="containsText" text="Functioning">
      <formula>NOT(ISERROR(SEARCH("Functioning",F245)))</formula>
    </cfRule>
  </conditionalFormatting>
  <conditionalFormatting sqref="F260">
    <cfRule type="beginsWith" dxfId="232" priority="112" stopIfTrue="1" operator="beginsWith" text="Functioning At Risk">
      <formula>LEFT(F260,LEN("Functioning At Risk"))="Functioning At Risk"</formula>
    </cfRule>
    <cfRule type="beginsWith" dxfId="231" priority="113" stopIfTrue="1" operator="beginsWith" text="Not Functioning">
      <formula>LEFT(F260,LEN("Not Functioning"))="Not Functioning"</formula>
    </cfRule>
    <cfRule type="containsText" dxfId="230" priority="114" operator="containsText" text="Functioning">
      <formula>NOT(ISERROR(SEARCH("Functioning",F260)))</formula>
    </cfRule>
  </conditionalFormatting>
  <conditionalFormatting sqref="F257">
    <cfRule type="beginsWith" dxfId="229" priority="109" stopIfTrue="1" operator="beginsWith" text="Functioning At Risk">
      <formula>LEFT(F257,LEN("Functioning At Risk"))="Functioning At Risk"</formula>
    </cfRule>
    <cfRule type="beginsWith" dxfId="228" priority="110" stopIfTrue="1" operator="beginsWith" text="Not Functioning">
      <formula>LEFT(F257,LEN("Not Functioning"))="Not Functioning"</formula>
    </cfRule>
    <cfRule type="containsText" dxfId="227" priority="111" operator="containsText" text="Functioning">
      <formula>NOT(ISERROR(SEARCH("Functioning",F257)))</formula>
    </cfRule>
  </conditionalFormatting>
  <conditionalFormatting sqref="F303 F280:F281 F288:F291">
    <cfRule type="beginsWith" dxfId="226" priority="106" stopIfTrue="1" operator="beginsWith" text="Functioning At Risk">
      <formula>LEFT(F280,LEN("Functioning At Risk"))="Functioning At Risk"</formula>
    </cfRule>
    <cfRule type="beginsWith" dxfId="225" priority="107" stopIfTrue="1" operator="beginsWith" text="Not Functioning">
      <formula>LEFT(F280,LEN("Not Functioning"))="Not Functioning"</formula>
    </cfRule>
    <cfRule type="containsText" dxfId="224" priority="108" operator="containsText" text="Functioning">
      <formula>NOT(ISERROR(SEARCH("Functioning",F280)))</formula>
    </cfRule>
  </conditionalFormatting>
  <conditionalFormatting sqref="F292:F293">
    <cfRule type="beginsWith" dxfId="223" priority="103" stopIfTrue="1" operator="beginsWith" text="Functioning At Risk">
      <formula>LEFT(F292,LEN("Functioning At Risk"))="Functioning At Risk"</formula>
    </cfRule>
    <cfRule type="beginsWith" dxfId="222" priority="104" stopIfTrue="1" operator="beginsWith" text="Not Functioning">
      <formula>LEFT(F292,LEN("Not Functioning"))="Not Functioning"</formula>
    </cfRule>
    <cfRule type="containsText" dxfId="221" priority="105" operator="containsText" text="Functioning">
      <formula>NOT(ISERROR(SEARCH("Functioning",F292)))</formula>
    </cfRule>
  </conditionalFormatting>
  <conditionalFormatting sqref="F312:F313">
    <cfRule type="beginsWith" dxfId="220" priority="100" stopIfTrue="1" operator="beginsWith" text="Functioning At Risk">
      <formula>LEFT(F312,LEN("Functioning At Risk"))="Functioning At Risk"</formula>
    </cfRule>
    <cfRule type="beginsWith" dxfId="219" priority="101" stopIfTrue="1" operator="beginsWith" text="Not Functioning">
      <formula>LEFT(F312,LEN("Not Functioning"))="Not Functioning"</formula>
    </cfRule>
    <cfRule type="containsText" dxfId="218" priority="102" operator="containsText" text="Functioning">
      <formula>NOT(ISERROR(SEARCH("Functioning",F312)))</formula>
    </cfRule>
  </conditionalFormatting>
  <conditionalFormatting sqref="F308:F311">
    <cfRule type="beginsWith" dxfId="217" priority="97" stopIfTrue="1" operator="beginsWith" text="Functioning At Risk">
      <formula>LEFT(F308,LEN("Functioning At Risk"))="Functioning At Risk"</formula>
    </cfRule>
    <cfRule type="beginsWith" dxfId="216" priority="98" stopIfTrue="1" operator="beginsWith" text="Not Functioning">
      <formula>LEFT(F308,LEN("Not Functioning"))="Not Functioning"</formula>
    </cfRule>
    <cfRule type="containsText" dxfId="215" priority="99" operator="containsText" text="Functioning">
      <formula>NOT(ISERROR(SEARCH("Functioning",F308)))</formula>
    </cfRule>
  </conditionalFormatting>
  <conditionalFormatting sqref="F296">
    <cfRule type="beginsWith" dxfId="214" priority="94" stopIfTrue="1" operator="beginsWith" text="Functioning At Risk">
      <formula>LEFT(F296,LEN("Functioning At Risk"))="Functioning At Risk"</formula>
    </cfRule>
    <cfRule type="beginsWith" dxfId="213" priority="95" stopIfTrue="1" operator="beginsWith" text="Not Functioning">
      <formula>LEFT(F296,LEN("Not Functioning"))="Not Functioning"</formula>
    </cfRule>
    <cfRule type="containsText" dxfId="212" priority="96" operator="containsText" text="Functioning">
      <formula>NOT(ISERROR(SEARCH("Functioning",F296)))</formula>
    </cfRule>
  </conditionalFormatting>
  <conditionalFormatting sqref="F282:F283">
    <cfRule type="beginsWith" dxfId="211" priority="91" stopIfTrue="1" operator="beginsWith" text="Functioning At Risk">
      <formula>LEFT(F282,LEN("Functioning At Risk"))="Functioning At Risk"</formula>
    </cfRule>
    <cfRule type="beginsWith" dxfId="210" priority="92" stopIfTrue="1" operator="beginsWith" text="Not Functioning">
      <formula>LEFT(F282,LEN("Not Functioning"))="Not Functioning"</formula>
    </cfRule>
    <cfRule type="containsText" dxfId="209" priority="93" operator="containsText" text="Functioning">
      <formula>NOT(ISERROR(SEARCH("Functioning",F282)))</formula>
    </cfRule>
  </conditionalFormatting>
  <conditionalFormatting sqref="F285">
    <cfRule type="beginsWith" dxfId="208" priority="88" stopIfTrue="1" operator="beginsWith" text="Functioning At Risk">
      <formula>LEFT(F285,LEN("Functioning At Risk"))="Functioning At Risk"</formula>
    </cfRule>
    <cfRule type="beginsWith" dxfId="207" priority="89" stopIfTrue="1" operator="beginsWith" text="Not Functioning">
      <formula>LEFT(F285,LEN("Not Functioning"))="Not Functioning"</formula>
    </cfRule>
    <cfRule type="containsText" dxfId="206" priority="90" operator="containsText" text="Functioning">
      <formula>NOT(ISERROR(SEARCH("Functioning",F285)))</formula>
    </cfRule>
  </conditionalFormatting>
  <conditionalFormatting sqref="F300">
    <cfRule type="beginsWith" dxfId="205" priority="85" stopIfTrue="1" operator="beginsWith" text="Functioning At Risk">
      <formula>LEFT(F300,LEN("Functioning At Risk"))="Functioning At Risk"</formula>
    </cfRule>
    <cfRule type="beginsWith" dxfId="204" priority="86" stopIfTrue="1" operator="beginsWith" text="Not Functioning">
      <formula>LEFT(F300,LEN("Not Functioning"))="Not Functioning"</formula>
    </cfRule>
    <cfRule type="containsText" dxfId="203" priority="87" operator="containsText" text="Functioning">
      <formula>NOT(ISERROR(SEARCH("Functioning",F300)))</formula>
    </cfRule>
  </conditionalFormatting>
  <conditionalFormatting sqref="F297">
    <cfRule type="beginsWith" dxfId="202" priority="82" stopIfTrue="1" operator="beginsWith" text="Functioning At Risk">
      <formula>LEFT(F297,LEN("Functioning At Risk"))="Functioning At Risk"</formula>
    </cfRule>
    <cfRule type="beginsWith" dxfId="201" priority="83" stopIfTrue="1" operator="beginsWith" text="Not Functioning">
      <formula>LEFT(F297,LEN("Not Functioning"))="Not Functioning"</formula>
    </cfRule>
    <cfRule type="containsText" dxfId="200" priority="84" operator="containsText" text="Functioning">
      <formula>NOT(ISERROR(SEARCH("Functioning",F297)))</formula>
    </cfRule>
  </conditionalFormatting>
  <conditionalFormatting sqref="F343 F320:F321 F328:F331">
    <cfRule type="beginsWith" dxfId="199" priority="79" stopIfTrue="1" operator="beginsWith" text="Functioning At Risk">
      <formula>LEFT(F320,LEN("Functioning At Risk"))="Functioning At Risk"</formula>
    </cfRule>
    <cfRule type="beginsWith" dxfId="198" priority="80" stopIfTrue="1" operator="beginsWith" text="Not Functioning">
      <formula>LEFT(F320,LEN("Not Functioning"))="Not Functioning"</formula>
    </cfRule>
    <cfRule type="containsText" dxfId="197" priority="81" operator="containsText" text="Functioning">
      <formula>NOT(ISERROR(SEARCH("Functioning",F320)))</formula>
    </cfRule>
  </conditionalFormatting>
  <conditionalFormatting sqref="F332:F333">
    <cfRule type="beginsWith" dxfId="196" priority="76" stopIfTrue="1" operator="beginsWith" text="Functioning At Risk">
      <formula>LEFT(F332,LEN("Functioning At Risk"))="Functioning At Risk"</formula>
    </cfRule>
    <cfRule type="beginsWith" dxfId="195" priority="77" stopIfTrue="1" operator="beginsWith" text="Not Functioning">
      <formula>LEFT(F332,LEN("Not Functioning"))="Not Functioning"</formula>
    </cfRule>
    <cfRule type="containsText" dxfId="194" priority="78" operator="containsText" text="Functioning">
      <formula>NOT(ISERROR(SEARCH("Functioning",F332)))</formula>
    </cfRule>
  </conditionalFormatting>
  <conditionalFormatting sqref="F352:F353">
    <cfRule type="beginsWith" dxfId="193" priority="73" stopIfTrue="1" operator="beginsWith" text="Functioning At Risk">
      <formula>LEFT(F352,LEN("Functioning At Risk"))="Functioning At Risk"</formula>
    </cfRule>
    <cfRule type="beginsWith" dxfId="192" priority="74" stopIfTrue="1" operator="beginsWith" text="Not Functioning">
      <formula>LEFT(F352,LEN("Not Functioning"))="Not Functioning"</formula>
    </cfRule>
    <cfRule type="containsText" dxfId="191" priority="75" operator="containsText" text="Functioning">
      <formula>NOT(ISERROR(SEARCH("Functioning",F352)))</formula>
    </cfRule>
  </conditionalFormatting>
  <conditionalFormatting sqref="F348:F351">
    <cfRule type="beginsWith" dxfId="190" priority="70" stopIfTrue="1" operator="beginsWith" text="Functioning At Risk">
      <formula>LEFT(F348,LEN("Functioning At Risk"))="Functioning At Risk"</formula>
    </cfRule>
    <cfRule type="beginsWith" dxfId="189" priority="71" stopIfTrue="1" operator="beginsWith" text="Not Functioning">
      <formula>LEFT(F348,LEN("Not Functioning"))="Not Functioning"</formula>
    </cfRule>
    <cfRule type="containsText" dxfId="188" priority="72" operator="containsText" text="Functioning">
      <formula>NOT(ISERROR(SEARCH("Functioning",F348)))</formula>
    </cfRule>
  </conditionalFormatting>
  <conditionalFormatting sqref="F336">
    <cfRule type="beginsWith" dxfId="187" priority="67" stopIfTrue="1" operator="beginsWith" text="Functioning At Risk">
      <formula>LEFT(F336,LEN("Functioning At Risk"))="Functioning At Risk"</formula>
    </cfRule>
    <cfRule type="beginsWith" dxfId="186" priority="68" stopIfTrue="1" operator="beginsWith" text="Not Functioning">
      <formula>LEFT(F336,LEN("Not Functioning"))="Not Functioning"</formula>
    </cfRule>
    <cfRule type="containsText" dxfId="185" priority="69" operator="containsText" text="Functioning">
      <formula>NOT(ISERROR(SEARCH("Functioning",F336)))</formula>
    </cfRule>
  </conditionalFormatting>
  <conditionalFormatting sqref="F322:F323">
    <cfRule type="beginsWith" dxfId="184" priority="64" stopIfTrue="1" operator="beginsWith" text="Functioning At Risk">
      <formula>LEFT(F322,LEN("Functioning At Risk"))="Functioning At Risk"</formula>
    </cfRule>
    <cfRule type="beginsWith" dxfId="183" priority="65" stopIfTrue="1" operator="beginsWith" text="Not Functioning">
      <formula>LEFT(F322,LEN("Not Functioning"))="Not Functioning"</formula>
    </cfRule>
    <cfRule type="containsText" dxfId="182" priority="66" operator="containsText" text="Functioning">
      <formula>NOT(ISERROR(SEARCH("Functioning",F322)))</formula>
    </cfRule>
  </conditionalFormatting>
  <conditionalFormatting sqref="F325">
    <cfRule type="beginsWith" dxfId="181" priority="61" stopIfTrue="1" operator="beginsWith" text="Functioning At Risk">
      <formula>LEFT(F325,LEN("Functioning At Risk"))="Functioning At Risk"</formula>
    </cfRule>
    <cfRule type="beginsWith" dxfId="180" priority="62" stopIfTrue="1" operator="beginsWith" text="Not Functioning">
      <formula>LEFT(F325,LEN("Not Functioning"))="Not Functioning"</formula>
    </cfRule>
    <cfRule type="containsText" dxfId="179" priority="63" operator="containsText" text="Functioning">
      <formula>NOT(ISERROR(SEARCH("Functioning",F325)))</formula>
    </cfRule>
  </conditionalFormatting>
  <conditionalFormatting sqref="F340">
    <cfRule type="beginsWith" dxfId="178" priority="58" stopIfTrue="1" operator="beginsWith" text="Functioning At Risk">
      <formula>LEFT(F340,LEN("Functioning At Risk"))="Functioning At Risk"</formula>
    </cfRule>
    <cfRule type="beginsWith" dxfId="177" priority="59" stopIfTrue="1" operator="beginsWith" text="Not Functioning">
      <formula>LEFT(F340,LEN("Not Functioning"))="Not Functioning"</formula>
    </cfRule>
    <cfRule type="containsText" dxfId="176" priority="60" operator="containsText" text="Functioning">
      <formula>NOT(ISERROR(SEARCH("Functioning",F340)))</formula>
    </cfRule>
  </conditionalFormatting>
  <conditionalFormatting sqref="F337">
    <cfRule type="beginsWith" dxfId="175" priority="55" stopIfTrue="1" operator="beginsWith" text="Functioning At Risk">
      <formula>LEFT(F337,LEN("Functioning At Risk"))="Functioning At Risk"</formula>
    </cfRule>
    <cfRule type="beginsWith" dxfId="174" priority="56" stopIfTrue="1" operator="beginsWith" text="Not Functioning">
      <formula>LEFT(F337,LEN("Not Functioning"))="Not Functioning"</formula>
    </cfRule>
    <cfRule type="containsText" dxfId="173" priority="57" operator="containsText" text="Functioning">
      <formula>NOT(ISERROR(SEARCH("Functioning",F337)))</formula>
    </cfRule>
  </conditionalFormatting>
  <conditionalFormatting sqref="F383 F360:F361 F368:F371">
    <cfRule type="beginsWith" dxfId="172" priority="52" stopIfTrue="1" operator="beginsWith" text="Functioning At Risk">
      <formula>LEFT(F360,LEN("Functioning At Risk"))="Functioning At Risk"</formula>
    </cfRule>
    <cfRule type="beginsWith" dxfId="171" priority="53" stopIfTrue="1" operator="beginsWith" text="Not Functioning">
      <formula>LEFT(F360,LEN("Not Functioning"))="Not Functioning"</formula>
    </cfRule>
    <cfRule type="containsText" dxfId="170" priority="54" operator="containsText" text="Functioning">
      <formula>NOT(ISERROR(SEARCH("Functioning",F360)))</formula>
    </cfRule>
  </conditionalFormatting>
  <conditionalFormatting sqref="F372:F373">
    <cfRule type="beginsWith" dxfId="169" priority="49" stopIfTrue="1" operator="beginsWith" text="Functioning At Risk">
      <formula>LEFT(F372,LEN("Functioning At Risk"))="Functioning At Risk"</formula>
    </cfRule>
    <cfRule type="beginsWith" dxfId="168" priority="50" stopIfTrue="1" operator="beginsWith" text="Not Functioning">
      <formula>LEFT(F372,LEN("Not Functioning"))="Not Functioning"</formula>
    </cfRule>
    <cfRule type="containsText" dxfId="167" priority="51" operator="containsText" text="Functioning">
      <formula>NOT(ISERROR(SEARCH("Functioning",F372)))</formula>
    </cfRule>
  </conditionalFormatting>
  <conditionalFormatting sqref="F392:F393">
    <cfRule type="beginsWith" dxfId="166" priority="46" stopIfTrue="1" operator="beginsWith" text="Functioning At Risk">
      <formula>LEFT(F392,LEN("Functioning At Risk"))="Functioning At Risk"</formula>
    </cfRule>
    <cfRule type="beginsWith" dxfId="165" priority="47" stopIfTrue="1" operator="beginsWith" text="Not Functioning">
      <formula>LEFT(F392,LEN("Not Functioning"))="Not Functioning"</formula>
    </cfRule>
    <cfRule type="containsText" dxfId="164" priority="48" operator="containsText" text="Functioning">
      <formula>NOT(ISERROR(SEARCH("Functioning",F392)))</formula>
    </cfRule>
  </conditionalFormatting>
  <conditionalFormatting sqref="F388:F391">
    <cfRule type="beginsWith" dxfId="163" priority="43" stopIfTrue="1" operator="beginsWith" text="Functioning At Risk">
      <formula>LEFT(F388,LEN("Functioning At Risk"))="Functioning At Risk"</formula>
    </cfRule>
    <cfRule type="beginsWith" dxfId="162" priority="44" stopIfTrue="1" operator="beginsWith" text="Not Functioning">
      <formula>LEFT(F388,LEN("Not Functioning"))="Not Functioning"</formula>
    </cfRule>
    <cfRule type="containsText" dxfId="161" priority="45" operator="containsText" text="Functioning">
      <formula>NOT(ISERROR(SEARCH("Functioning",F388)))</formula>
    </cfRule>
  </conditionalFormatting>
  <conditionalFormatting sqref="F376">
    <cfRule type="beginsWith" dxfId="160" priority="40" stopIfTrue="1" operator="beginsWith" text="Functioning At Risk">
      <formula>LEFT(F376,LEN("Functioning At Risk"))="Functioning At Risk"</formula>
    </cfRule>
    <cfRule type="beginsWith" dxfId="159" priority="41" stopIfTrue="1" operator="beginsWith" text="Not Functioning">
      <formula>LEFT(F376,LEN("Not Functioning"))="Not Functioning"</formula>
    </cfRule>
    <cfRule type="containsText" dxfId="158" priority="42" operator="containsText" text="Functioning">
      <formula>NOT(ISERROR(SEARCH("Functioning",F376)))</formula>
    </cfRule>
  </conditionalFormatting>
  <conditionalFormatting sqref="F362:F363">
    <cfRule type="beginsWith" dxfId="157" priority="37" stopIfTrue="1" operator="beginsWith" text="Functioning At Risk">
      <formula>LEFT(F362,LEN("Functioning At Risk"))="Functioning At Risk"</formula>
    </cfRule>
    <cfRule type="beginsWith" dxfId="156" priority="38" stopIfTrue="1" operator="beginsWith" text="Not Functioning">
      <formula>LEFT(F362,LEN("Not Functioning"))="Not Functioning"</formula>
    </cfRule>
    <cfRule type="containsText" dxfId="155" priority="39" operator="containsText" text="Functioning">
      <formula>NOT(ISERROR(SEARCH("Functioning",F362)))</formula>
    </cfRule>
  </conditionalFormatting>
  <conditionalFormatting sqref="F365">
    <cfRule type="beginsWith" dxfId="154" priority="34" stopIfTrue="1" operator="beginsWith" text="Functioning At Risk">
      <formula>LEFT(F365,LEN("Functioning At Risk"))="Functioning At Risk"</formula>
    </cfRule>
    <cfRule type="beginsWith" dxfId="153" priority="35" stopIfTrue="1" operator="beginsWith" text="Not Functioning">
      <formula>LEFT(F365,LEN("Not Functioning"))="Not Functioning"</formula>
    </cfRule>
    <cfRule type="containsText" dxfId="152" priority="36" operator="containsText" text="Functioning">
      <formula>NOT(ISERROR(SEARCH("Functioning",F365)))</formula>
    </cfRule>
  </conditionalFormatting>
  <conditionalFormatting sqref="F380">
    <cfRule type="beginsWith" dxfId="151" priority="31" stopIfTrue="1" operator="beginsWith" text="Functioning At Risk">
      <formula>LEFT(F380,LEN("Functioning At Risk"))="Functioning At Risk"</formula>
    </cfRule>
    <cfRule type="beginsWith" dxfId="150" priority="32" stopIfTrue="1" operator="beginsWith" text="Not Functioning">
      <formula>LEFT(F380,LEN("Not Functioning"))="Not Functioning"</formula>
    </cfRule>
    <cfRule type="containsText" dxfId="149" priority="33" operator="containsText" text="Functioning">
      <formula>NOT(ISERROR(SEARCH("Functioning",F380)))</formula>
    </cfRule>
  </conditionalFormatting>
  <conditionalFormatting sqref="F377">
    <cfRule type="beginsWith" dxfId="148" priority="28" stopIfTrue="1" operator="beginsWith" text="Functioning At Risk">
      <formula>LEFT(F377,LEN("Functioning At Risk"))="Functioning At Risk"</formula>
    </cfRule>
    <cfRule type="beginsWith" dxfId="147" priority="29" stopIfTrue="1" operator="beginsWith" text="Not Functioning">
      <formula>LEFT(F377,LEN("Not Functioning"))="Not Functioning"</formula>
    </cfRule>
    <cfRule type="containsText" dxfId="146" priority="30" operator="containsText" text="Functioning">
      <formula>NOT(ISERROR(SEARCH("Functioning",F377)))</formula>
    </cfRule>
  </conditionalFormatting>
  <conditionalFormatting sqref="F423 F400:F401 F408:F411">
    <cfRule type="beginsWith" dxfId="145" priority="25" stopIfTrue="1" operator="beginsWith" text="Functioning At Risk">
      <formula>LEFT(F400,LEN("Functioning At Risk"))="Functioning At Risk"</formula>
    </cfRule>
    <cfRule type="beginsWith" dxfId="144" priority="26" stopIfTrue="1" operator="beginsWith" text="Not Functioning">
      <formula>LEFT(F400,LEN("Not Functioning"))="Not Functioning"</formula>
    </cfRule>
    <cfRule type="containsText" dxfId="143" priority="27" operator="containsText" text="Functioning">
      <formula>NOT(ISERROR(SEARCH("Functioning",F400)))</formula>
    </cfRule>
  </conditionalFormatting>
  <conditionalFormatting sqref="F412:F413">
    <cfRule type="beginsWith" dxfId="142" priority="22" stopIfTrue="1" operator="beginsWith" text="Functioning At Risk">
      <formula>LEFT(F412,LEN("Functioning At Risk"))="Functioning At Risk"</formula>
    </cfRule>
    <cfRule type="beginsWith" dxfId="141" priority="23" stopIfTrue="1" operator="beginsWith" text="Not Functioning">
      <formula>LEFT(F412,LEN("Not Functioning"))="Not Functioning"</formula>
    </cfRule>
    <cfRule type="containsText" dxfId="140" priority="24" operator="containsText" text="Functioning">
      <formula>NOT(ISERROR(SEARCH("Functioning",F412)))</formula>
    </cfRule>
  </conditionalFormatting>
  <conditionalFormatting sqref="F432:F433">
    <cfRule type="beginsWith" dxfId="139" priority="19" stopIfTrue="1" operator="beginsWith" text="Functioning At Risk">
      <formula>LEFT(F432,LEN("Functioning At Risk"))="Functioning At Risk"</formula>
    </cfRule>
    <cfRule type="beginsWith" dxfId="138" priority="20" stopIfTrue="1" operator="beginsWith" text="Not Functioning">
      <formula>LEFT(F432,LEN("Not Functioning"))="Not Functioning"</formula>
    </cfRule>
    <cfRule type="containsText" dxfId="137" priority="21" operator="containsText" text="Functioning">
      <formula>NOT(ISERROR(SEARCH("Functioning",F432)))</formula>
    </cfRule>
  </conditionalFormatting>
  <conditionalFormatting sqref="F428:F431">
    <cfRule type="beginsWith" dxfId="136" priority="16" stopIfTrue="1" operator="beginsWith" text="Functioning At Risk">
      <formula>LEFT(F428,LEN("Functioning At Risk"))="Functioning At Risk"</formula>
    </cfRule>
    <cfRule type="beginsWith" dxfId="135" priority="17" stopIfTrue="1" operator="beginsWith" text="Not Functioning">
      <formula>LEFT(F428,LEN("Not Functioning"))="Not Functioning"</formula>
    </cfRule>
    <cfRule type="containsText" dxfId="134" priority="18" operator="containsText" text="Functioning">
      <formula>NOT(ISERROR(SEARCH("Functioning",F428)))</formula>
    </cfRule>
  </conditionalFormatting>
  <conditionalFormatting sqref="F416">
    <cfRule type="beginsWith" dxfId="133" priority="13" stopIfTrue="1" operator="beginsWith" text="Functioning At Risk">
      <formula>LEFT(F416,LEN("Functioning At Risk"))="Functioning At Risk"</formula>
    </cfRule>
    <cfRule type="beginsWith" dxfId="132" priority="14" stopIfTrue="1" operator="beginsWith" text="Not Functioning">
      <formula>LEFT(F416,LEN("Not Functioning"))="Not Functioning"</formula>
    </cfRule>
    <cfRule type="containsText" dxfId="131" priority="15" operator="containsText" text="Functioning">
      <formula>NOT(ISERROR(SEARCH("Functioning",F416)))</formula>
    </cfRule>
  </conditionalFormatting>
  <conditionalFormatting sqref="F402:F403">
    <cfRule type="beginsWith" dxfId="130" priority="10" stopIfTrue="1" operator="beginsWith" text="Functioning At Risk">
      <formula>LEFT(F402,LEN("Functioning At Risk"))="Functioning At Risk"</formula>
    </cfRule>
    <cfRule type="beginsWith" dxfId="129" priority="11" stopIfTrue="1" operator="beginsWith" text="Not Functioning">
      <formula>LEFT(F402,LEN("Not Functioning"))="Not Functioning"</formula>
    </cfRule>
    <cfRule type="containsText" dxfId="128" priority="12" operator="containsText" text="Functioning">
      <formula>NOT(ISERROR(SEARCH("Functioning",F402)))</formula>
    </cfRule>
  </conditionalFormatting>
  <conditionalFormatting sqref="F405">
    <cfRule type="beginsWith" dxfId="127" priority="7" stopIfTrue="1" operator="beginsWith" text="Functioning At Risk">
      <formula>LEFT(F405,LEN("Functioning At Risk"))="Functioning At Risk"</formula>
    </cfRule>
    <cfRule type="beginsWith" dxfId="126" priority="8" stopIfTrue="1" operator="beginsWith" text="Not Functioning">
      <formula>LEFT(F405,LEN("Not Functioning"))="Not Functioning"</formula>
    </cfRule>
    <cfRule type="containsText" dxfId="125" priority="9" operator="containsText" text="Functioning">
      <formula>NOT(ISERROR(SEARCH("Functioning",F405)))</formula>
    </cfRule>
  </conditionalFormatting>
  <conditionalFormatting sqref="F420">
    <cfRule type="beginsWith" dxfId="124" priority="4" stopIfTrue="1" operator="beginsWith" text="Functioning At Risk">
      <formula>LEFT(F420,LEN("Functioning At Risk"))="Functioning At Risk"</formula>
    </cfRule>
    <cfRule type="beginsWith" dxfId="123" priority="5" stopIfTrue="1" operator="beginsWith" text="Not Functioning">
      <formula>LEFT(F420,LEN("Not Functioning"))="Not Functioning"</formula>
    </cfRule>
    <cfRule type="containsText" dxfId="122" priority="6" operator="containsText" text="Functioning">
      <formula>NOT(ISERROR(SEARCH("Functioning",F420)))</formula>
    </cfRule>
  </conditionalFormatting>
  <conditionalFormatting sqref="F417">
    <cfRule type="beginsWith" dxfId="121" priority="1" stopIfTrue="1" operator="beginsWith" text="Functioning At Risk">
      <formula>LEFT(F417,LEN("Functioning At Risk"))="Functioning At Risk"</formula>
    </cfRule>
    <cfRule type="beginsWith" dxfId="120" priority="2" stopIfTrue="1" operator="beginsWith" text="Not Functioning">
      <formula>LEFT(F417,LEN("Not Functioning"))="Not Functioning"</formula>
    </cfRule>
    <cfRule type="containsText" dxfId="119" priority="3" operator="containsText" text="Functioning">
      <formula>NOT(ISERROR(SEARCH("Functioning",F417)))</formula>
    </cfRule>
  </conditionalFormatting>
  <dataValidations count="11">
    <dataValidation allowBlank="1" showErrorMessage="1" prompt="The user should input a value for either basal area or density, not both. " sqref="E21:E22 E376:E377 E336:E337 E296:E297 E256:E257 E216:E217 E177:E178 E138:E139 E99:E100 E416:E417 E60:E61"/>
    <dataValidation type="decimal" allowBlank="1" showErrorMessage="1" prompt="The user should input a value for either basal area or density, not both. " sqref="E372:E375 E332:E335 E292:E295 E252:E255 E212:E215 E173:E176 E134:E137 E95:E98 E56:E59 E412:E415 E17:E20">
      <formula1>0</formula1>
      <formula2>5280</formula2>
    </dataValidation>
    <dataValidation allowBlank="1" showErrorMessage="1" prompt="The user can only input a value for either leaf litter processing rate or shredders for organic matter, not both. " sqref="E30 E69 E108 E147 E186 E225 E265 E305 E345 E385 E425"/>
    <dataValidation allowBlank="1" showErrorMessage="1" sqref="E23 E378 E62 E101 E140 E179 E218 E258 E298 E338 E418 E12 E51 E90 E129 E168 E207 E247 E287 E327 E367 E407"/>
    <dataValidation type="list" allowBlank="1" showInputMessage="1" showErrorMessage="1" prompt="Select the dominant BEHI/NBS.  _x000a_If erosion rate was measured select blank. The user should only input a value for either BEHI/NBS or Erosion Rate, not both. " sqref="E325 E365 E10 E49 E88 E127 E166 E205 E245 E285 E405">
      <formula1>BEHI.NBS</formula1>
    </dataValidation>
    <dataValidation allowBlank="1" showInputMessage="1" showErrorMessage="1" prompt="The user should input a value for either BEHI/NBS or Erosion Rate, not both. " sqref="E324 E364 E9 E48 E87 E126 E165 E204 E244 E284 E404"/>
    <dataValidation allowBlank="1" showInputMessage="1" showErrorMessage="1" prompt="This measurement method should be used in combination with either Erosion Rate or Dominant BEHI/NBS." sqref="E326 E366 E11 E50 E89 E128 E167 E206 E246 E286 E406"/>
    <dataValidation type="decimal" allowBlank="1" showInputMessage="1" showErrorMessage="1" sqref="E248:E251 E288:E291 E368:E371 E13:E16 E52:E55 E91:E94 E130:E133 E169:E172 E208:E211 E328:E331 E408:E411">
      <formula1>0</formula1>
      <formula2>5280</formula2>
    </dataValidation>
    <dataValidation allowBlank="1" showErrorMessage="1" prompt="Select catchment conditon level from the completed catchment assessment form. " sqref="E398:E399 E42:E43 E81:E82 E120:E121 E159:E160 E198:E199 E238:E239 E278:E279 E318:E319 E358:E359 E3:E4"/>
    <dataValidation allowBlank="1" showInputMessage="1" showErrorMessage="1" prompt="The user should not input values for all 4 measurement methods. If the user is not using TMI, then the remaining 3 measurement methods should be used together." sqref="E33:E36 E72:E75 E111:E114 E150:E153 E189:E192 E228:E231 E268:E271 E308:E311 E348:E351 E388:E391 E428:E431"/>
    <dataValidation allowBlank="1" showInputMessage="1" showErrorMessage="1" prompt="The user should only input a value for either LWDI or # Pieces, not both. " sqref="E7:E8 E46:E47 E85:E86 E124:E125 E163:E164 E202:E203 E242:E243 E282:E283 E322:E323 E362:E363 E402:E403"/>
  </dataValidations>
  <pageMargins left="0.25" right="0.25" top="0.75" bottom="0.75" header="0.3" footer="0.3"/>
  <pageSetup paperSize="3" fitToWidth="0" fitToHeight="0" orientation="landscape" r:id="rId1"/>
  <headerFooter>
    <oddHeader>&amp;C&amp;"-,Bold"TN SQT v1.0
Monitoring Data Spreadsheet Reach 5</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ignoredErrors>
    <ignoredError sqref="G425" formula="1"/>
  </ignoredErrors>
  <extLst>
    <ext xmlns:x14="http://schemas.microsoft.com/office/spreadsheetml/2009/9/main" uri="{78C0D931-6437-407d-A8EE-F0AAD7539E65}">
      <x14:conditionalFormattings>
        <x14:conditionalFormatting xmlns:xm="http://schemas.microsoft.com/office/excel/2006/main">
          <x14:cfRule type="beginsWith" priority="889" stopIfTrue="1" operator="beginsWith" text="Functioning At Risk" id="{6469B200-D1B1-47CD-8316-DA271929D35D}">
            <xm:f>LEFT('Monitoring Data R2'!H39,LEN("Functioning At Risk"))="Functioning At Risk"</xm:f>
            <x14:dxf>
              <fill>
                <patternFill>
                  <bgColor rgb="FFFFFF00"/>
                </patternFill>
              </fill>
            </x14:dxf>
          </x14:cfRule>
          <x14:cfRule type="beginsWith" priority="890" stopIfTrue="1" operator="beginsWith" text="Not Functioning" id="{114FE222-08B7-4655-ABFA-B8C8056B44F5}">
            <xm:f>LEFT('Monitoring Data R2'!H39,LEN("Not Functioning"))="Not Functioning"</xm:f>
            <x14:dxf>
              <font>
                <strike val="0"/>
                <color auto="1"/>
              </font>
              <fill>
                <patternFill patternType="solid">
                  <bgColor rgb="FFFF0000"/>
                </patternFill>
              </fill>
            </x14:dxf>
          </x14:cfRule>
          <x14:cfRule type="containsText" priority="891" operator="containsText" text="Functioning" id="{BFCAC29B-0AC0-4CF1-A583-D288389E39E2}">
            <xm:f>NOT(ISERROR(SEARCH("Functioning",'Monitoring Data R2'!H39)))</xm:f>
            <x14:dxf>
              <fill>
                <patternFill>
                  <bgColor rgb="FF00B050"/>
                </patternFill>
              </fill>
            </x14:dxf>
          </x14:cfRule>
          <xm:sqref>H39:K39</xm:sqref>
        </x14:conditionalFormatting>
        <x14:conditionalFormatting xmlns:xm="http://schemas.microsoft.com/office/excel/2006/main">
          <x14:cfRule type="expression" priority="550" id="{5F1EC1A6-4DCA-49C2-B65B-0A570003FE4D}">
            <xm:f>'Quantification Tool R5'!$B$18="Ephemeral"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5"/>
  <sheetViews>
    <sheetView zoomScale="70" zoomScaleNormal="70" zoomScalePageLayoutView="70" workbookViewId="0">
      <selection activeCell="A22" sqref="A22:O22"/>
    </sheetView>
  </sheetViews>
  <sheetFormatPr defaultColWidth="9.109375" defaultRowHeight="14.4" x14ac:dyDescent="0.3"/>
  <cols>
    <col min="1" max="1" width="19.6640625" style="14" bestFit="1" customWidth="1"/>
    <col min="2" max="2" width="28" style="14" customWidth="1"/>
    <col min="3" max="3" width="14.6640625" style="14" customWidth="1"/>
    <col min="4" max="4" width="14.33203125" style="14" customWidth="1"/>
    <col min="5" max="5" width="10.33203125" style="14" customWidth="1"/>
    <col min="6" max="15" width="10.6640625" style="14" customWidth="1"/>
    <col min="16" max="16384" width="9.109375" style="14"/>
  </cols>
  <sheetData>
    <row r="2" spans="1:15" ht="21" x14ac:dyDescent="0.3">
      <c r="A2" s="625" t="s">
        <v>118</v>
      </c>
      <c r="B2" s="626"/>
      <c r="C2" s="626"/>
      <c r="D2" s="626"/>
      <c r="E2" s="626"/>
      <c r="F2" s="626"/>
      <c r="G2" s="626"/>
      <c r="H2" s="626"/>
      <c r="I2" s="626"/>
      <c r="J2" s="626"/>
      <c r="K2" s="626"/>
      <c r="L2" s="626"/>
      <c r="M2" s="626"/>
      <c r="N2" s="626"/>
      <c r="O2" s="627"/>
    </row>
    <row r="3" spans="1:15" ht="18" x14ac:dyDescent="0.3">
      <c r="A3" s="648" t="s">
        <v>1</v>
      </c>
      <c r="B3" s="648" t="s">
        <v>2</v>
      </c>
      <c r="C3" s="653" t="s">
        <v>66</v>
      </c>
      <c r="D3" s="653" t="s">
        <v>67</v>
      </c>
      <c r="E3" s="648" t="s">
        <v>132</v>
      </c>
      <c r="F3" s="650" t="s">
        <v>135</v>
      </c>
      <c r="G3" s="651"/>
      <c r="H3" s="651"/>
      <c r="I3" s="651"/>
      <c r="J3" s="651"/>
      <c r="K3" s="651"/>
      <c r="L3" s="651"/>
      <c r="M3" s="651"/>
      <c r="N3" s="651"/>
      <c r="O3" s="652"/>
    </row>
    <row r="4" spans="1:15" ht="18" x14ac:dyDescent="0.3">
      <c r="A4" s="649"/>
      <c r="B4" s="649"/>
      <c r="C4" s="654"/>
      <c r="D4" s="654"/>
      <c r="E4" s="649"/>
      <c r="F4" s="304" t="e">
        <f>IF('Monitoring Data R5'!B40="",#N/A,'Monitoring Data R5'!B40)</f>
        <v>#N/A</v>
      </c>
      <c r="G4" s="304" t="e">
        <f>IF('Monitoring Data R5'!B79="",#N/A,'Monitoring Data R5'!B79)</f>
        <v>#N/A</v>
      </c>
      <c r="H4" s="304" t="e">
        <f>IF('Monitoring Data R5'!B118="",#N/A,'Monitoring Data R5'!B118)</f>
        <v>#N/A</v>
      </c>
      <c r="I4" s="304" t="e">
        <f>IF('Monitoring Data R5'!B157="",#N/A,'Monitoring Data R5'!B157)</f>
        <v>#N/A</v>
      </c>
      <c r="J4" s="304" t="e">
        <f>IF('Monitoring Data R5'!B196="",#N/A,'Monitoring Data R5'!B196)</f>
        <v>#N/A</v>
      </c>
      <c r="K4" s="304" t="e">
        <f>IF('Monitoring Data R5'!B236="",#N/A,'Monitoring Data R5'!B236)</f>
        <v>#N/A</v>
      </c>
      <c r="L4" s="304" t="e">
        <f>IF('Monitoring Data R5'!B276="",#N/A,'Monitoring Data R5'!B276)</f>
        <v>#N/A</v>
      </c>
      <c r="M4" s="304" t="e">
        <f>IF('Monitoring Data R5'!B316="",#N/A,'Monitoring Data R5'!B316)</f>
        <v>#N/A</v>
      </c>
      <c r="N4" s="304" t="e">
        <f>IF('Monitoring Data R5'!B356="",#N/A,'Monitoring Data R5'!B356)</f>
        <v>#N/A</v>
      </c>
      <c r="O4" s="304" t="e">
        <f>IF('Monitoring Data R5'!B396="",#N/A,'Monitoring Data R5'!B396)</f>
        <v>#N/A</v>
      </c>
    </row>
    <row r="5" spans="1:15" ht="15.6" x14ac:dyDescent="0.3">
      <c r="A5" s="540" t="s">
        <v>60</v>
      </c>
      <c r="B5" s="75" t="s">
        <v>86</v>
      </c>
      <c r="C5" s="149" t="str">
        <f>'Quantification Tool R5'!C26</f>
        <v/>
      </c>
      <c r="D5" s="149" t="str">
        <f>'Quantification Tool R5'!D26</f>
        <v/>
      </c>
      <c r="E5" s="48" t="str">
        <f>'Monitoring Data R5'!G3</f>
        <v/>
      </c>
      <c r="F5" s="48" t="str">
        <f>'Monitoring Data R5'!G42</f>
        <v/>
      </c>
      <c r="G5" s="48" t="str">
        <f>'Monitoring Data R5'!G81</f>
        <v/>
      </c>
      <c r="H5" s="48" t="str">
        <f>'Monitoring Data R5'!G120</f>
        <v/>
      </c>
      <c r="I5" s="48" t="str">
        <f>'Monitoring Data R5'!G159</f>
        <v/>
      </c>
      <c r="J5" s="48" t="str">
        <f>'Monitoring Data R5'!G198</f>
        <v/>
      </c>
      <c r="K5" s="48" t="str">
        <f>'Monitoring Data R5'!G238</f>
        <v/>
      </c>
      <c r="L5" s="48" t="str">
        <f>'Monitoring Data R5'!G278</f>
        <v/>
      </c>
      <c r="M5" s="48" t="str">
        <f>'Monitoring Data R5'!G318</f>
        <v/>
      </c>
      <c r="N5" s="48" t="str">
        <f>'Monitoring Data R5'!G358</f>
        <v/>
      </c>
      <c r="O5" s="48" t="str">
        <f>'Monitoring Data R5'!G398</f>
        <v/>
      </c>
    </row>
    <row r="6" spans="1:15" ht="15.6" x14ac:dyDescent="0.3">
      <c r="A6" s="541"/>
      <c r="B6" s="75" t="s">
        <v>128</v>
      </c>
      <c r="C6" s="149" t="str">
        <f>'Quantification Tool R5'!C27</f>
        <v/>
      </c>
      <c r="D6" s="149" t="str">
        <f>'Quantification Tool R5'!D27</f>
        <v/>
      </c>
      <c r="E6" s="48" t="str">
        <f>'Monitoring Data R5'!G4</f>
        <v/>
      </c>
      <c r="F6" s="48" t="str">
        <f>'Monitoring Data R5'!G43</f>
        <v/>
      </c>
      <c r="G6" s="48" t="str">
        <f>'Monitoring Data R5'!G82</f>
        <v/>
      </c>
      <c r="H6" s="48" t="str">
        <f>'Monitoring Data R5'!G121</f>
        <v/>
      </c>
      <c r="I6" s="48" t="str">
        <f>'Monitoring Data R5'!G160</f>
        <v/>
      </c>
      <c r="J6" s="48" t="str">
        <f>'Monitoring Data R5'!G199</f>
        <v/>
      </c>
      <c r="K6" s="48" t="str">
        <f>'Monitoring Data R5'!G239</f>
        <v/>
      </c>
      <c r="L6" s="48" t="str">
        <f>'Monitoring Data R5'!G279</f>
        <v/>
      </c>
      <c r="M6" s="48" t="str">
        <f>'Monitoring Data R5'!G319</f>
        <v/>
      </c>
      <c r="N6" s="48" t="str">
        <f>'Monitoring Data R5'!G359</f>
        <v/>
      </c>
      <c r="O6" s="48" t="str">
        <f>'Monitoring Data R5'!G399</f>
        <v/>
      </c>
    </row>
    <row r="7" spans="1:15" ht="15.6" x14ac:dyDescent="0.3">
      <c r="A7" s="76" t="s">
        <v>6</v>
      </c>
      <c r="B7" s="76" t="s">
        <v>7</v>
      </c>
      <c r="C7" s="149" t="str">
        <f>'Quantification Tool R5'!C28</f>
        <v/>
      </c>
      <c r="D7" s="149" t="str">
        <f>'Quantification Tool R5'!D28</f>
        <v/>
      </c>
      <c r="E7" s="48" t="str">
        <f>'Monitoring Data R5'!G5</f>
        <v/>
      </c>
      <c r="F7" s="48" t="str">
        <f>'Monitoring Data R5'!G44</f>
        <v/>
      </c>
      <c r="G7" s="48" t="str">
        <f>'Monitoring Data R5'!G83</f>
        <v/>
      </c>
      <c r="H7" s="48" t="str">
        <f>'Monitoring Data R5'!G122</f>
        <v/>
      </c>
      <c r="I7" s="48" t="str">
        <f>'Monitoring Data R5'!G161</f>
        <v/>
      </c>
      <c r="J7" s="48" t="str">
        <f>'Monitoring Data R5'!G200</f>
        <v/>
      </c>
      <c r="K7" s="48" t="str">
        <f>'Monitoring Data R5'!G240</f>
        <v/>
      </c>
      <c r="L7" s="48" t="str">
        <f>'Monitoring Data R5'!G280</f>
        <v/>
      </c>
      <c r="M7" s="48" t="str">
        <f>'Monitoring Data R5'!G320</f>
        <v/>
      </c>
      <c r="N7" s="48" t="str">
        <f>'Monitoring Data R5'!G360</f>
        <v/>
      </c>
      <c r="O7" s="48" t="str">
        <f>'Monitoring Data R5'!G400</f>
        <v/>
      </c>
    </row>
    <row r="8" spans="1:15" ht="15.6" x14ac:dyDescent="0.3">
      <c r="A8" s="526" t="s">
        <v>26</v>
      </c>
      <c r="B8" s="77" t="s">
        <v>27</v>
      </c>
      <c r="C8" s="149" t="str">
        <f>'Quantification Tool R5'!C29</f>
        <v/>
      </c>
      <c r="D8" s="149" t="str">
        <f>'Quantification Tool R5'!D29</f>
        <v/>
      </c>
      <c r="E8" s="48" t="str">
        <f>'Monitoring Data R5'!G7</f>
        <v/>
      </c>
      <c r="F8" s="48" t="str">
        <f>'Monitoring Data R5'!G46</f>
        <v/>
      </c>
      <c r="G8" s="48" t="str">
        <f>'Monitoring Data R5'!G85</f>
        <v/>
      </c>
      <c r="H8" s="48" t="str">
        <f>'Monitoring Data R5'!G124</f>
        <v/>
      </c>
      <c r="I8" s="48" t="str">
        <f>'Monitoring Data R5'!G163</f>
        <v/>
      </c>
      <c r="J8" s="48" t="str">
        <f>'Monitoring Data R5'!G202</f>
        <v/>
      </c>
      <c r="K8" s="48" t="str">
        <f>'Monitoring Data R5'!G242</f>
        <v/>
      </c>
      <c r="L8" s="48" t="str">
        <f>'Monitoring Data R5'!G282</f>
        <v/>
      </c>
      <c r="M8" s="48" t="str">
        <f>'Monitoring Data R5'!G322</f>
        <v/>
      </c>
      <c r="N8" s="48" t="str">
        <f>'Monitoring Data R5'!G362</f>
        <v/>
      </c>
      <c r="O8" s="48" t="str">
        <f>'Monitoring Data R5'!G402</f>
        <v/>
      </c>
    </row>
    <row r="9" spans="1:15" ht="15.6" x14ac:dyDescent="0.3">
      <c r="A9" s="520"/>
      <c r="B9" s="77" t="s">
        <v>395</v>
      </c>
      <c r="C9" s="149" t="str">
        <f>'Quantification Tool R5'!C30</f>
        <v/>
      </c>
      <c r="D9" s="149" t="str">
        <f>'Quantification Tool R5'!D30</f>
        <v/>
      </c>
      <c r="E9" s="48" t="str">
        <f>'Monitoring Data R5'!G9</f>
        <v/>
      </c>
      <c r="F9" s="48" t="str">
        <f>'Monitoring Data R5'!G48</f>
        <v/>
      </c>
      <c r="G9" s="48" t="str">
        <f>'Monitoring Data R5'!G87</f>
        <v/>
      </c>
      <c r="H9" s="48" t="str">
        <f>'Monitoring Data R5'!G126</f>
        <v/>
      </c>
      <c r="I9" s="48" t="str">
        <f>'Monitoring Data R5'!G165</f>
        <v/>
      </c>
      <c r="J9" s="48" t="str">
        <f>'Monitoring Data R5'!G204</f>
        <v/>
      </c>
      <c r="K9" s="48" t="str">
        <f>'Monitoring Data R5'!G244</f>
        <v/>
      </c>
      <c r="L9" s="48" t="str">
        <f>'Monitoring Data R5'!G284</f>
        <v/>
      </c>
      <c r="M9" s="48" t="str">
        <f>'Monitoring Data R5'!G324</f>
        <v/>
      </c>
      <c r="N9" s="48" t="str">
        <f>'Monitoring Data R5'!G364</f>
        <v/>
      </c>
      <c r="O9" s="48" t="str">
        <f>'Monitoring Data R5'!G404</f>
        <v/>
      </c>
    </row>
    <row r="10" spans="1:15" ht="15.6" x14ac:dyDescent="0.3">
      <c r="A10" s="520"/>
      <c r="B10" s="77" t="s">
        <v>50</v>
      </c>
      <c r="C10" s="149" t="str">
        <f>'Quantification Tool R5'!C31</f>
        <v/>
      </c>
      <c r="D10" s="149" t="str">
        <f>'Quantification Tool R5'!D31</f>
        <v/>
      </c>
      <c r="E10" s="48" t="str">
        <f>'Monitoring Data R5'!G13</f>
        <v/>
      </c>
      <c r="F10" s="48" t="str">
        <f>'Monitoring Data R5'!G52</f>
        <v/>
      </c>
      <c r="G10" s="48" t="str">
        <f>'Monitoring Data R5'!G91</f>
        <v/>
      </c>
      <c r="H10" s="48" t="str">
        <f>'Monitoring Data R5'!G130</f>
        <v/>
      </c>
      <c r="I10" s="48" t="str">
        <f>'Monitoring Data R5'!G169</f>
        <v/>
      </c>
      <c r="J10" s="48" t="str">
        <f>'Monitoring Data R5'!G208</f>
        <v/>
      </c>
      <c r="K10" s="48" t="str">
        <f>'Monitoring Data R5'!G248</f>
        <v/>
      </c>
      <c r="L10" s="48" t="str">
        <f>'Monitoring Data R5'!G288</f>
        <v/>
      </c>
      <c r="M10" s="48" t="str">
        <f>'Monitoring Data R5'!G328</f>
        <v/>
      </c>
      <c r="N10" s="48" t="str">
        <f>'Monitoring Data R5'!G368</f>
        <v/>
      </c>
      <c r="O10" s="48" t="str">
        <f>'Monitoring Data R5'!G408</f>
        <v/>
      </c>
    </row>
    <row r="11" spans="1:15" ht="15.6" x14ac:dyDescent="0.3">
      <c r="A11" s="520"/>
      <c r="B11" s="77" t="s">
        <v>108</v>
      </c>
      <c r="C11" s="149" t="str">
        <f>'Quantification Tool R5'!C32</f>
        <v/>
      </c>
      <c r="D11" s="149" t="str">
        <f>'Quantification Tool R5'!D32</f>
        <v/>
      </c>
      <c r="E11" s="48" t="str">
        <f>'Monitoring Data R5'!G23</f>
        <v/>
      </c>
      <c r="F11" s="48" t="str">
        <f>'Monitoring Data R5'!G62</f>
        <v/>
      </c>
      <c r="G11" s="48" t="str">
        <f>'Monitoring Data R5'!G101</f>
        <v/>
      </c>
      <c r="H11" s="48" t="str">
        <f>'Monitoring Data R5'!G140</f>
        <v/>
      </c>
      <c r="I11" s="48" t="str">
        <f>'Monitoring Data R5'!G179</f>
        <v/>
      </c>
      <c r="J11" s="48" t="str">
        <f>'Monitoring Data R5'!G218</f>
        <v/>
      </c>
      <c r="K11" s="48" t="str">
        <f>'Monitoring Data R5'!G258</f>
        <v/>
      </c>
      <c r="L11" s="48" t="str">
        <f>'Monitoring Data R5'!G298</f>
        <v/>
      </c>
      <c r="M11" s="48" t="str">
        <f>'Monitoring Data R5'!G338</f>
        <v/>
      </c>
      <c r="N11" s="48" t="str">
        <f>'Monitoring Data R5'!G378</f>
        <v/>
      </c>
      <c r="O11" s="48" t="str">
        <f>'Monitoring Data R5'!G418</f>
        <v/>
      </c>
    </row>
    <row r="12" spans="1:15" ht="15.6" x14ac:dyDescent="0.3">
      <c r="A12" s="520"/>
      <c r="B12" s="77" t="s">
        <v>51</v>
      </c>
      <c r="C12" s="149" t="str">
        <f>'Quantification Tool R5'!C33</f>
        <v/>
      </c>
      <c r="D12" s="149" t="str">
        <f>'Quantification Tool R5'!D33</f>
        <v/>
      </c>
      <c r="E12" s="48" t="str">
        <f>'Monitoring Data R5'!G24</f>
        <v/>
      </c>
      <c r="F12" s="48" t="str">
        <f>'Monitoring Data R5'!G63</f>
        <v/>
      </c>
      <c r="G12" s="48" t="str">
        <f>'Monitoring Data R5'!G102</f>
        <v/>
      </c>
      <c r="H12" s="48" t="str">
        <f>'Monitoring Data R5'!G141</f>
        <v/>
      </c>
      <c r="I12" s="48" t="str">
        <f>'Monitoring Data R5'!G180</f>
        <v/>
      </c>
      <c r="J12" s="48" t="str">
        <f>'Monitoring Data R5'!G219</f>
        <v/>
      </c>
      <c r="K12" s="48" t="str">
        <f>'Monitoring Data R5'!G259</f>
        <v/>
      </c>
      <c r="L12" s="48" t="str">
        <f>'Monitoring Data R5'!G299</f>
        <v/>
      </c>
      <c r="M12" s="48" t="str">
        <f>'Monitoring Data R5'!G339</f>
        <v/>
      </c>
      <c r="N12" s="48" t="str">
        <f>'Monitoring Data R5'!G379</f>
        <v/>
      </c>
      <c r="O12" s="48" t="str">
        <f>'Monitoring Data R5'!G419</f>
        <v/>
      </c>
    </row>
    <row r="13" spans="1:15" ht="15.6" x14ac:dyDescent="0.3">
      <c r="A13" s="521"/>
      <c r="B13" s="77" t="s">
        <v>55</v>
      </c>
      <c r="C13" s="149" t="str">
        <f>'Quantification Tool R5'!C34</f>
        <v/>
      </c>
      <c r="D13" s="149" t="str">
        <f>'Quantification Tool R5'!D34</f>
        <v/>
      </c>
      <c r="E13" s="48" t="str">
        <f>'Monitoring Data R5'!G28</f>
        <v/>
      </c>
      <c r="F13" s="48" t="str">
        <f>'Monitoring Data R5'!G67</f>
        <v/>
      </c>
      <c r="G13" s="48" t="str">
        <f>'Monitoring Data R5'!G106</f>
        <v/>
      </c>
      <c r="H13" s="48" t="str">
        <f>'Monitoring Data R5'!G145</f>
        <v/>
      </c>
      <c r="I13" s="48" t="str">
        <f>'Monitoring Data R5'!G184</f>
        <v/>
      </c>
      <c r="J13" s="48" t="str">
        <f>'Monitoring Data R5'!G223</f>
        <v/>
      </c>
      <c r="K13" s="48" t="str">
        <f>'Monitoring Data R5'!G263</f>
        <v/>
      </c>
      <c r="L13" s="48" t="str">
        <f>'Monitoring Data R5'!G303</f>
        <v/>
      </c>
      <c r="M13" s="48" t="str">
        <f>'Monitoring Data R5'!G343</f>
        <v/>
      </c>
      <c r="N13" s="48" t="str">
        <f>'Monitoring Data R5'!G383</f>
        <v/>
      </c>
      <c r="O13" s="48" t="str">
        <f>'Monitoring Data R5'!G423</f>
        <v/>
      </c>
    </row>
    <row r="14" spans="1:15" ht="15.6" x14ac:dyDescent="0.3">
      <c r="A14" s="537" t="s">
        <v>58</v>
      </c>
      <c r="B14" s="67" t="s">
        <v>88</v>
      </c>
      <c r="C14" s="149" t="str">
        <f>'Quantification Tool R5'!C35</f>
        <v/>
      </c>
      <c r="D14" s="149" t="str">
        <f>'Quantification Tool R5'!D35</f>
        <v/>
      </c>
      <c r="E14" s="48" t="str">
        <f>'Monitoring Data R5'!G29</f>
        <v/>
      </c>
      <c r="F14" s="48" t="str">
        <f>'Monitoring Data R5'!G68</f>
        <v/>
      </c>
      <c r="G14" s="48" t="str">
        <f>'Monitoring Data R5'!G107</f>
        <v/>
      </c>
      <c r="H14" s="48" t="str">
        <f>'Monitoring Data R5'!G146</f>
        <v/>
      </c>
      <c r="I14" s="48" t="str">
        <f>'Monitoring Data R5'!G185</f>
        <v/>
      </c>
      <c r="J14" s="48" t="str">
        <f>'Monitoring Data R5'!G224</f>
        <v/>
      </c>
      <c r="K14" s="48" t="str">
        <f>'Monitoring Data R5'!G264</f>
        <v/>
      </c>
      <c r="L14" s="48" t="str">
        <f>'Monitoring Data R5'!G304</f>
        <v/>
      </c>
      <c r="M14" s="48" t="str">
        <f>'Monitoring Data R5'!G344</f>
        <v/>
      </c>
      <c r="N14" s="48" t="str">
        <f>'Monitoring Data R5'!G384</f>
        <v/>
      </c>
      <c r="O14" s="48" t="str">
        <f>'Monitoring Data R5'!G424</f>
        <v/>
      </c>
    </row>
    <row r="15" spans="1:15" ht="15.6" x14ac:dyDescent="0.3">
      <c r="A15" s="538"/>
      <c r="B15" s="297" t="s">
        <v>362</v>
      </c>
      <c r="C15" s="149" t="str">
        <f>'Quantification Tool R5'!C36</f>
        <v/>
      </c>
      <c r="D15" s="149" t="str">
        <f>'Quantification Tool R5'!D36</f>
        <v/>
      </c>
      <c r="E15" s="48" t="str">
        <f>'Monitoring Data R5'!G30</f>
        <v/>
      </c>
      <c r="F15" s="48" t="str">
        <f>'Monitoring Data R5'!G69</f>
        <v/>
      </c>
      <c r="G15" s="48" t="str">
        <f>'Monitoring Data R5'!G108</f>
        <v/>
      </c>
      <c r="H15" s="48" t="str">
        <f>'Monitoring Data R5'!G147</f>
        <v/>
      </c>
      <c r="I15" s="48" t="str">
        <f>'Monitoring Data R5'!G186</f>
        <v/>
      </c>
      <c r="J15" s="48" t="str">
        <f>'Monitoring Data R5'!G225</f>
        <v/>
      </c>
      <c r="K15" s="48" t="str">
        <f>'Monitoring Data R5'!G265</f>
        <v/>
      </c>
      <c r="L15" s="48" t="str">
        <f>'Monitoring Data R5'!G305</f>
        <v/>
      </c>
      <c r="M15" s="48" t="str">
        <f>'Monitoring Data R5'!G345</f>
        <v/>
      </c>
      <c r="N15" s="48" t="str">
        <f>'Monitoring Data R5'!G385</f>
        <v/>
      </c>
      <c r="O15" s="48" t="str">
        <f>'Monitoring Data R5'!G425</f>
        <v/>
      </c>
    </row>
    <row r="16" spans="1:15" ht="15.6" x14ac:dyDescent="0.3">
      <c r="A16" s="538"/>
      <c r="B16" s="67" t="s">
        <v>81</v>
      </c>
      <c r="C16" s="149" t="str">
        <f>'Quantification Tool R5'!C37</f>
        <v/>
      </c>
      <c r="D16" s="149" t="str">
        <f>'Quantification Tool R5'!D37</f>
        <v/>
      </c>
      <c r="E16" s="48" t="str">
        <f>'Monitoring Data R5'!G31</f>
        <v/>
      </c>
      <c r="F16" s="48" t="str">
        <f>'Monitoring Data R5'!G70</f>
        <v/>
      </c>
      <c r="G16" s="48" t="str">
        <f>'Monitoring Data R5'!G109</f>
        <v/>
      </c>
      <c r="H16" s="48" t="str">
        <f>'Monitoring Data R5'!G148</f>
        <v/>
      </c>
      <c r="I16" s="48" t="str">
        <f>'Monitoring Data R5'!G187</f>
        <v/>
      </c>
      <c r="J16" s="48" t="str">
        <f>'Monitoring Data R5'!G226</f>
        <v/>
      </c>
      <c r="K16" s="48" t="str">
        <f>'Monitoring Data R5'!G266</f>
        <v/>
      </c>
      <c r="L16" s="48" t="str">
        <f>'Monitoring Data R5'!G306</f>
        <v/>
      </c>
      <c r="M16" s="48" t="str">
        <f>'Monitoring Data R5'!G346</f>
        <v/>
      </c>
      <c r="N16" s="48" t="str">
        <f>'Monitoring Data R5'!G386</f>
        <v/>
      </c>
      <c r="O16" s="48" t="str">
        <f>'Monitoring Data R5'!G426</f>
        <v/>
      </c>
    </row>
    <row r="17" spans="1:19" ht="15.6" x14ac:dyDescent="0.3">
      <c r="A17" s="539"/>
      <c r="B17" s="298" t="s">
        <v>82</v>
      </c>
      <c r="C17" s="149" t="str">
        <f>'Quantification Tool R5'!C38</f>
        <v/>
      </c>
      <c r="D17" s="149" t="str">
        <f>'Quantification Tool R5'!D38</f>
        <v/>
      </c>
      <c r="E17" s="48" t="str">
        <f>'Monitoring Data R5'!G32</f>
        <v/>
      </c>
      <c r="F17" s="48" t="str">
        <f>'Monitoring Data R5'!G71</f>
        <v/>
      </c>
      <c r="G17" s="48" t="str">
        <f>'Monitoring Data R5'!G110</f>
        <v/>
      </c>
      <c r="H17" s="48" t="str">
        <f>'Monitoring Data R5'!G149</f>
        <v/>
      </c>
      <c r="I17" s="48" t="str">
        <f>'Monitoring Data R5'!G188</f>
        <v/>
      </c>
      <c r="J17" s="48" t="str">
        <f>'Monitoring Data R5'!G227</f>
        <v/>
      </c>
      <c r="K17" s="48" t="str">
        <f>'Monitoring Data R5'!G267</f>
        <v/>
      </c>
      <c r="L17" s="48" t="str">
        <f>'Monitoring Data R5'!G307</f>
        <v/>
      </c>
      <c r="M17" s="48" t="str">
        <f>'Monitoring Data R5'!G347</f>
        <v/>
      </c>
      <c r="N17" s="48" t="str">
        <f>'Monitoring Data R5'!G387</f>
        <v/>
      </c>
      <c r="O17" s="48" t="str">
        <f>'Monitoring Data R5'!G427</f>
        <v/>
      </c>
    </row>
    <row r="18" spans="1:19" ht="15.6" x14ac:dyDescent="0.3">
      <c r="A18" s="550" t="s">
        <v>59</v>
      </c>
      <c r="B18" s="78" t="s">
        <v>340</v>
      </c>
      <c r="C18" s="149" t="str">
        <f>'Quantification Tool R5'!C39</f>
        <v/>
      </c>
      <c r="D18" s="149" t="str">
        <f>'Quantification Tool R5'!D39</f>
        <v/>
      </c>
      <c r="E18" s="48" t="str">
        <f>'Monitoring Data R5'!G33</f>
        <v/>
      </c>
      <c r="F18" s="48" t="str">
        <f>'Monitoring Data R5'!G72</f>
        <v/>
      </c>
      <c r="G18" s="48" t="str">
        <f>'Monitoring Data R5'!G111</f>
        <v/>
      </c>
      <c r="H18" s="48" t="str">
        <f>'Monitoring Data R5'!G150</f>
        <v/>
      </c>
      <c r="I18" s="48" t="str">
        <f>'Monitoring Data R5'!G189</f>
        <v/>
      </c>
      <c r="J18" s="48" t="str">
        <f>'Monitoring Data R5'!G228</f>
        <v/>
      </c>
      <c r="K18" s="48" t="str">
        <f>'Monitoring Data R5'!G268</f>
        <v/>
      </c>
      <c r="L18" s="48" t="str">
        <f>'Monitoring Data R5'!G308</f>
        <v/>
      </c>
      <c r="M18" s="48" t="str">
        <f>'Monitoring Data R5'!G348</f>
        <v/>
      </c>
      <c r="N18" s="48" t="str">
        <f>'Monitoring Data R5'!G388</f>
        <v/>
      </c>
      <c r="O18" s="48" t="str">
        <f>'Monitoring Data R5'!G428</f>
        <v/>
      </c>
    </row>
    <row r="19" spans="1:19" ht="15.6" x14ac:dyDescent="0.3">
      <c r="A19" s="551"/>
      <c r="B19" s="78" t="s">
        <v>74</v>
      </c>
      <c r="C19" s="149" t="str">
        <f>'Quantification Tool R5'!C40</f>
        <v/>
      </c>
      <c r="D19" s="149" t="str">
        <f>'Quantification Tool R5'!D40</f>
        <v/>
      </c>
      <c r="E19" s="48" t="str">
        <f>'Monitoring Data R5'!G37</f>
        <v/>
      </c>
      <c r="F19" s="48" t="str">
        <f>'Monitoring Data R5'!G76</f>
        <v/>
      </c>
      <c r="G19" s="48" t="str">
        <f>'Monitoring Data R5'!G115</f>
        <v/>
      </c>
      <c r="H19" s="48" t="str">
        <f>'Monitoring Data R5'!G154</f>
        <v/>
      </c>
      <c r="I19" s="48" t="str">
        <f>'Monitoring Data R5'!G193</f>
        <v/>
      </c>
      <c r="J19" s="48" t="str">
        <f>'Monitoring Data R5'!G232</f>
        <v/>
      </c>
      <c r="K19" s="48" t="str">
        <f>'Monitoring Data R5'!G272</f>
        <v/>
      </c>
      <c r="L19" s="48" t="str">
        <f>'Monitoring Data R5'!G312</f>
        <v/>
      </c>
      <c r="M19" s="48" t="str">
        <f>'Monitoring Data R5'!G352</f>
        <v/>
      </c>
      <c r="N19" s="48" t="str">
        <f>'Monitoring Data R5'!G392</f>
        <v/>
      </c>
      <c r="O19" s="48" t="str">
        <f>'Monitoring Data R5'!G432</f>
        <v/>
      </c>
    </row>
    <row r="22" spans="1:19" ht="21" x14ac:dyDescent="0.3">
      <c r="A22" s="625" t="s">
        <v>102</v>
      </c>
      <c r="B22" s="626"/>
      <c r="C22" s="626"/>
      <c r="D22" s="626"/>
      <c r="E22" s="626"/>
      <c r="F22" s="626"/>
      <c r="G22" s="626"/>
      <c r="H22" s="626"/>
      <c r="I22" s="626"/>
      <c r="J22" s="626"/>
      <c r="K22" s="626"/>
      <c r="L22" s="626"/>
      <c r="M22" s="626"/>
      <c r="N22" s="626"/>
      <c r="O22" s="627"/>
    </row>
    <row r="23" spans="1:19" ht="14.4" customHeight="1" x14ac:dyDescent="0.3">
      <c r="A23" s="655" t="s">
        <v>103</v>
      </c>
      <c r="B23" s="656"/>
      <c r="C23" s="646" t="s">
        <v>104</v>
      </c>
      <c r="D23" s="646" t="s">
        <v>105</v>
      </c>
      <c r="E23" s="648" t="s">
        <v>132</v>
      </c>
      <c r="F23" s="650" t="s">
        <v>135</v>
      </c>
      <c r="G23" s="651"/>
      <c r="H23" s="651"/>
      <c r="I23" s="651"/>
      <c r="J23" s="651"/>
      <c r="K23" s="651"/>
      <c r="L23" s="651"/>
      <c r="M23" s="651"/>
      <c r="N23" s="651"/>
      <c r="O23" s="652"/>
      <c r="P23" s="141"/>
      <c r="Q23" s="141"/>
    </row>
    <row r="24" spans="1:19" ht="14.4" customHeight="1" x14ac:dyDescent="0.3">
      <c r="A24" s="657"/>
      <c r="B24" s="658"/>
      <c r="C24" s="647"/>
      <c r="D24" s="647"/>
      <c r="E24" s="649"/>
      <c r="F24" s="155" t="e">
        <f t="shared" ref="F24:O24" si="0">F4</f>
        <v>#N/A</v>
      </c>
      <c r="G24" s="155" t="e">
        <f t="shared" si="0"/>
        <v>#N/A</v>
      </c>
      <c r="H24" s="155" t="e">
        <f t="shared" si="0"/>
        <v>#N/A</v>
      </c>
      <c r="I24" s="155" t="e">
        <f t="shared" si="0"/>
        <v>#N/A</v>
      </c>
      <c r="J24" s="155" t="e">
        <f t="shared" si="0"/>
        <v>#N/A</v>
      </c>
      <c r="K24" s="155" t="e">
        <f t="shared" si="0"/>
        <v>#N/A</v>
      </c>
      <c r="L24" s="155" t="e">
        <f t="shared" si="0"/>
        <v>#N/A</v>
      </c>
      <c r="M24" s="155" t="e">
        <f t="shared" si="0"/>
        <v>#N/A</v>
      </c>
      <c r="N24" s="155" t="e">
        <f t="shared" si="0"/>
        <v>#N/A</v>
      </c>
      <c r="O24" s="155" t="e">
        <f t="shared" si="0"/>
        <v>#N/A</v>
      </c>
      <c r="P24" s="141"/>
      <c r="Q24" s="141"/>
    </row>
    <row r="25" spans="1:19" ht="14.4" customHeight="1" x14ac:dyDescent="0.3">
      <c r="A25" s="601" t="s">
        <v>60</v>
      </c>
      <c r="B25" s="601"/>
      <c r="C25" s="150" t="str">
        <f>'Quantification Tool R5'!H44</f>
        <v/>
      </c>
      <c r="D25" s="150" t="str">
        <f>'Quantification Tool R5'!H84</f>
        <v/>
      </c>
      <c r="E25" s="301" t="str">
        <f>'Monitoring Data R5'!H3</f>
        <v/>
      </c>
      <c r="F25" s="301" t="str">
        <f>'Monitoring Data R5'!H42</f>
        <v/>
      </c>
      <c r="G25" s="301" t="str">
        <f>'Monitoring Data R5'!H81</f>
        <v/>
      </c>
      <c r="H25" s="301" t="str">
        <f>'Monitoring Data R5'!H120</f>
        <v/>
      </c>
      <c r="I25" s="301" t="str">
        <f>'Monitoring Data R5'!H159</f>
        <v/>
      </c>
      <c r="J25" s="301" t="str">
        <f>'Monitoring Data R5'!H198</f>
        <v/>
      </c>
      <c r="K25" s="301" t="str">
        <f>'Monitoring Data R5'!H238</f>
        <v/>
      </c>
      <c r="L25" s="301" t="str">
        <f>'Monitoring Data R5'!H278</f>
        <v/>
      </c>
      <c r="M25" s="301" t="str">
        <f>'Monitoring Data R5'!H318</f>
        <v/>
      </c>
      <c r="N25" s="301" t="str">
        <f>'Monitoring Data R5'!H358</f>
        <v/>
      </c>
      <c r="O25" s="301" t="str">
        <f>'Monitoring Data R5'!H398</f>
        <v/>
      </c>
      <c r="P25" s="139"/>
      <c r="Q25" s="140"/>
      <c r="R25" s="138"/>
      <c r="S25" s="138"/>
    </row>
    <row r="26" spans="1:19" ht="14.4" customHeight="1" x14ac:dyDescent="0.3">
      <c r="A26" s="602" t="s">
        <v>6</v>
      </c>
      <c r="B26" s="602"/>
      <c r="C26" s="150" t="str">
        <f>'Quantification Tool R5'!H46</f>
        <v/>
      </c>
      <c r="D26" s="150" t="str">
        <f>'Quantification Tool R5'!H86</f>
        <v/>
      </c>
      <c r="E26" s="301" t="str">
        <f>'Monitoring Data R5'!H5</f>
        <v/>
      </c>
      <c r="F26" s="301" t="str">
        <f>'Monitoring Data R5'!H44</f>
        <v/>
      </c>
      <c r="G26" s="301" t="str">
        <f>'Monitoring Data R5'!H83</f>
        <v/>
      </c>
      <c r="H26" s="301" t="str">
        <f>'Monitoring Data R5'!H122</f>
        <v/>
      </c>
      <c r="I26" s="301" t="str">
        <f>'Monitoring Data R5'!H161</f>
        <v/>
      </c>
      <c r="J26" s="301" t="str">
        <f>'Monitoring Data R5'!H200</f>
        <v/>
      </c>
      <c r="K26" s="301" t="str">
        <f>'Monitoring Data R5'!H240</f>
        <v/>
      </c>
      <c r="L26" s="301" t="str">
        <f>'Monitoring Data R5'!H280</f>
        <v/>
      </c>
      <c r="M26" s="301" t="str">
        <f>'Monitoring Data R5'!H320</f>
        <v/>
      </c>
      <c r="N26" s="301" t="str">
        <f>'Monitoring Data R5'!H360</f>
        <v/>
      </c>
      <c r="O26" s="301" t="str">
        <f>'Monitoring Data R5'!H400</f>
        <v/>
      </c>
      <c r="P26" s="139"/>
      <c r="Q26" s="139"/>
      <c r="R26" s="138"/>
      <c r="S26" s="138"/>
    </row>
    <row r="27" spans="1:19" ht="14.4" customHeight="1" x14ac:dyDescent="0.3">
      <c r="A27" s="661" t="s">
        <v>26</v>
      </c>
      <c r="B27" s="661"/>
      <c r="C27" s="150" t="str">
        <f>'Quantification Tool R5'!H48</f>
        <v/>
      </c>
      <c r="D27" s="150" t="str">
        <f>'Quantification Tool R5'!H88</f>
        <v/>
      </c>
      <c r="E27" s="301" t="str">
        <f>'Monitoring Data R5'!H7</f>
        <v/>
      </c>
      <c r="F27" s="301" t="str">
        <f>'Monitoring Data R5'!H46</f>
        <v/>
      </c>
      <c r="G27" s="301" t="str">
        <f>'Monitoring Data R5'!H85</f>
        <v/>
      </c>
      <c r="H27" s="301" t="str">
        <f>'Monitoring Data R5'!H124</f>
        <v/>
      </c>
      <c r="I27" s="301" t="str">
        <f>'Monitoring Data R5'!H163</f>
        <v/>
      </c>
      <c r="J27" s="301" t="str">
        <f>'Monitoring Data R5'!H202</f>
        <v/>
      </c>
      <c r="K27" s="301" t="str">
        <f>'Monitoring Data R5'!H242</f>
        <v/>
      </c>
      <c r="L27" s="301" t="str">
        <f>'Monitoring Data R5'!H282</f>
        <v/>
      </c>
      <c r="M27" s="301" t="str">
        <f>'Monitoring Data R5'!H322</f>
        <v/>
      </c>
      <c r="N27" s="301" t="str">
        <f>'Monitoring Data R5'!H362</f>
        <v/>
      </c>
      <c r="O27" s="301" t="str">
        <f>'Monitoring Data R5'!H402</f>
        <v/>
      </c>
      <c r="P27" s="139"/>
      <c r="Q27" s="140"/>
      <c r="R27" s="138"/>
      <c r="S27" s="138"/>
    </row>
    <row r="28" spans="1:19" ht="18" x14ac:dyDescent="0.3">
      <c r="A28" s="662" t="s">
        <v>58</v>
      </c>
      <c r="B28" s="662"/>
      <c r="C28" s="150" t="str">
        <f>'Quantification Tool R5'!H70</f>
        <v/>
      </c>
      <c r="D28" s="150" t="str">
        <f>'Quantification Tool R5'!H110</f>
        <v/>
      </c>
      <c r="E28" s="301" t="str">
        <f>'Monitoring Data R5'!H29</f>
        <v/>
      </c>
      <c r="F28" s="301" t="str">
        <f>'Monitoring Data R5'!H68</f>
        <v/>
      </c>
      <c r="G28" s="301" t="str">
        <f>'Monitoring Data R5'!H107</f>
        <v/>
      </c>
      <c r="H28" s="301" t="str">
        <f>'Monitoring Data R5'!H146</f>
        <v/>
      </c>
      <c r="I28" s="301" t="str">
        <f>'Monitoring Data R5'!H185</f>
        <v/>
      </c>
      <c r="J28" s="301" t="str">
        <f>'Monitoring Data R5'!H224</f>
        <v/>
      </c>
      <c r="K28" s="301" t="str">
        <f>'Monitoring Data R5'!H264</f>
        <v/>
      </c>
      <c r="L28" s="301" t="str">
        <f>'Monitoring Data R5'!H304</f>
        <v/>
      </c>
      <c r="M28" s="301" t="str">
        <f>'Monitoring Data R5'!H344</f>
        <v/>
      </c>
      <c r="N28" s="301" t="str">
        <f>'Monitoring Data R5'!H384</f>
        <v/>
      </c>
      <c r="O28" s="301" t="str">
        <f>'Monitoring Data R5'!H424</f>
        <v/>
      </c>
      <c r="P28" s="139"/>
      <c r="Q28" s="140"/>
      <c r="R28" s="138"/>
      <c r="S28" s="138"/>
    </row>
    <row r="29" spans="1:19" ht="18" x14ac:dyDescent="0.3">
      <c r="A29" s="660" t="s">
        <v>59</v>
      </c>
      <c r="B29" s="660"/>
      <c r="C29" s="150" t="str">
        <f>'Quantification Tool R5'!H74</f>
        <v/>
      </c>
      <c r="D29" s="150" t="str">
        <f>'Quantification Tool R5'!H114</f>
        <v/>
      </c>
      <c r="E29" s="301" t="str">
        <f>'Monitoring Data R5'!H33</f>
        <v/>
      </c>
      <c r="F29" s="301" t="str">
        <f>'Monitoring Data R5'!H72</f>
        <v/>
      </c>
      <c r="G29" s="301" t="str">
        <f>'Monitoring Data R5'!H111</f>
        <v/>
      </c>
      <c r="H29" s="301" t="str">
        <f>'Monitoring Data R5'!H150</f>
        <v/>
      </c>
      <c r="I29" s="301" t="str">
        <f>'Monitoring Data R5'!H189</f>
        <v/>
      </c>
      <c r="J29" s="301" t="str">
        <f>'Monitoring Data R5'!H228</f>
        <v/>
      </c>
      <c r="K29" s="301" t="str">
        <f>'Monitoring Data R5'!H268</f>
        <v/>
      </c>
      <c r="L29" s="301" t="str">
        <f>'Monitoring Data R5'!H308</f>
        <v/>
      </c>
      <c r="M29" s="301" t="str">
        <f>'Monitoring Data R5'!H348</f>
        <v/>
      </c>
      <c r="N29" s="301" t="str">
        <f>'Monitoring Data R5'!H388</f>
        <v/>
      </c>
      <c r="O29" s="301" t="str">
        <f>'Monitoring Data R5'!H428</f>
        <v/>
      </c>
      <c r="P29" s="139"/>
      <c r="Q29" s="139"/>
      <c r="R29" s="138"/>
      <c r="S29" s="138"/>
    </row>
    <row r="30" spans="1:19" ht="18" x14ac:dyDescent="0.35">
      <c r="A30" s="659" t="s">
        <v>133</v>
      </c>
      <c r="B30" s="659"/>
      <c r="C30" s="151">
        <f>ROUND(0.2*SUM(C25:C29),2)</f>
        <v>0</v>
      </c>
      <c r="D30" s="151">
        <f>ROUND(0.2*SUM(D25:D29),2)</f>
        <v>0</v>
      </c>
      <c r="E30" s="305">
        <f t="shared" ref="E30" si="1">ROUND(0.2*SUM(E25:E29),2)</f>
        <v>0</v>
      </c>
      <c r="F30" s="142" t="e">
        <f>IF(F24="","",ROUND(0.2*SUM(F25:F29),2))</f>
        <v>#N/A</v>
      </c>
      <c r="G30" s="142" t="e">
        <f>IF(G24="","",ROUND(0.2*SUM(G25:G29),2))</f>
        <v>#N/A</v>
      </c>
      <c r="H30" s="142" t="e">
        <f>IF(H24="","",ROUND(0.2*SUM(H25:H29),2))</f>
        <v>#N/A</v>
      </c>
      <c r="I30" s="142" t="e">
        <f t="shared" ref="I30:O30" si="2">IF(I24="","",ROUND(0.2*SUM(I25:I29),2))</f>
        <v>#N/A</v>
      </c>
      <c r="J30" s="142" t="e">
        <f t="shared" si="2"/>
        <v>#N/A</v>
      </c>
      <c r="K30" s="142" t="e">
        <f t="shared" si="2"/>
        <v>#N/A</v>
      </c>
      <c r="L30" s="142" t="e">
        <f t="shared" si="2"/>
        <v>#N/A</v>
      </c>
      <c r="M30" s="142" t="e">
        <f t="shared" si="2"/>
        <v>#N/A</v>
      </c>
      <c r="N30" s="142" t="e">
        <f t="shared" si="2"/>
        <v>#N/A</v>
      </c>
      <c r="O30" s="142" t="e">
        <f t="shared" si="2"/>
        <v>#N/A</v>
      </c>
    </row>
    <row r="31" spans="1:19" ht="18" x14ac:dyDescent="0.35">
      <c r="A31" s="659" t="s">
        <v>134</v>
      </c>
      <c r="B31" s="659"/>
      <c r="C31" s="151">
        <f>ROUND(C30*'Quantification Tool R5'!B15,0)</f>
        <v>0</v>
      </c>
      <c r="D31" s="152">
        <f>ROUND(D30*'Quantification Tool R5'!$B$16,0)</f>
        <v>0</v>
      </c>
      <c r="E31" s="300">
        <f>ROUND(E30*'Quantification Tool R5'!$B$16,0)</f>
        <v>0</v>
      </c>
      <c r="F31" s="300" t="str">
        <f>IFERROR(ROUND(F30*'Quantification Tool R5'!$B$16,0),"")</f>
        <v/>
      </c>
      <c r="G31" s="300" t="str">
        <f>IFERROR(ROUND(G30*'Quantification Tool R5'!$B$16,0),"")</f>
        <v/>
      </c>
      <c r="H31" s="300" t="str">
        <f>IFERROR(ROUND(H30*'Quantification Tool R5'!$B$16,0),"")</f>
        <v/>
      </c>
      <c r="I31" s="300" t="str">
        <f>IFERROR(ROUND(I30*'Quantification Tool R5'!$B$16,0),"")</f>
        <v/>
      </c>
      <c r="J31" s="300" t="str">
        <f>IFERROR(ROUND(J30*'Quantification Tool R5'!$B$16,0),"")</f>
        <v/>
      </c>
      <c r="K31" s="300" t="str">
        <f>IFERROR(ROUND(K30*'Quantification Tool R5'!$B$16,0),"")</f>
        <v/>
      </c>
      <c r="L31" s="300" t="str">
        <f>IFERROR(ROUND(L30*'Quantification Tool R5'!$B$16,0),"")</f>
        <v/>
      </c>
      <c r="M31" s="300" t="str">
        <f>IFERROR(ROUND(M30*'Quantification Tool R5'!$B$16,0),"")</f>
        <v/>
      </c>
      <c r="N31" s="300" t="str">
        <f>IFERROR(ROUND(N30*'Quantification Tool R5'!$B$16,0),"")</f>
        <v/>
      </c>
      <c r="O31" s="300" t="str">
        <f>IFERROR(ROUND(O30*'Quantification Tool R5'!$B$16,0),"")</f>
        <v/>
      </c>
    </row>
    <row r="32" spans="1:19" ht="18" x14ac:dyDescent="0.35">
      <c r="C32" s="143"/>
    </row>
    <row r="34" spans="1:1" x14ac:dyDescent="0.3">
      <c r="A34" s="295" t="s">
        <v>136</v>
      </c>
    </row>
    <row r="35" spans="1:1" x14ac:dyDescent="0.3">
      <c r="A35" s="295" t="e">
        <f>IFERROR(O24,IFERROR(N24,IFERROR(M24,IFERROR(L24,IFERROR(K24,IFERROR(J24,IFERROR(I24,IFERROR(H24,IFERROR(G24,F24)))))))))</f>
        <v>#N/A</v>
      </c>
    </row>
  </sheetData>
  <sheetProtection password="9A90" sheet="1" objects="1" scenarios="1" selectLockedCells="1"/>
  <mergeCells count="24">
    <mergeCell ref="A2:O2"/>
    <mergeCell ref="A3:A4"/>
    <mergeCell ref="B3:B4"/>
    <mergeCell ref="C3:C4"/>
    <mergeCell ref="D3:D4"/>
    <mergeCell ref="E3:E4"/>
    <mergeCell ref="F3:O3"/>
    <mergeCell ref="A23:B24"/>
    <mergeCell ref="C23:C24"/>
    <mergeCell ref="D23:D24"/>
    <mergeCell ref="E23:E24"/>
    <mergeCell ref="F23:O23"/>
    <mergeCell ref="A5:A6"/>
    <mergeCell ref="A8:A13"/>
    <mergeCell ref="A14:A17"/>
    <mergeCell ref="A18:A19"/>
    <mergeCell ref="A22:O22"/>
    <mergeCell ref="A31:B31"/>
    <mergeCell ref="A25:B25"/>
    <mergeCell ref="A26:B26"/>
    <mergeCell ref="A27:B27"/>
    <mergeCell ref="A28:B28"/>
    <mergeCell ref="A29:B29"/>
    <mergeCell ref="A30:B30"/>
  </mergeCells>
  <conditionalFormatting sqref="A18">
    <cfRule type="beginsWith" dxfId="114" priority="47" stopIfTrue="1" operator="beginsWith" text="Functioning At Risk">
      <formula>LEFT(A18,LEN("Functioning At Risk"))="Functioning At Risk"</formula>
    </cfRule>
    <cfRule type="beginsWith" dxfId="113" priority="48" stopIfTrue="1" operator="beginsWith" text="Not Functioning">
      <formula>LEFT(A18,LEN("Not Functioning"))="Not Functioning"</formula>
    </cfRule>
    <cfRule type="containsText" dxfId="112" priority="49" operator="containsText" text="Functioning">
      <formula>NOT(ISERROR(SEARCH("Functioning",A18)))</formula>
    </cfRule>
  </conditionalFormatting>
  <conditionalFormatting sqref="B18">
    <cfRule type="beginsWith" dxfId="111" priority="41" stopIfTrue="1" operator="beginsWith" text="Functioning At Risk">
      <formula>LEFT(B18,LEN("Functioning At Risk"))="Functioning At Risk"</formula>
    </cfRule>
    <cfRule type="beginsWith" dxfId="110" priority="42" stopIfTrue="1" operator="beginsWith" text="Not Functioning">
      <formula>LEFT(B18,LEN("Not Functioning"))="Not Functioning"</formula>
    </cfRule>
    <cfRule type="containsText" dxfId="109" priority="43" operator="containsText" text="Functioning">
      <formula>NOT(ISERROR(SEARCH("Functioning",B18)))</formula>
    </cfRule>
  </conditionalFormatting>
  <conditionalFormatting sqref="B19">
    <cfRule type="beginsWith" dxfId="108" priority="38" stopIfTrue="1" operator="beginsWith" text="Functioning At Risk">
      <formula>LEFT(B19,LEN("Functioning At Risk"))="Functioning At Risk"</formula>
    </cfRule>
    <cfRule type="beginsWith" dxfId="107" priority="39" stopIfTrue="1" operator="beginsWith" text="Not Functioning">
      <formula>LEFT(B19,LEN("Not Functioning"))="Not Functioning"</formula>
    </cfRule>
    <cfRule type="containsText" dxfId="106" priority="40" operator="containsText" text="Functioning">
      <formula>NOT(ISERROR(SEARCH("Functioning",B19)))</formula>
    </cfRule>
  </conditionalFormatting>
  <conditionalFormatting sqref="A14">
    <cfRule type="beginsWith" dxfId="105" priority="35" stopIfTrue="1" operator="beginsWith" text="Functioning At Risk">
      <formula>LEFT(A14,LEN("Functioning At Risk"))="Functioning At Risk"</formula>
    </cfRule>
    <cfRule type="beginsWith" dxfId="104" priority="36" stopIfTrue="1" operator="beginsWith" text="Not Functioning">
      <formula>LEFT(A14,LEN("Not Functioning"))="Not Functioning"</formula>
    </cfRule>
    <cfRule type="containsText" dxfId="103" priority="37" operator="containsText" text="Functioning">
      <formula>NOT(ISERROR(SEARCH("Functioning",A14)))</formula>
    </cfRule>
  </conditionalFormatting>
  <conditionalFormatting sqref="C25:O29 C5:O19">
    <cfRule type="cellIs" dxfId="102" priority="44" operator="between">
      <formula>0</formula>
      <formula>0.299999</formula>
    </cfRule>
    <cfRule type="cellIs" dxfId="101" priority="45" operator="between">
      <formula>0.6999999</formula>
      <formula>0.3</formula>
    </cfRule>
    <cfRule type="cellIs" dxfId="100" priority="46" operator="between">
      <formula>0.7</formula>
      <formula>1</formula>
    </cfRule>
  </conditionalFormatting>
  <conditionalFormatting sqref="Q28:S28">
    <cfRule type="beginsWith" dxfId="99" priority="11" stopIfTrue="1" operator="beginsWith" text="Functioning At Risk">
      <formula>LEFT(Q28,LEN("Functioning At Risk"))="Functioning At Risk"</formula>
    </cfRule>
    <cfRule type="beginsWith" dxfId="98" priority="12" stopIfTrue="1" operator="beginsWith" text="Not Functioning">
      <formula>LEFT(Q28,LEN("Not Functioning"))="Not Functioning"</formula>
    </cfRule>
    <cfRule type="containsText" dxfId="97" priority="13" operator="containsText" text="Functioning">
      <formula>NOT(ISERROR(SEARCH("Functioning",Q28)))</formula>
    </cfRule>
  </conditionalFormatting>
  <conditionalFormatting sqref="P28">
    <cfRule type="beginsWith" dxfId="96" priority="8" stopIfTrue="1" operator="beginsWith" text="Functioning At Risk">
      <formula>LEFT(P28,LEN("Functioning At Risk"))="Functioning At Risk"</formula>
    </cfRule>
    <cfRule type="beginsWith" dxfId="95" priority="9" stopIfTrue="1" operator="beginsWith" text="Not Functioning">
      <formula>LEFT(P28,LEN("Not Functioning"))="Not Functioning"</formula>
    </cfRule>
    <cfRule type="containsText" dxfId="94" priority="10" operator="containsText" text="Functioning">
      <formula>NOT(ISERROR(SEARCH("Functioning",P28)))</formula>
    </cfRule>
  </conditionalFormatting>
  <conditionalFormatting sqref="P23:P24">
    <cfRule type="beginsWith" dxfId="93" priority="32" stopIfTrue="1" operator="beginsWith" text="Functioning At Risk">
      <formula>LEFT(P23,LEN("Functioning At Risk"))="Functioning At Risk"</formula>
    </cfRule>
    <cfRule type="beginsWith" dxfId="92" priority="33" stopIfTrue="1" operator="beginsWith" text="Not Functioning">
      <formula>LEFT(P23,LEN("Not Functioning"))="Not Functioning"</formula>
    </cfRule>
    <cfRule type="containsText" dxfId="91" priority="34" operator="containsText" text="Functioning">
      <formula>NOT(ISERROR(SEARCH("Functioning",P23)))</formula>
    </cfRule>
  </conditionalFormatting>
  <conditionalFormatting sqref="A22">
    <cfRule type="beginsWith" dxfId="90" priority="29" stopIfTrue="1" operator="beginsWith" text="Functioning At Risk">
      <formula>LEFT(A22,LEN("Functioning At Risk"))="Functioning At Risk"</formula>
    </cfRule>
    <cfRule type="beginsWith" dxfId="89" priority="30" stopIfTrue="1" operator="beginsWith" text="Not Functioning">
      <formula>LEFT(A22,LEN("Not Functioning"))="Not Functioning"</formula>
    </cfRule>
    <cfRule type="containsText" dxfId="88" priority="31" operator="containsText" text="Functioning">
      <formula>NOT(ISERROR(SEARCH("Functioning",A22)))</formula>
    </cfRule>
  </conditionalFormatting>
  <conditionalFormatting sqref="A28">
    <cfRule type="beginsWith" dxfId="87" priority="26" stopIfTrue="1" operator="beginsWith" text="Functioning At Risk">
      <formula>LEFT(A28,LEN("Functioning At Risk"))="Functioning At Risk"</formula>
    </cfRule>
    <cfRule type="beginsWith" dxfId="86" priority="27" stopIfTrue="1" operator="beginsWith" text="Not Functioning">
      <formula>LEFT(A28,LEN("Not Functioning"))="Not Functioning"</formula>
    </cfRule>
    <cfRule type="containsText" dxfId="85" priority="28" operator="containsText" text="Functioning">
      <formula>NOT(ISERROR(SEARCH("Functioning",A28)))</formula>
    </cfRule>
  </conditionalFormatting>
  <conditionalFormatting sqref="A27">
    <cfRule type="beginsWith" dxfId="84" priority="23" stopIfTrue="1" operator="beginsWith" text="Functioning At Risk">
      <formula>LEFT(A27,LEN("Functioning At Risk"))="Functioning At Risk"</formula>
    </cfRule>
    <cfRule type="beginsWith" dxfId="83" priority="24" stopIfTrue="1" operator="beginsWith" text="Not Functioning">
      <formula>LEFT(A27,LEN("Not Functioning"))="Not Functioning"</formula>
    </cfRule>
    <cfRule type="containsText" dxfId="82" priority="25" operator="containsText" text="Functioning">
      <formula>NOT(ISERROR(SEARCH("Functioning",A27)))</formula>
    </cfRule>
  </conditionalFormatting>
  <conditionalFormatting sqref="A26">
    <cfRule type="beginsWith" dxfId="81" priority="20" stopIfTrue="1" operator="beginsWith" text="Functioning At Risk">
      <formula>LEFT(A26,LEN("Functioning At Risk"))="Functioning At Risk"</formula>
    </cfRule>
    <cfRule type="beginsWith" dxfId="80" priority="21" stopIfTrue="1" operator="beginsWith" text="Not Functioning">
      <formula>LEFT(A26,LEN("Not Functioning"))="Not Functioning"</formula>
    </cfRule>
    <cfRule type="containsText" dxfId="79" priority="22" operator="containsText" text="Functioning">
      <formula>NOT(ISERROR(SEARCH("Functioning",A26)))</formula>
    </cfRule>
  </conditionalFormatting>
  <conditionalFormatting sqref="A29">
    <cfRule type="beginsWith" dxfId="78" priority="17" stopIfTrue="1" operator="beginsWith" text="Functioning At Risk">
      <formula>LEFT(A29,LEN("Functioning At Risk"))="Functioning At Risk"</formula>
    </cfRule>
    <cfRule type="beginsWith" dxfId="77" priority="18" stopIfTrue="1" operator="beginsWith" text="Not Functioning">
      <formula>LEFT(A29,LEN("Not Functioning"))="Not Functioning"</formula>
    </cfRule>
    <cfRule type="containsText" dxfId="76" priority="19" operator="containsText" text="Functioning">
      <formula>NOT(ISERROR(SEARCH("Functioning",A29)))</formula>
    </cfRule>
  </conditionalFormatting>
  <conditionalFormatting sqref="P29:S29 P26:S27">
    <cfRule type="beginsWith" dxfId="75" priority="14" stopIfTrue="1" operator="beginsWith" text="Functioning At Risk">
      <formula>LEFT(P26,LEN("Functioning At Risk"))="Functioning At Risk"</formula>
    </cfRule>
    <cfRule type="beginsWith" dxfId="74" priority="15" stopIfTrue="1" operator="beginsWith" text="Not Functioning">
      <formula>LEFT(P26,LEN("Not Functioning"))="Not Functioning"</formula>
    </cfRule>
    <cfRule type="containsText" dxfId="73" priority="16" operator="containsText" text="Functioning">
      <formula>NOT(ISERROR(SEARCH("Functioning",P26)))</formula>
    </cfRule>
  </conditionalFormatting>
  <conditionalFormatting sqref="F4:O4">
    <cfRule type="containsErrors" dxfId="72" priority="7">
      <formula>ISERROR(F4)</formula>
    </cfRule>
  </conditionalFormatting>
  <conditionalFormatting sqref="F24:O24">
    <cfRule type="containsErrors" dxfId="71" priority="6">
      <formula>ISERROR(F24)</formula>
    </cfRule>
  </conditionalFormatting>
  <conditionalFormatting sqref="E30:O30">
    <cfRule type="containsErrors" dxfId="70" priority="5">
      <formula>ISERROR(E30)</formula>
    </cfRule>
  </conditionalFormatting>
  <conditionalFormatting sqref="B16:B17 B14">
    <cfRule type="beginsWith" dxfId="69" priority="2" stopIfTrue="1" operator="beginsWith" text="Functioning At Risk">
      <formula>LEFT(B14,LEN("Functioning At Risk"))="Functioning At Risk"</formula>
    </cfRule>
    <cfRule type="beginsWith" dxfId="68" priority="3" stopIfTrue="1" operator="beginsWith" text="Not Functioning">
      <formula>LEFT(B14,LEN("Not Functioning"))="Not Functioning"</formula>
    </cfRule>
    <cfRule type="containsText" dxfId="67" priority="4" operator="containsText" text="Functioning">
      <formula>NOT(ISERROR(SEARCH("Functioning",B14)))</formula>
    </cfRule>
  </conditionalFormatting>
  <pageMargins left="0.7" right="0.7" top="0.75" bottom="0.75" header="0.3" footer="0.3"/>
  <pageSetup paperSize="3" orientation="landscape" r:id="rId1"/>
  <headerFooter>
    <oddHeader>&amp;C&amp;"-,Bold"TN SQT v1.0
Data Summary Spreadsheet Reach 5</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DD9D2709-56B3-4295-A3FF-47A7B7887FDB}">
            <xm:f>'Quantification Tool R5'!$B$18="Ephemeral"</xm:f>
            <x14:dxf>
              <fill>
                <patternFill patternType="darkDown"/>
              </fill>
            </x14:dxf>
          </x14:cfRule>
          <xm:sqref>C7:O7 C11:O19 C26:O26 C28:O29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54"/>
  <sheetViews>
    <sheetView topLeftCell="M260" zoomScale="70" zoomScaleNormal="70" workbookViewId="0">
      <selection activeCell="H15" sqref="H15"/>
    </sheetView>
  </sheetViews>
  <sheetFormatPr defaultColWidth="9.109375" defaultRowHeight="14.4" x14ac:dyDescent="0.3"/>
  <cols>
    <col min="1" max="8" width="11.6640625" style="14" customWidth="1"/>
    <col min="9" max="9" width="11.6640625" style="193" customWidth="1"/>
    <col min="10" max="16" width="11.6640625" style="14" customWidth="1"/>
    <col min="17" max="17" width="11.6640625" style="193" customWidth="1"/>
    <col min="18" max="18" width="13" style="14" customWidth="1"/>
    <col min="19" max="19" width="12.33203125" style="14" customWidth="1"/>
    <col min="20" max="20" width="12.109375" style="14" customWidth="1"/>
    <col min="21" max="25" width="11.6640625" style="14" customWidth="1"/>
    <col min="26" max="26" width="11.6640625" style="193" customWidth="1"/>
    <col min="27" max="27" width="15.6640625" style="14" customWidth="1"/>
    <col min="28" max="28" width="11.6640625" style="14" customWidth="1"/>
    <col min="29" max="29" width="16.5546875" style="14" customWidth="1"/>
    <col min="30" max="35" width="11.6640625" style="14" customWidth="1"/>
    <col min="36" max="36" width="11.6640625" style="193" customWidth="1"/>
    <col min="37" max="37" width="15.6640625" style="21" customWidth="1"/>
    <col min="38" max="44" width="11.6640625" style="14" customWidth="1"/>
    <col min="45" max="45" width="11.6640625" style="193" customWidth="1"/>
    <col min="46" max="51" width="11.6640625" style="14" customWidth="1"/>
    <col min="52" max="16384" width="9.109375" style="14"/>
  </cols>
  <sheetData>
    <row r="1" spans="1:43" x14ac:dyDescent="0.3">
      <c r="A1" s="14" t="s">
        <v>125</v>
      </c>
    </row>
    <row r="2" spans="1:43" x14ac:dyDescent="0.3">
      <c r="A2" s="14" t="s">
        <v>126</v>
      </c>
    </row>
    <row r="3" spans="1:43" x14ac:dyDescent="0.3">
      <c r="A3" s="14" t="s">
        <v>127</v>
      </c>
    </row>
    <row r="5" spans="1:43" ht="15" customHeight="1" x14ac:dyDescent="0.3">
      <c r="B5" s="709" t="s">
        <v>76</v>
      </c>
      <c r="C5" s="709"/>
      <c r="D5" s="709"/>
      <c r="E5" s="709"/>
      <c r="F5" s="709"/>
      <c r="G5" s="709"/>
      <c r="H5" s="709"/>
      <c r="I5" s="272"/>
      <c r="J5" s="709" t="s">
        <v>75</v>
      </c>
      <c r="K5" s="709"/>
      <c r="L5" s="709"/>
      <c r="M5" s="709"/>
      <c r="N5" s="709"/>
      <c r="O5" s="709"/>
      <c r="P5" s="709"/>
      <c r="Q5" s="214"/>
      <c r="R5" s="709" t="s">
        <v>77</v>
      </c>
      <c r="S5" s="709"/>
      <c r="T5" s="709"/>
      <c r="U5" s="709"/>
      <c r="V5" s="709"/>
      <c r="W5" s="709"/>
      <c r="X5" s="709"/>
      <c r="Y5" s="709"/>
      <c r="AA5" s="709" t="s">
        <v>78</v>
      </c>
      <c r="AB5" s="709"/>
      <c r="AC5" s="709"/>
      <c r="AD5" s="709"/>
      <c r="AE5" s="709"/>
      <c r="AF5" s="709"/>
      <c r="AG5" s="709"/>
      <c r="AH5" s="709"/>
      <c r="AI5" s="2"/>
      <c r="AJ5" s="266"/>
      <c r="AK5" s="709" t="s">
        <v>79</v>
      </c>
      <c r="AL5" s="709"/>
      <c r="AM5" s="709"/>
      <c r="AN5" s="709"/>
      <c r="AO5" s="709"/>
      <c r="AP5" s="709"/>
      <c r="AQ5" s="709"/>
    </row>
    <row r="6" spans="1:43" ht="15" customHeight="1" x14ac:dyDescent="0.3">
      <c r="A6" s="3"/>
      <c r="B6" s="709"/>
      <c r="C6" s="709"/>
      <c r="D6" s="709"/>
      <c r="E6" s="709"/>
      <c r="F6" s="709"/>
      <c r="G6" s="709"/>
      <c r="H6" s="709"/>
      <c r="I6" s="272"/>
      <c r="J6" s="709"/>
      <c r="K6" s="709"/>
      <c r="L6" s="709"/>
      <c r="M6" s="709"/>
      <c r="N6" s="709"/>
      <c r="O6" s="709"/>
      <c r="P6" s="709"/>
      <c r="Q6" s="214"/>
      <c r="R6" s="709"/>
      <c r="S6" s="709"/>
      <c r="T6" s="709"/>
      <c r="U6" s="709"/>
      <c r="V6" s="709"/>
      <c r="W6" s="709"/>
      <c r="X6" s="709"/>
      <c r="Y6" s="709"/>
      <c r="AA6" s="709"/>
      <c r="AB6" s="709"/>
      <c r="AC6" s="709"/>
      <c r="AD6" s="709"/>
      <c r="AE6" s="709"/>
      <c r="AF6" s="709"/>
      <c r="AG6" s="709"/>
      <c r="AH6" s="709"/>
      <c r="AI6" s="2"/>
      <c r="AJ6" s="266"/>
      <c r="AK6" s="709"/>
      <c r="AL6" s="709"/>
      <c r="AM6" s="709"/>
      <c r="AN6" s="709"/>
      <c r="AO6" s="709"/>
      <c r="AP6" s="709"/>
      <c r="AQ6" s="709"/>
    </row>
    <row r="7" spans="1:43" x14ac:dyDescent="0.3">
      <c r="A7" s="3"/>
      <c r="B7" s="3"/>
      <c r="C7" s="3"/>
      <c r="D7" s="3"/>
      <c r="E7" s="3"/>
      <c r="F7" s="3"/>
      <c r="G7" s="3"/>
      <c r="H7" s="3"/>
      <c r="I7" s="273"/>
      <c r="M7" s="1"/>
      <c r="N7" s="1"/>
      <c r="O7" s="1"/>
      <c r="P7" s="1"/>
      <c r="Q7" s="214"/>
      <c r="R7" s="1"/>
      <c r="S7" s="1"/>
      <c r="T7" s="1"/>
      <c r="AG7" s="1"/>
    </row>
    <row r="8" spans="1:43" x14ac:dyDescent="0.3">
      <c r="J8" s="15"/>
      <c r="M8" s="1"/>
      <c r="N8" s="2"/>
      <c r="O8" s="2"/>
      <c r="P8" s="2"/>
      <c r="Q8" s="266"/>
      <c r="R8" s="2"/>
      <c r="S8" s="2"/>
      <c r="T8" s="2"/>
    </row>
    <row r="9" spans="1:43" ht="16.2" thickBot="1" x14ac:dyDescent="0.35">
      <c r="B9" s="138" t="s">
        <v>388</v>
      </c>
      <c r="J9" s="14" t="s">
        <v>0</v>
      </c>
      <c r="R9" s="14" t="s">
        <v>25</v>
      </c>
      <c r="AA9" s="14" t="s">
        <v>212</v>
      </c>
      <c r="AK9" s="21" t="s">
        <v>158</v>
      </c>
    </row>
    <row r="10" spans="1:43" x14ac:dyDescent="0.3">
      <c r="B10" s="4" t="s">
        <v>15</v>
      </c>
      <c r="C10" s="259">
        <v>0</v>
      </c>
      <c r="D10" s="260"/>
      <c r="E10" s="260"/>
      <c r="F10" s="260"/>
      <c r="G10" s="260"/>
      <c r="H10" s="261">
        <v>0.95</v>
      </c>
      <c r="I10" s="274"/>
      <c r="J10" s="5" t="s">
        <v>15</v>
      </c>
      <c r="K10" s="5"/>
      <c r="L10" s="5">
        <v>1.6</v>
      </c>
      <c r="M10" s="5">
        <v>1.5</v>
      </c>
      <c r="N10" s="132"/>
      <c r="O10" s="5">
        <v>1.2</v>
      </c>
      <c r="P10" s="6">
        <v>1</v>
      </c>
      <c r="R10" s="5" t="s">
        <v>404</v>
      </c>
      <c r="S10" s="5">
        <v>0</v>
      </c>
      <c r="T10" s="5"/>
      <c r="U10" s="5"/>
      <c r="V10" s="5"/>
      <c r="W10" s="5">
        <v>250</v>
      </c>
      <c r="X10" s="6">
        <v>850</v>
      </c>
      <c r="AA10" s="5" t="s">
        <v>4</v>
      </c>
      <c r="AB10" s="111"/>
      <c r="AC10" s="39"/>
      <c r="AD10" s="5">
        <v>941</v>
      </c>
      <c r="AE10" s="39"/>
      <c r="AF10" s="111">
        <v>487</v>
      </c>
      <c r="AG10" s="6">
        <v>0</v>
      </c>
      <c r="AK10" s="217" t="s">
        <v>159</v>
      </c>
      <c r="AL10" s="5">
        <v>0</v>
      </c>
      <c r="AM10" s="5"/>
      <c r="AN10" s="95">
        <v>22</v>
      </c>
      <c r="AO10" s="95"/>
      <c r="AP10" s="95"/>
      <c r="AQ10" s="6">
        <v>30</v>
      </c>
    </row>
    <row r="11" spans="1:43" ht="15" thickBot="1" x14ac:dyDescent="0.35">
      <c r="B11" s="7" t="s">
        <v>16</v>
      </c>
      <c r="C11" s="8">
        <v>0</v>
      </c>
      <c r="D11" s="8">
        <v>0.28999999999999998</v>
      </c>
      <c r="E11" s="9">
        <v>0.3</v>
      </c>
      <c r="F11" s="9">
        <v>0.69</v>
      </c>
      <c r="G11" s="10">
        <v>0.7</v>
      </c>
      <c r="H11" s="11">
        <v>1</v>
      </c>
      <c r="I11" s="266"/>
      <c r="J11" s="265" t="s">
        <v>16</v>
      </c>
      <c r="K11" s="8">
        <v>0</v>
      </c>
      <c r="L11" s="8">
        <v>0.2</v>
      </c>
      <c r="M11" s="9">
        <v>0.3</v>
      </c>
      <c r="N11" s="133">
        <v>0.69</v>
      </c>
      <c r="O11" s="10">
        <v>0.7</v>
      </c>
      <c r="P11" s="11">
        <v>1</v>
      </c>
      <c r="R11" s="100" t="s">
        <v>405</v>
      </c>
      <c r="S11" s="37">
        <v>0</v>
      </c>
      <c r="T11" s="37"/>
      <c r="U11" s="37"/>
      <c r="V11" s="37"/>
      <c r="W11" s="37">
        <v>180</v>
      </c>
      <c r="X11" s="38">
        <v>350</v>
      </c>
      <c r="AA11" s="265" t="s">
        <v>5</v>
      </c>
      <c r="AB11" s="8">
        <v>0</v>
      </c>
      <c r="AC11" s="8">
        <v>0.28999999999999998</v>
      </c>
      <c r="AD11" s="9">
        <v>0.3</v>
      </c>
      <c r="AE11" s="9">
        <v>0.69</v>
      </c>
      <c r="AF11" s="10">
        <v>0.7</v>
      </c>
      <c r="AG11" s="11">
        <v>1</v>
      </c>
      <c r="AK11" s="100" t="s">
        <v>160</v>
      </c>
      <c r="AL11" s="37">
        <v>0</v>
      </c>
      <c r="AM11" s="37"/>
      <c r="AN11" s="108">
        <v>32</v>
      </c>
      <c r="AO11" s="108"/>
      <c r="AP11" s="108"/>
      <c r="AQ11" s="38">
        <v>42</v>
      </c>
    </row>
    <row r="12" spans="1:43" ht="15" customHeight="1" thickBot="1" x14ac:dyDescent="0.35">
      <c r="R12" s="265" t="s">
        <v>16</v>
      </c>
      <c r="S12" s="8">
        <v>0</v>
      </c>
      <c r="T12" s="8">
        <v>0.28999999999999998</v>
      </c>
      <c r="U12" s="9">
        <v>0.3</v>
      </c>
      <c r="V12" s="9">
        <v>0.69</v>
      </c>
      <c r="W12" s="10">
        <v>0.7</v>
      </c>
      <c r="X12" s="11">
        <v>1</v>
      </c>
      <c r="AA12" s="21"/>
      <c r="AB12" s="110"/>
      <c r="AC12" s="21"/>
      <c r="AD12" s="109"/>
      <c r="AE12" s="109"/>
      <c r="AF12" s="109"/>
      <c r="AG12" s="109"/>
      <c r="AH12" s="109"/>
      <c r="AK12" s="265" t="s">
        <v>5</v>
      </c>
      <c r="AL12" s="8">
        <v>0</v>
      </c>
      <c r="AM12" s="8">
        <v>0.28999999999999998</v>
      </c>
      <c r="AN12" s="9">
        <v>0.5</v>
      </c>
      <c r="AO12" s="9">
        <v>0.69</v>
      </c>
      <c r="AP12" s="10">
        <v>0.7</v>
      </c>
      <c r="AQ12" s="11">
        <v>1</v>
      </c>
    </row>
    <row r="13" spans="1:43" ht="15" customHeight="1" x14ac:dyDescent="0.3">
      <c r="C13" s="715" t="s">
        <v>171</v>
      </c>
      <c r="D13" s="715"/>
      <c r="K13" s="135" t="s">
        <v>178</v>
      </c>
      <c r="R13" s="37"/>
      <c r="S13" s="37"/>
      <c r="T13" s="37"/>
      <c r="U13" s="37"/>
      <c r="V13" s="37"/>
      <c r="W13" s="37"/>
      <c r="X13" s="37"/>
      <c r="Y13" s="37"/>
      <c r="AB13" s="135" t="s">
        <v>171</v>
      </c>
    </row>
    <row r="14" spans="1:43" ht="15" customHeight="1" x14ac:dyDescent="0.3">
      <c r="B14" s="14" t="s">
        <v>110</v>
      </c>
      <c r="C14" s="14">
        <v>1.0529999999999999</v>
      </c>
      <c r="D14" s="13"/>
      <c r="F14" s="1"/>
      <c r="G14" s="99"/>
      <c r="H14" s="99"/>
      <c r="I14" s="275"/>
      <c r="J14" s="12" t="s">
        <v>110</v>
      </c>
      <c r="K14" s="13">
        <v>0.46610000000000001</v>
      </c>
      <c r="L14" s="13"/>
      <c r="S14" s="119" t="s">
        <v>171</v>
      </c>
      <c r="T14" s="119"/>
      <c r="AB14" s="186" t="s">
        <v>83</v>
      </c>
      <c r="AC14" s="186" t="s">
        <v>208</v>
      </c>
      <c r="AL14" s="135" t="s">
        <v>171</v>
      </c>
      <c r="AM14" s="135"/>
    </row>
    <row r="15" spans="1:43" x14ac:dyDescent="0.3">
      <c r="B15" s="13" t="s">
        <v>111</v>
      </c>
      <c r="C15" s="13">
        <v>0</v>
      </c>
      <c r="D15" s="13"/>
      <c r="F15" s="1"/>
      <c r="G15" s="1"/>
      <c r="H15" s="1"/>
      <c r="J15" s="12" t="s">
        <v>111</v>
      </c>
      <c r="K15" s="13">
        <v>-2.5550999999999999</v>
      </c>
      <c r="L15" s="13"/>
      <c r="S15" s="717" t="str">
        <f>R10</f>
        <v>66 &amp; 74/65</v>
      </c>
      <c r="T15" s="717"/>
      <c r="U15" s="717" t="str">
        <f>R11</f>
        <v>67, 68/69, &amp; 71</v>
      </c>
      <c r="V15" s="717"/>
      <c r="AA15" s="101" t="s">
        <v>110</v>
      </c>
      <c r="AB15" s="188">
        <v>-6.1600000000000001E-4</v>
      </c>
      <c r="AC15" s="189">
        <v>-8.8105726999999998E-4</v>
      </c>
      <c r="AK15" s="1"/>
      <c r="AL15" s="100" t="s">
        <v>167</v>
      </c>
      <c r="AM15" s="100" t="s">
        <v>168</v>
      </c>
      <c r="AN15" s="100" t="s">
        <v>169</v>
      </c>
      <c r="AO15" s="100" t="s">
        <v>170</v>
      </c>
    </row>
    <row r="16" spans="1:43" x14ac:dyDescent="0.3">
      <c r="B16" s="13"/>
      <c r="C16" s="13"/>
      <c r="D16" s="13"/>
      <c r="F16" s="1"/>
      <c r="G16" s="1"/>
      <c r="H16" s="1"/>
      <c r="J16" s="12" t="s">
        <v>113</v>
      </c>
      <c r="K16" s="13">
        <v>3.0907</v>
      </c>
      <c r="L16" s="13"/>
      <c r="M16" s="16"/>
      <c r="R16" s="21"/>
      <c r="S16" s="18" t="s">
        <v>115</v>
      </c>
      <c r="T16" s="18" t="s">
        <v>83</v>
      </c>
      <c r="U16" s="18" t="s">
        <v>115</v>
      </c>
      <c r="V16" s="18" t="s">
        <v>83</v>
      </c>
      <c r="AA16" s="101" t="s">
        <v>111</v>
      </c>
      <c r="AB16" s="190">
        <v>1</v>
      </c>
      <c r="AC16" s="188">
        <v>1.1290749</v>
      </c>
      <c r="AK16" s="258" t="s">
        <v>110</v>
      </c>
      <c r="AL16" s="13">
        <v>2.2700000000000001E-2</v>
      </c>
      <c r="AM16" s="13">
        <v>6.25E-2</v>
      </c>
      <c r="AN16" s="13">
        <v>1.5599999999999999E-2</v>
      </c>
      <c r="AO16" s="13">
        <v>0.05</v>
      </c>
    </row>
    <row r="17" spans="2:41" x14ac:dyDescent="0.3">
      <c r="B17" s="13"/>
      <c r="C17" s="13"/>
      <c r="D17" s="74"/>
      <c r="F17" s="1"/>
      <c r="G17" s="1"/>
      <c r="H17" s="1"/>
      <c r="J17" s="13"/>
      <c r="K17" s="13"/>
      <c r="L17" s="74"/>
      <c r="R17" s="18" t="s">
        <v>110</v>
      </c>
      <c r="S17" s="21">
        <v>2.8E-3</v>
      </c>
      <c r="T17" s="21">
        <v>5.0000000000000001E-4</v>
      </c>
      <c r="U17" s="14">
        <v>3.8999999999999998E-3</v>
      </c>
      <c r="V17" s="1">
        <v>1.8E-3</v>
      </c>
      <c r="AA17" s="1"/>
      <c r="AB17" s="1"/>
      <c r="AC17" s="1"/>
      <c r="AK17" s="258" t="s">
        <v>111</v>
      </c>
      <c r="AL17" s="13">
        <v>0</v>
      </c>
      <c r="AM17" s="13">
        <v>-0.875</v>
      </c>
      <c r="AN17" s="13">
        <v>0</v>
      </c>
      <c r="AO17" s="13">
        <v>-1.1000000000000001</v>
      </c>
    </row>
    <row r="18" spans="2:41" x14ac:dyDescent="0.3">
      <c r="B18" s="1"/>
      <c r="J18" s="1"/>
      <c r="R18" s="18" t="s">
        <v>111</v>
      </c>
      <c r="S18" s="21">
        <v>0</v>
      </c>
      <c r="T18" s="21">
        <v>0.57499999999999996</v>
      </c>
      <c r="U18" s="14">
        <v>0</v>
      </c>
      <c r="V18" s="1">
        <v>0.38240000000000002</v>
      </c>
      <c r="AA18" s="1"/>
      <c r="AB18" s="1"/>
      <c r="AC18" s="1"/>
      <c r="AK18" s="258"/>
      <c r="AL18" s="13"/>
      <c r="AM18" s="13"/>
      <c r="AN18" s="16"/>
    </row>
    <row r="19" spans="2:41" x14ac:dyDescent="0.3">
      <c r="B19" s="1"/>
      <c r="J19" s="1"/>
      <c r="R19" s="18"/>
      <c r="S19" s="1"/>
      <c r="T19" s="100"/>
      <c r="AK19" s="1"/>
      <c r="AL19" s="13"/>
      <c r="AM19" s="74"/>
    </row>
    <row r="20" spans="2:41" x14ac:dyDescent="0.3">
      <c r="R20" s="21"/>
      <c r="S20" s="1"/>
      <c r="T20" s="21"/>
    </row>
    <row r="22" spans="2:41" x14ac:dyDescent="0.3">
      <c r="AH22" s="19"/>
    </row>
    <row r="43" spans="2:43" ht="15" thickBot="1" x14ac:dyDescent="0.35">
      <c r="B43" s="1"/>
      <c r="C43" s="1"/>
      <c r="D43" s="1"/>
      <c r="E43" s="1"/>
      <c r="F43" s="1"/>
      <c r="G43" s="1"/>
      <c r="H43" s="1"/>
      <c r="J43" s="13" t="s">
        <v>14</v>
      </c>
      <c r="K43" s="13"/>
      <c r="L43" s="13"/>
      <c r="M43" s="13"/>
      <c r="N43" s="13"/>
      <c r="O43" s="13"/>
      <c r="P43" s="13"/>
    </row>
    <row r="44" spans="2:43" ht="15" thickBot="1" x14ac:dyDescent="0.35">
      <c r="B44" s="1"/>
      <c r="C44" s="99"/>
      <c r="D44" s="99"/>
      <c r="E44" s="1"/>
      <c r="F44" s="1"/>
      <c r="G44" s="1"/>
      <c r="H44" s="1"/>
      <c r="J44" s="5" t="s">
        <v>15</v>
      </c>
      <c r="K44" s="20"/>
      <c r="L44" s="20"/>
      <c r="M44" s="20">
        <v>2</v>
      </c>
      <c r="N44" s="20"/>
      <c r="O44" s="20">
        <v>2.4</v>
      </c>
      <c r="P44" s="131">
        <v>5</v>
      </c>
      <c r="AA44" s="14" t="s">
        <v>275</v>
      </c>
      <c r="AK44" s="21" t="s">
        <v>172</v>
      </c>
    </row>
    <row r="45" spans="2:43" ht="15" thickBot="1" x14ac:dyDescent="0.35">
      <c r="B45" s="1"/>
      <c r="C45" s="1"/>
      <c r="D45" s="1"/>
      <c r="E45" s="1"/>
      <c r="F45" s="1"/>
      <c r="G45" s="99"/>
      <c r="H45" s="99"/>
      <c r="J45" s="265" t="s">
        <v>16</v>
      </c>
      <c r="K45" s="8">
        <v>0</v>
      </c>
      <c r="L45" s="8">
        <v>0.28999999999999998</v>
      </c>
      <c r="M45" s="9">
        <v>0.3</v>
      </c>
      <c r="N45" s="9">
        <v>0.69</v>
      </c>
      <c r="O45" s="10">
        <v>0.7</v>
      </c>
      <c r="P45" s="11">
        <v>1</v>
      </c>
      <c r="R45" s="14" t="s">
        <v>322</v>
      </c>
      <c r="AA45" s="268" t="s">
        <v>162</v>
      </c>
      <c r="AB45" s="95">
        <v>100</v>
      </c>
      <c r="AC45" s="95"/>
      <c r="AD45" s="95">
        <v>51.225000000000001</v>
      </c>
      <c r="AE45" s="95">
        <v>26.900000000000002</v>
      </c>
      <c r="AF45" s="95"/>
      <c r="AG45" s="170">
        <v>12.400000000000002</v>
      </c>
      <c r="AK45" s="217" t="s">
        <v>173</v>
      </c>
      <c r="AL45" s="5">
        <v>0</v>
      </c>
      <c r="AM45" s="5"/>
      <c r="AN45" s="95">
        <v>9.1999999999999993</v>
      </c>
      <c r="AO45" s="95">
        <v>13.6</v>
      </c>
      <c r="AP45" s="95"/>
      <c r="AQ45" s="170">
        <v>15.6</v>
      </c>
    </row>
    <row r="46" spans="2:43" x14ac:dyDescent="0.3">
      <c r="B46" s="1"/>
      <c r="C46" s="1"/>
      <c r="D46" s="1"/>
      <c r="E46" s="1"/>
      <c r="F46" s="1"/>
      <c r="G46" s="1"/>
      <c r="H46" s="1"/>
      <c r="R46" s="5" t="s">
        <v>404</v>
      </c>
      <c r="S46" s="5">
        <v>0</v>
      </c>
      <c r="T46" s="5"/>
      <c r="U46" s="5"/>
      <c r="V46" s="5"/>
      <c r="W46" s="5">
        <v>13</v>
      </c>
      <c r="X46" s="6">
        <v>30</v>
      </c>
      <c r="AA46" s="99" t="s">
        <v>163</v>
      </c>
      <c r="AB46" s="108">
        <v>100</v>
      </c>
      <c r="AC46" s="171"/>
      <c r="AD46" s="171">
        <v>53.575000000000003</v>
      </c>
      <c r="AE46" s="171">
        <v>30.450000000000003</v>
      </c>
      <c r="AF46" s="171"/>
      <c r="AG46" s="172">
        <v>16.400000000000006</v>
      </c>
      <c r="AK46" s="100" t="s">
        <v>174</v>
      </c>
      <c r="AL46" s="37">
        <v>0</v>
      </c>
      <c r="AM46" s="37"/>
      <c r="AN46" s="108">
        <v>11.5</v>
      </c>
      <c r="AO46" s="108">
        <v>17.100000000000001</v>
      </c>
      <c r="AP46" s="108"/>
      <c r="AQ46" s="173">
        <v>19.899999999999999</v>
      </c>
    </row>
    <row r="47" spans="2:43" x14ac:dyDescent="0.3">
      <c r="B47" s="1"/>
      <c r="C47" s="1"/>
      <c r="D47" s="1"/>
      <c r="E47" s="1"/>
      <c r="F47" s="1"/>
      <c r="G47" s="1"/>
      <c r="H47" s="1"/>
      <c r="K47" s="715" t="s">
        <v>171</v>
      </c>
      <c r="L47" s="715"/>
      <c r="R47" s="100" t="s">
        <v>405</v>
      </c>
      <c r="S47" s="37">
        <v>0</v>
      </c>
      <c r="T47" s="37"/>
      <c r="U47" s="37"/>
      <c r="V47" s="37"/>
      <c r="W47" s="37">
        <v>9</v>
      </c>
      <c r="X47" s="38">
        <v>16</v>
      </c>
      <c r="AA47" s="99" t="s">
        <v>164</v>
      </c>
      <c r="AB47" s="108">
        <v>100</v>
      </c>
      <c r="AC47" s="108"/>
      <c r="AD47" s="108">
        <v>56.875</v>
      </c>
      <c r="AE47" s="108">
        <v>35.450000000000003</v>
      </c>
      <c r="AF47" s="108"/>
      <c r="AG47" s="173">
        <v>22.949999999999992</v>
      </c>
      <c r="AK47" s="100" t="s">
        <v>175</v>
      </c>
      <c r="AL47" s="37">
        <v>0</v>
      </c>
      <c r="AM47" s="37"/>
      <c r="AN47" s="108">
        <v>14.15</v>
      </c>
      <c r="AO47" s="108">
        <v>21.1</v>
      </c>
      <c r="AP47" s="108"/>
      <c r="AQ47" s="173">
        <v>24.7</v>
      </c>
    </row>
    <row r="48" spans="2:43" ht="15" thickBot="1" x14ac:dyDescent="0.35">
      <c r="B48" s="13"/>
      <c r="C48" s="13"/>
      <c r="D48" s="74"/>
      <c r="F48" s="1"/>
      <c r="G48" s="1"/>
      <c r="H48" s="1"/>
      <c r="I48" s="276"/>
      <c r="K48" s="129" t="s">
        <v>83</v>
      </c>
      <c r="L48" s="129" t="s">
        <v>124</v>
      </c>
      <c r="R48" s="265" t="s">
        <v>16</v>
      </c>
      <c r="S48" s="8">
        <v>0</v>
      </c>
      <c r="T48" s="8">
        <v>0.28999999999999998</v>
      </c>
      <c r="U48" s="9">
        <v>0.3</v>
      </c>
      <c r="V48" s="9">
        <v>0.69</v>
      </c>
      <c r="W48" s="10">
        <v>0.7</v>
      </c>
      <c r="X48" s="11">
        <v>1</v>
      </c>
      <c r="AA48" s="99" t="s">
        <v>165</v>
      </c>
      <c r="AB48" s="108">
        <v>100</v>
      </c>
      <c r="AC48" s="108"/>
      <c r="AD48" s="108">
        <v>64.174999999999997</v>
      </c>
      <c r="AE48" s="108">
        <v>46.325000000000003</v>
      </c>
      <c r="AF48" s="108"/>
      <c r="AG48" s="173">
        <v>35.957142857142856</v>
      </c>
      <c r="AK48" s="100" t="s">
        <v>176</v>
      </c>
      <c r="AL48" s="37">
        <v>0</v>
      </c>
      <c r="AM48" s="37"/>
      <c r="AN48" s="108">
        <v>18.5</v>
      </c>
      <c r="AO48" s="108">
        <v>27.7</v>
      </c>
      <c r="AP48" s="108"/>
      <c r="AQ48" s="173">
        <v>32.700000000000003</v>
      </c>
    </row>
    <row r="49" spans="2:43" ht="15" thickBot="1" x14ac:dyDescent="0.35">
      <c r="B49" s="1"/>
      <c r="I49" s="266"/>
      <c r="J49" s="12" t="s">
        <v>110</v>
      </c>
      <c r="K49" s="13">
        <v>0.1154</v>
      </c>
      <c r="L49" s="13">
        <v>1</v>
      </c>
      <c r="R49" s="37"/>
      <c r="S49" s="37"/>
      <c r="T49" s="37"/>
      <c r="U49" s="37"/>
      <c r="V49" s="37"/>
      <c r="W49" s="37"/>
      <c r="X49" s="37"/>
      <c r="AA49" s="265" t="s">
        <v>5</v>
      </c>
      <c r="AB49" s="8">
        <v>0</v>
      </c>
      <c r="AC49" s="8">
        <v>0.28999999999999998</v>
      </c>
      <c r="AD49" s="9">
        <v>0.3</v>
      </c>
      <c r="AE49" s="9">
        <v>0.69</v>
      </c>
      <c r="AF49" s="10">
        <v>0.7</v>
      </c>
      <c r="AG49" s="11">
        <v>1</v>
      </c>
      <c r="AK49" s="100" t="s">
        <v>177</v>
      </c>
      <c r="AL49" s="37">
        <v>0</v>
      </c>
      <c r="AM49" s="37"/>
      <c r="AN49" s="108">
        <v>23.3</v>
      </c>
      <c r="AO49" s="108">
        <v>34.9</v>
      </c>
      <c r="AP49" s="108"/>
      <c r="AQ49" s="173">
        <v>41.2</v>
      </c>
    </row>
    <row r="50" spans="2:43" ht="15" thickBot="1" x14ac:dyDescent="0.35">
      <c r="B50" s="1"/>
      <c r="J50" s="12" t="s">
        <v>111</v>
      </c>
      <c r="K50" s="13">
        <v>0.42309999999999998</v>
      </c>
      <c r="L50" s="13">
        <v>-1.7</v>
      </c>
      <c r="R50" s="37"/>
      <c r="S50" s="119" t="s">
        <v>171</v>
      </c>
      <c r="T50" s="37"/>
      <c r="U50" s="37"/>
      <c r="V50" s="37"/>
      <c r="W50" s="37"/>
      <c r="X50" s="37"/>
      <c r="AK50" s="265" t="s">
        <v>5</v>
      </c>
      <c r="AL50" s="182">
        <v>0</v>
      </c>
      <c r="AM50" s="182"/>
      <c r="AN50" s="182">
        <v>0.21</v>
      </c>
      <c r="AO50" s="160">
        <v>0.48</v>
      </c>
      <c r="AP50" s="160"/>
      <c r="AQ50" s="183">
        <v>0.69</v>
      </c>
    </row>
    <row r="51" spans="2:43" x14ac:dyDescent="0.3">
      <c r="J51" s="12"/>
      <c r="K51" s="13"/>
      <c r="L51" s="74"/>
      <c r="R51" s="21"/>
      <c r="S51" s="717" t="str">
        <f>R46</f>
        <v>66 &amp; 74/65</v>
      </c>
      <c r="T51" s="717"/>
      <c r="U51" s="717" t="str">
        <f>R47</f>
        <v>67, 68/69, &amp; 71</v>
      </c>
      <c r="V51" s="717"/>
      <c r="W51" s="21"/>
      <c r="AB51" s="710" t="s">
        <v>166</v>
      </c>
      <c r="AC51" s="710"/>
      <c r="AD51" s="710"/>
      <c r="AE51" s="710"/>
    </row>
    <row r="52" spans="2:43" x14ac:dyDescent="0.3">
      <c r="J52" s="13"/>
      <c r="K52" s="13"/>
      <c r="L52" s="13"/>
      <c r="R52" s="21"/>
      <c r="S52" s="18" t="s">
        <v>115</v>
      </c>
      <c r="T52" s="18" t="s">
        <v>83</v>
      </c>
      <c r="U52" s="18" t="s">
        <v>115</v>
      </c>
      <c r="V52" s="18" t="s">
        <v>83</v>
      </c>
      <c r="W52" s="21"/>
      <c r="AB52" s="99" t="s">
        <v>162</v>
      </c>
      <c r="AC52" s="99" t="s">
        <v>163</v>
      </c>
      <c r="AD52" s="99" t="s">
        <v>164</v>
      </c>
      <c r="AE52" s="99" t="s">
        <v>165</v>
      </c>
      <c r="AL52" s="97" t="s">
        <v>178</v>
      </c>
      <c r="AM52" s="97"/>
    </row>
    <row r="53" spans="2:43" x14ac:dyDescent="0.3">
      <c r="I53" s="221"/>
      <c r="R53" s="18" t="s">
        <v>110</v>
      </c>
      <c r="S53" s="21">
        <v>5.3846199999999997E-2</v>
      </c>
      <c r="T53" s="21">
        <v>1.74647E-2</v>
      </c>
      <c r="U53" s="14">
        <v>7.7799999999999994E-2</v>
      </c>
      <c r="V53" s="1">
        <v>4.2900000000000001E-2</v>
      </c>
      <c r="AA53" s="101" t="s">
        <v>110</v>
      </c>
      <c r="AB53" s="13">
        <v>1.36E-4</v>
      </c>
      <c r="AC53" s="13">
        <v>1.4799999999999999E-4</v>
      </c>
      <c r="AD53" s="14">
        <v>1.7799999999999999E-4</v>
      </c>
      <c r="AE53" s="14">
        <v>2.5799999999999998E-4</v>
      </c>
      <c r="AL53" s="100" t="s">
        <v>173</v>
      </c>
      <c r="AM53" s="100" t="s">
        <v>174</v>
      </c>
      <c r="AN53" s="100" t="s">
        <v>175</v>
      </c>
      <c r="AO53" s="100" t="s">
        <v>176</v>
      </c>
      <c r="AP53" s="100" t="s">
        <v>177</v>
      </c>
    </row>
    <row r="54" spans="2:43" x14ac:dyDescent="0.3">
      <c r="I54" s="214"/>
      <c r="R54" s="18" t="s">
        <v>111</v>
      </c>
      <c r="S54" s="21">
        <v>0</v>
      </c>
      <c r="T54" s="21">
        <v>0.47058800000000001</v>
      </c>
      <c r="U54" s="14">
        <v>0</v>
      </c>
      <c r="V54" s="1">
        <v>0.31430000000000002</v>
      </c>
      <c r="AA54" s="101" t="s">
        <v>111</v>
      </c>
      <c r="AB54" s="13">
        <v>-2.6662999999999999E-2</v>
      </c>
      <c r="AC54" s="13">
        <v>-2.9159000000000001E-2</v>
      </c>
      <c r="AD54" s="1">
        <v>-3.4851E-2</v>
      </c>
      <c r="AE54" s="1">
        <v>-5.0597999999999997E-2</v>
      </c>
      <c r="AK54" s="258" t="s">
        <v>110</v>
      </c>
      <c r="AL54" s="13">
        <v>3.388E-3</v>
      </c>
      <c r="AM54" s="13">
        <v>1.9780000000000002E-3</v>
      </c>
      <c r="AN54" s="14">
        <v>1.255E-3</v>
      </c>
      <c r="AO54" s="14">
        <v>6.9200000000000002E-4</v>
      </c>
      <c r="AP54" s="14">
        <v>4.3600000000000003E-4</v>
      </c>
    </row>
    <row r="55" spans="2:43" x14ac:dyDescent="0.3">
      <c r="I55" s="214"/>
      <c r="R55" s="18"/>
      <c r="S55" s="1"/>
      <c r="T55" s="100"/>
      <c r="AA55" s="169" t="s">
        <v>113</v>
      </c>
      <c r="AB55" s="13">
        <v>1.309512</v>
      </c>
      <c r="AC55" s="13">
        <v>1.439346</v>
      </c>
      <c r="AD55" s="14">
        <v>1.704521</v>
      </c>
      <c r="AE55" s="14">
        <v>2.4846119999999998</v>
      </c>
      <c r="AK55" s="258" t="s">
        <v>111</v>
      </c>
      <c r="AL55" s="13">
        <v>-9.4509999999999993E-3</v>
      </c>
      <c r="AM55" s="13">
        <v>-5.0930000000000003E-3</v>
      </c>
      <c r="AN55" s="14">
        <v>-3.3119999999999998E-3</v>
      </c>
      <c r="AO55" s="14">
        <v>-1.6479999999999999E-3</v>
      </c>
      <c r="AP55" s="14">
        <v>-1.294E-3</v>
      </c>
    </row>
    <row r="56" spans="2:43" x14ac:dyDescent="0.3">
      <c r="I56" s="214"/>
      <c r="R56" s="21"/>
      <c r="S56" s="1"/>
      <c r="T56" s="21"/>
      <c r="AA56" s="13"/>
      <c r="AB56" s="13"/>
      <c r="AC56" s="74"/>
      <c r="AK56" s="258" t="s">
        <v>113</v>
      </c>
      <c r="AL56" s="13">
        <v>1.189E-3</v>
      </c>
      <c r="AM56" s="13">
        <v>8.3999999999999995E-3</v>
      </c>
      <c r="AN56" s="14">
        <v>6.8599999999999998E-4</v>
      </c>
      <c r="AO56" s="14">
        <v>4.5100000000000001E-4</v>
      </c>
      <c r="AP56" s="14">
        <v>4.55E-4</v>
      </c>
    </row>
    <row r="57" spans="2:43" x14ac:dyDescent="0.3">
      <c r="AA57" s="13"/>
      <c r="AB57" s="13"/>
      <c r="AC57" s="13"/>
      <c r="AK57" s="1"/>
      <c r="AL57" s="13"/>
      <c r="AM57" s="13"/>
      <c r="AN57" s="16"/>
    </row>
    <row r="58" spans="2:43" x14ac:dyDescent="0.3">
      <c r="AK58" s="1"/>
      <c r="AL58" s="13"/>
      <c r="AM58" s="74"/>
    </row>
    <row r="66" spans="2:27" x14ac:dyDescent="0.3">
      <c r="J66" s="15"/>
    </row>
    <row r="70" spans="2:27" x14ac:dyDescent="0.3">
      <c r="F70" s="14" t="str">
        <f>IF(E70="","",IF($B$10&gt;2.5,IF(OR($B$9="71h",$B$9="71i",$B$9="73a",$B$9="74a"),IF(E70&lt;=0.01,1,IF(AND(OR($B$9="71h",$B$9="71i"),E70&gt;0.37),0,ROUND(IF(E70&gt;0.03,'Reference Standards'!$AB$425*E70^2+'Reference Standards'!$AB$426*E70+'Reference Standards'!$AB$427,'Reference Standards'!$AF$426*E70+'Reference Standards'!$AF$427),2))),    IF(E70&lt;=0.002,1,ROUND(E70^2*'Reference Standards'!$AB$347+E70*'Reference Standards'!$AB$348+'Reference Standards'!$AB$349,2))),"DA"))</f>
        <v/>
      </c>
    </row>
    <row r="73" spans="2:27" x14ac:dyDescent="0.3">
      <c r="B73" s="1"/>
      <c r="C73" s="1"/>
      <c r="D73" s="1"/>
      <c r="E73" s="1"/>
      <c r="F73" s="1"/>
      <c r="G73" s="1"/>
      <c r="H73" s="1"/>
    </row>
    <row r="74" spans="2:27" x14ac:dyDescent="0.3">
      <c r="B74" s="293"/>
      <c r="C74" s="262"/>
      <c r="D74" s="263"/>
      <c r="E74" s="263"/>
      <c r="F74" s="263"/>
      <c r="G74" s="263"/>
      <c r="H74" s="262"/>
    </row>
    <row r="75" spans="2:27" x14ac:dyDescent="0.3">
      <c r="B75" s="293"/>
      <c r="C75" s="262"/>
      <c r="D75" s="263"/>
      <c r="E75" s="263"/>
      <c r="F75" s="263"/>
      <c r="G75" s="263"/>
      <c r="H75" s="262"/>
    </row>
    <row r="76" spans="2:27" x14ac:dyDescent="0.3">
      <c r="B76" s="293"/>
      <c r="C76" s="262"/>
      <c r="D76" s="264"/>
      <c r="E76" s="264"/>
      <c r="F76" s="264"/>
      <c r="G76" s="264"/>
      <c r="H76" s="262"/>
    </row>
    <row r="77" spans="2:27" x14ac:dyDescent="0.3">
      <c r="B77" s="2"/>
      <c r="C77" s="2"/>
      <c r="D77" s="2"/>
      <c r="E77" s="2"/>
      <c r="F77" s="2"/>
      <c r="G77" s="2"/>
      <c r="H77" s="2"/>
    </row>
    <row r="78" spans="2:27" ht="15" thickBot="1" x14ac:dyDescent="0.35">
      <c r="J78" s="13" t="s">
        <v>90</v>
      </c>
      <c r="K78" s="13"/>
      <c r="L78" s="13"/>
      <c r="M78" s="13"/>
      <c r="N78" s="13"/>
      <c r="O78" s="13"/>
      <c r="P78" s="13"/>
    </row>
    <row r="79" spans="2:27" x14ac:dyDescent="0.3">
      <c r="C79" s="94"/>
      <c r="D79" s="94"/>
      <c r="E79" s="94"/>
      <c r="J79" s="5" t="s">
        <v>15</v>
      </c>
      <c r="K79" s="5"/>
      <c r="L79" s="5"/>
      <c r="M79" s="5">
        <v>1.2</v>
      </c>
      <c r="N79" s="5"/>
      <c r="O79" s="5">
        <v>1.4</v>
      </c>
      <c r="P79" s="6">
        <v>2.2000000000000002</v>
      </c>
    </row>
    <row r="80" spans="2:27" ht="15" thickBot="1" x14ac:dyDescent="0.35">
      <c r="D80" s="13"/>
      <c r="F80" s="1"/>
      <c r="G80" s="99"/>
      <c r="H80" s="99"/>
      <c r="J80" s="265" t="s">
        <v>16</v>
      </c>
      <c r="K80" s="8">
        <v>0</v>
      </c>
      <c r="L80" s="8">
        <v>0.28999999999999998</v>
      </c>
      <c r="M80" s="9">
        <v>0.3</v>
      </c>
      <c r="N80" s="9">
        <v>0.69</v>
      </c>
      <c r="O80" s="10">
        <v>0.7</v>
      </c>
      <c r="P80" s="11">
        <v>1</v>
      </c>
      <c r="AA80" s="14" t="s">
        <v>265</v>
      </c>
    </row>
    <row r="81" spans="2:43" x14ac:dyDescent="0.3">
      <c r="D81" s="13"/>
      <c r="F81" s="1"/>
      <c r="G81" s="1"/>
      <c r="H81" s="1"/>
      <c r="I81" s="276"/>
      <c r="AA81" s="217" t="s">
        <v>260</v>
      </c>
      <c r="AB81" s="217">
        <v>0.22</v>
      </c>
      <c r="AC81" s="217"/>
      <c r="AD81" s="217">
        <v>0.15</v>
      </c>
      <c r="AE81" s="217"/>
      <c r="AF81" s="217">
        <v>0.01</v>
      </c>
      <c r="AG81" s="218"/>
    </row>
    <row r="82" spans="2:43" ht="15" thickBot="1" x14ac:dyDescent="0.35">
      <c r="B82" s="13"/>
      <c r="C82" s="13"/>
      <c r="D82" s="13"/>
      <c r="F82" s="1"/>
      <c r="G82" s="1"/>
      <c r="H82" s="1"/>
      <c r="I82" s="266"/>
      <c r="J82" s="13"/>
      <c r="K82" s="716" t="s">
        <v>171</v>
      </c>
      <c r="L82" s="716"/>
      <c r="R82" s="14" t="s">
        <v>80</v>
      </c>
      <c r="AA82" s="100" t="s">
        <v>261</v>
      </c>
      <c r="AB82" s="100">
        <v>0.67</v>
      </c>
      <c r="AC82" s="100"/>
      <c r="AD82" s="100">
        <v>0.18</v>
      </c>
      <c r="AE82" s="100"/>
      <c r="AF82" s="100">
        <v>0.01</v>
      </c>
      <c r="AG82" s="219"/>
    </row>
    <row r="83" spans="2:43" ht="15" thickBot="1" x14ac:dyDescent="0.35">
      <c r="B83" s="13"/>
      <c r="C83" s="13"/>
      <c r="D83" s="74"/>
      <c r="F83" s="1"/>
      <c r="G83" s="1"/>
      <c r="H83" s="1"/>
      <c r="J83" s="13"/>
      <c r="K83" s="124" t="s">
        <v>115</v>
      </c>
      <c r="L83" s="124" t="s">
        <v>83</v>
      </c>
      <c r="R83" s="5" t="s">
        <v>15</v>
      </c>
      <c r="S83" s="5">
        <v>0.71</v>
      </c>
      <c r="T83" s="123">
        <v>0.41170000000000001</v>
      </c>
      <c r="U83" s="5">
        <v>0.4</v>
      </c>
      <c r="V83" s="134"/>
      <c r="W83" s="5">
        <v>0.19</v>
      </c>
      <c r="X83" s="6">
        <v>0.1</v>
      </c>
      <c r="AA83" s="100" t="s">
        <v>262</v>
      </c>
      <c r="AB83" s="100">
        <v>0.32</v>
      </c>
      <c r="AC83" s="100"/>
      <c r="AD83" s="100">
        <v>0.25</v>
      </c>
      <c r="AE83" s="100"/>
      <c r="AF83" s="100">
        <v>0.01</v>
      </c>
      <c r="AG83" s="219"/>
      <c r="AK83" s="21" t="s">
        <v>179</v>
      </c>
    </row>
    <row r="84" spans="2:43" ht="15" thickBot="1" x14ac:dyDescent="0.35">
      <c r="B84" s="1"/>
      <c r="J84" s="12" t="s">
        <v>110</v>
      </c>
      <c r="K84" s="13">
        <v>2</v>
      </c>
      <c r="L84" s="13">
        <v>0.375</v>
      </c>
      <c r="R84" s="265" t="s">
        <v>16</v>
      </c>
      <c r="S84" s="8">
        <v>0</v>
      </c>
      <c r="T84" s="8">
        <v>0.28999999999999998</v>
      </c>
      <c r="U84" s="9">
        <v>0.3</v>
      </c>
      <c r="V84" s="9">
        <v>0.69</v>
      </c>
      <c r="W84" s="10">
        <v>0.7</v>
      </c>
      <c r="X84" s="11">
        <v>1</v>
      </c>
      <c r="AA84" s="100" t="s">
        <v>263</v>
      </c>
      <c r="AB84" s="100">
        <v>0.87</v>
      </c>
      <c r="AC84" s="100"/>
      <c r="AD84" s="100">
        <v>0.39</v>
      </c>
      <c r="AE84" s="100"/>
      <c r="AF84" s="100">
        <v>0.01</v>
      </c>
      <c r="AG84" s="219"/>
      <c r="AK84" s="217" t="s">
        <v>180</v>
      </c>
      <c r="AL84" s="5">
        <v>0</v>
      </c>
      <c r="AM84" s="98"/>
      <c r="AN84" s="95">
        <v>27.9</v>
      </c>
      <c r="AO84" s="95">
        <v>41.75</v>
      </c>
      <c r="AP84" s="95"/>
      <c r="AQ84" s="170">
        <v>49.2</v>
      </c>
    </row>
    <row r="85" spans="2:43" x14ac:dyDescent="0.3">
      <c r="B85" s="1"/>
      <c r="J85" s="12" t="s">
        <v>111</v>
      </c>
      <c r="K85" s="13">
        <v>-2.1</v>
      </c>
      <c r="L85" s="13">
        <v>0.17499999999999999</v>
      </c>
      <c r="AA85" s="100" t="s">
        <v>264</v>
      </c>
      <c r="AB85" s="100">
        <v>0.81</v>
      </c>
      <c r="AC85" s="100"/>
      <c r="AD85" s="100">
        <v>0.45</v>
      </c>
      <c r="AE85" s="100"/>
      <c r="AF85" s="100">
        <v>0.01</v>
      </c>
      <c r="AG85" s="219"/>
      <c r="AK85" s="100" t="s">
        <v>181</v>
      </c>
      <c r="AL85" s="37">
        <v>0</v>
      </c>
      <c r="AM85" s="180"/>
      <c r="AN85" s="108">
        <v>30.4</v>
      </c>
      <c r="AO85" s="108">
        <v>45.5</v>
      </c>
      <c r="AP85" s="108"/>
      <c r="AQ85" s="173">
        <v>53.4</v>
      </c>
    </row>
    <row r="86" spans="2:43" ht="15" thickBot="1" x14ac:dyDescent="0.35">
      <c r="I86" s="221"/>
      <c r="J86" s="12"/>
      <c r="K86" s="13"/>
      <c r="L86" s="74"/>
      <c r="R86" s="21"/>
      <c r="S86" s="135" t="s">
        <v>321</v>
      </c>
      <c r="AA86" s="265" t="s">
        <v>5</v>
      </c>
      <c r="AB86" s="8">
        <v>0</v>
      </c>
      <c r="AC86" s="8">
        <v>0.28999999999999998</v>
      </c>
      <c r="AD86" s="9">
        <v>0.3</v>
      </c>
      <c r="AE86" s="9">
        <v>0.69</v>
      </c>
      <c r="AF86" s="10">
        <v>0.7</v>
      </c>
      <c r="AG86" s="11">
        <v>1</v>
      </c>
      <c r="AK86" s="100" t="s">
        <v>182</v>
      </c>
      <c r="AL86" s="37">
        <v>0</v>
      </c>
      <c r="AM86" s="180"/>
      <c r="AN86" s="108">
        <v>32.866666666666667</v>
      </c>
      <c r="AO86" s="108">
        <v>49.166666666666664</v>
      </c>
      <c r="AP86" s="108"/>
      <c r="AQ86" s="173">
        <v>57.8</v>
      </c>
    </row>
    <row r="87" spans="2:43" x14ac:dyDescent="0.3">
      <c r="I87" s="214"/>
      <c r="R87" s="18" t="s">
        <v>110</v>
      </c>
      <c r="S87" s="21">
        <v>-4.976</v>
      </c>
      <c r="T87" s="13"/>
      <c r="AK87" s="100" t="s">
        <v>183</v>
      </c>
      <c r="AL87" s="37">
        <v>0</v>
      </c>
      <c r="AM87" s="180"/>
      <c r="AN87" s="108">
        <v>35.649999999999991</v>
      </c>
      <c r="AO87" s="108">
        <v>53.349999999999994</v>
      </c>
      <c r="AP87" s="108"/>
      <c r="AQ87" s="173">
        <v>62.5</v>
      </c>
    </row>
    <row r="88" spans="2:43" x14ac:dyDescent="0.3">
      <c r="I88" s="214"/>
      <c r="R88" s="18" t="s">
        <v>111</v>
      </c>
      <c r="S88" s="21">
        <v>8.24</v>
      </c>
      <c r="T88" s="13"/>
      <c r="AA88" s="223"/>
      <c r="AB88" s="222" t="s">
        <v>178</v>
      </c>
      <c r="AC88" s="223"/>
      <c r="AD88" s="198"/>
      <c r="AE88" s="706" t="s">
        <v>112</v>
      </c>
      <c r="AF88" s="707"/>
      <c r="AG88" s="706" t="s">
        <v>208</v>
      </c>
      <c r="AH88" s="707"/>
      <c r="AK88" s="100" t="s">
        <v>184</v>
      </c>
      <c r="AL88" s="37">
        <v>0</v>
      </c>
      <c r="AM88" s="180"/>
      <c r="AN88" s="108">
        <v>37.700000000000003</v>
      </c>
      <c r="AO88" s="108">
        <v>56.45</v>
      </c>
      <c r="AP88" s="108"/>
      <c r="AQ88" s="173">
        <v>66.5</v>
      </c>
    </row>
    <row r="89" spans="2:43" x14ac:dyDescent="0.3">
      <c r="I89" s="214"/>
      <c r="R89" s="18" t="s">
        <v>113</v>
      </c>
      <c r="S89" s="1">
        <v>-5.40198</v>
      </c>
      <c r="T89" s="13"/>
      <c r="U89" s="19"/>
      <c r="AA89" s="1"/>
      <c r="AB89" s="100" t="s">
        <v>260</v>
      </c>
      <c r="AC89" s="100" t="s">
        <v>263</v>
      </c>
      <c r="AD89" s="220" t="s">
        <v>264</v>
      </c>
      <c r="AE89" s="216" t="s">
        <v>261</v>
      </c>
      <c r="AF89" s="220" t="s">
        <v>262</v>
      </c>
      <c r="AG89" s="216" t="s">
        <v>261</v>
      </c>
      <c r="AH89" s="220" t="s">
        <v>262</v>
      </c>
      <c r="AK89" s="100" t="s">
        <v>185</v>
      </c>
      <c r="AL89" s="37">
        <v>0</v>
      </c>
      <c r="AM89" s="180"/>
      <c r="AN89" s="108">
        <v>38.950000000000003</v>
      </c>
      <c r="AO89" s="108">
        <v>58.349999999999994</v>
      </c>
      <c r="AP89" s="108"/>
      <c r="AQ89" s="173">
        <v>69</v>
      </c>
    </row>
    <row r="90" spans="2:43" ht="15" thickBot="1" x14ac:dyDescent="0.35">
      <c r="R90" s="101" t="s">
        <v>114</v>
      </c>
      <c r="S90" s="1">
        <v>1.4630000000000001</v>
      </c>
      <c r="T90" s="13"/>
      <c r="U90" s="16"/>
      <c r="AA90" s="258" t="s">
        <v>110</v>
      </c>
      <c r="AB90" s="1">
        <v>-6.8026999999999997</v>
      </c>
      <c r="AC90" s="1">
        <v>0.49719999999999998</v>
      </c>
      <c r="AD90" s="193">
        <v>9.4700000000000006E-2</v>
      </c>
      <c r="AE90" s="192"/>
      <c r="AF90" s="214"/>
      <c r="AG90" s="192"/>
      <c r="AH90" s="193"/>
      <c r="AK90" s="265" t="s">
        <v>5</v>
      </c>
      <c r="AL90" s="182">
        <v>0</v>
      </c>
      <c r="AM90" s="182"/>
      <c r="AN90" s="182">
        <v>0.21</v>
      </c>
      <c r="AO90" s="160">
        <v>0.48</v>
      </c>
      <c r="AP90" s="160"/>
      <c r="AQ90" s="183">
        <v>0.69</v>
      </c>
    </row>
    <row r="91" spans="2:43" x14ac:dyDescent="0.3">
      <c r="R91" s="13"/>
      <c r="S91" s="13"/>
      <c r="T91" s="74"/>
      <c r="AA91" s="258" t="s">
        <v>111</v>
      </c>
      <c r="AB91" s="1">
        <v>-1.7686999999999999</v>
      </c>
      <c r="AC91" s="1">
        <v>-1.2515000000000001</v>
      </c>
      <c r="AD91" s="193">
        <v>-0.95269999999999999</v>
      </c>
      <c r="AE91" s="192">
        <v>-0.61219999999999997</v>
      </c>
      <c r="AF91" s="221">
        <v>-4.2857000000000003</v>
      </c>
      <c r="AG91" s="215">
        <v>-2.3529</v>
      </c>
      <c r="AH91" s="193">
        <v>-1.6667000000000001</v>
      </c>
      <c r="AK91" s="1"/>
      <c r="AL91" s="13"/>
      <c r="AM91" s="13"/>
    </row>
    <row r="92" spans="2:43" x14ac:dyDescent="0.3">
      <c r="AA92" s="269" t="s">
        <v>113</v>
      </c>
      <c r="AB92" s="195">
        <v>0.71840000000000004</v>
      </c>
      <c r="AC92" s="195">
        <v>0.71250000000000002</v>
      </c>
      <c r="AD92" s="199">
        <v>0.70950000000000002</v>
      </c>
      <c r="AE92" s="194">
        <v>0.41020000000000001</v>
      </c>
      <c r="AF92" s="196">
        <v>1.3714</v>
      </c>
      <c r="AG92" s="194">
        <v>0.72350000000000003</v>
      </c>
      <c r="AH92" s="199">
        <v>0.7167</v>
      </c>
      <c r="AK92" s="18"/>
      <c r="AL92" s="97" t="s">
        <v>178</v>
      </c>
      <c r="AM92" s="13"/>
    </row>
    <row r="93" spans="2:43" x14ac:dyDescent="0.3">
      <c r="AA93" s="13"/>
      <c r="AB93" s="13"/>
      <c r="AC93" s="13"/>
      <c r="AD93" s="16"/>
      <c r="AE93" s="1"/>
      <c r="AF93" s="1"/>
      <c r="AG93" s="1"/>
      <c r="AL93" s="100" t="s">
        <v>180</v>
      </c>
      <c r="AM93" s="100" t="s">
        <v>181</v>
      </c>
      <c r="AN93" s="100" t="s">
        <v>182</v>
      </c>
      <c r="AO93" s="100" t="s">
        <v>183</v>
      </c>
      <c r="AP93" s="100" t="s">
        <v>184</v>
      </c>
      <c r="AQ93" s="100" t="s">
        <v>185</v>
      </c>
    </row>
    <row r="94" spans="2:43" x14ac:dyDescent="0.3">
      <c r="AA94" s="13"/>
      <c r="AB94" s="13"/>
      <c r="AC94" s="74"/>
      <c r="AE94" s="1"/>
      <c r="AF94" s="1"/>
      <c r="AG94" s="1"/>
      <c r="AK94" s="18" t="s">
        <v>110</v>
      </c>
      <c r="AL94" s="14">
        <v>3.0800000000000001E-4</v>
      </c>
      <c r="AM94" s="74">
        <v>2.6400000000000002E-4</v>
      </c>
      <c r="AN94" s="16">
        <v>2.2499999999999999E-4</v>
      </c>
      <c r="AO94" s="14">
        <v>1.94E-4</v>
      </c>
      <c r="AP94" s="14">
        <v>1.6799999999999999E-4</v>
      </c>
      <c r="AQ94" s="14">
        <v>1.54E-4</v>
      </c>
    </row>
    <row r="95" spans="2:43" x14ac:dyDescent="0.3">
      <c r="AK95" s="258" t="s">
        <v>111</v>
      </c>
      <c r="AL95" s="13">
        <v>-1.2049999999999999E-3</v>
      </c>
      <c r="AM95" s="74">
        <v>-1.2979999999999999E-3</v>
      </c>
      <c r="AN95" s="14">
        <v>-1.14E-3</v>
      </c>
      <c r="AO95" s="14">
        <v>-1.1850000000000001E-3</v>
      </c>
      <c r="AP95" s="14">
        <v>-8.8999999999999995E-4</v>
      </c>
      <c r="AQ95" s="14">
        <v>-7.0699999999999995E-4</v>
      </c>
    </row>
    <row r="96" spans="2:43" x14ac:dyDescent="0.3">
      <c r="AK96" s="258" t="s">
        <v>113</v>
      </c>
      <c r="AL96" s="13">
        <v>5.0049999999999997E-4</v>
      </c>
      <c r="AM96" s="14">
        <v>6.4700000000000001E-4</v>
      </c>
      <c r="AN96" s="14">
        <v>5.8399999999999999E-4</v>
      </c>
      <c r="AO96" s="14">
        <v>7.0600000000000003E-4</v>
      </c>
      <c r="AP96" s="14">
        <v>5.2499999999999997E-4</v>
      </c>
      <c r="AQ96" s="14">
        <v>3.97E-4</v>
      </c>
    </row>
    <row r="97" spans="1:16" x14ac:dyDescent="0.3">
      <c r="M97" s="1"/>
      <c r="N97" s="2"/>
      <c r="O97" s="2"/>
      <c r="P97" s="2"/>
    </row>
    <row r="98" spans="1:16" x14ac:dyDescent="0.3">
      <c r="M98" s="1"/>
      <c r="N98" s="2"/>
      <c r="O98" s="2"/>
      <c r="P98" s="2"/>
    </row>
    <row r="99" spans="1:16" x14ac:dyDescent="0.3">
      <c r="N99" s="1"/>
      <c r="O99" s="1"/>
      <c r="P99" s="1"/>
    </row>
    <row r="100" spans="1:16" x14ac:dyDescent="0.3">
      <c r="N100" s="1"/>
      <c r="O100" s="1"/>
      <c r="P100" s="1"/>
    </row>
    <row r="101" spans="1:16" x14ac:dyDescent="0.3">
      <c r="N101" s="1"/>
      <c r="O101" s="1"/>
      <c r="P101" s="1"/>
    </row>
    <row r="102" spans="1:16" x14ac:dyDescent="0.3">
      <c r="N102" s="1"/>
      <c r="O102" s="1"/>
      <c r="P102" s="1"/>
    </row>
    <row r="103" spans="1:16" x14ac:dyDescent="0.3">
      <c r="N103" s="2"/>
      <c r="O103" s="2"/>
      <c r="P103" s="2"/>
    </row>
    <row r="104" spans="1:16" x14ac:dyDescent="0.3">
      <c r="N104" s="2"/>
      <c r="O104" s="2"/>
      <c r="P104" s="2"/>
    </row>
    <row r="105" spans="1:16" x14ac:dyDescent="0.3">
      <c r="N105" s="1"/>
      <c r="O105" s="1"/>
      <c r="P105" s="1"/>
    </row>
    <row r="106" spans="1:16" x14ac:dyDescent="0.3">
      <c r="N106" s="1"/>
      <c r="O106" s="1"/>
      <c r="P106" s="1"/>
    </row>
    <row r="107" spans="1:16" x14ac:dyDescent="0.3">
      <c r="N107" s="1"/>
      <c r="O107" s="1"/>
      <c r="P107" s="1"/>
    </row>
    <row r="108" spans="1:16" x14ac:dyDescent="0.3">
      <c r="N108" s="1"/>
      <c r="O108" s="1"/>
      <c r="P108" s="1"/>
    </row>
    <row r="109" spans="1:16" x14ac:dyDescent="0.3">
      <c r="N109" s="1"/>
      <c r="O109" s="1"/>
      <c r="P109" s="1"/>
    </row>
    <row r="110" spans="1:16" x14ac:dyDescent="0.3">
      <c r="A110" s="1"/>
      <c r="N110" s="1"/>
      <c r="O110" s="1"/>
      <c r="P110" s="1"/>
    </row>
    <row r="111" spans="1:16" x14ac:dyDescent="0.3">
      <c r="A111" s="1"/>
      <c r="M111" s="1"/>
      <c r="N111" s="1"/>
      <c r="O111" s="1"/>
      <c r="P111" s="1"/>
    </row>
    <row r="112" spans="1:16" x14ac:dyDescent="0.3">
      <c r="A112" s="1"/>
      <c r="M112" s="1"/>
      <c r="N112" s="1"/>
      <c r="O112" s="1"/>
      <c r="P112" s="1"/>
    </row>
    <row r="113" spans="1:43" x14ac:dyDescent="0.3">
      <c r="A113" s="1"/>
      <c r="M113" s="1"/>
      <c r="N113" s="1"/>
      <c r="O113" s="1"/>
      <c r="P113" s="1"/>
    </row>
    <row r="114" spans="1:43" x14ac:dyDescent="0.3">
      <c r="A114" s="1"/>
      <c r="M114" s="1"/>
      <c r="N114" s="1"/>
      <c r="O114" s="1"/>
      <c r="P114" s="1"/>
    </row>
    <row r="115" spans="1:43" x14ac:dyDescent="0.3">
      <c r="M115" s="1"/>
      <c r="N115" s="1"/>
      <c r="O115" s="1"/>
      <c r="P115" s="1"/>
    </row>
    <row r="116" spans="1:43" x14ac:dyDescent="0.3">
      <c r="J116" s="1"/>
      <c r="K116" s="1"/>
      <c r="L116" s="1"/>
      <c r="M116" s="1"/>
      <c r="N116" s="1"/>
      <c r="O116" s="1"/>
      <c r="P116" s="1"/>
    </row>
    <row r="117" spans="1:43" ht="15" thickBot="1" x14ac:dyDescent="0.35">
      <c r="R117" s="14" t="s">
        <v>87</v>
      </c>
      <c r="AA117" s="14" t="s">
        <v>265</v>
      </c>
    </row>
    <row r="118" spans="1:43" x14ac:dyDescent="0.3">
      <c r="R118" s="5" t="s">
        <v>15</v>
      </c>
      <c r="S118" s="5">
        <v>41</v>
      </c>
      <c r="T118" s="5"/>
      <c r="U118" s="5">
        <v>25</v>
      </c>
      <c r="V118" s="5"/>
      <c r="W118" s="5">
        <v>9</v>
      </c>
      <c r="X118" s="6">
        <v>5</v>
      </c>
      <c r="AA118" s="217" t="s">
        <v>266</v>
      </c>
      <c r="AB118" s="217">
        <v>3</v>
      </c>
      <c r="AC118" s="217"/>
      <c r="AD118" s="217">
        <v>1.7</v>
      </c>
      <c r="AE118" s="217"/>
      <c r="AF118" s="217">
        <v>0.01</v>
      </c>
      <c r="AG118" s="218">
        <v>0</v>
      </c>
    </row>
    <row r="119" spans="1:43" ht="15" thickBot="1" x14ac:dyDescent="0.35">
      <c r="R119" s="265" t="s">
        <v>16</v>
      </c>
      <c r="S119" s="8">
        <v>0</v>
      </c>
      <c r="T119" s="8">
        <v>0.28999999999999998</v>
      </c>
      <c r="U119" s="9">
        <v>0.3</v>
      </c>
      <c r="V119" s="9">
        <v>0.69</v>
      </c>
      <c r="W119" s="10">
        <v>0.7</v>
      </c>
      <c r="X119" s="11">
        <v>1</v>
      </c>
      <c r="AA119" s="100" t="s">
        <v>267</v>
      </c>
      <c r="AB119" s="100">
        <v>0.14000000000000001</v>
      </c>
      <c r="AC119" s="100"/>
      <c r="AD119" s="100">
        <v>0.11</v>
      </c>
      <c r="AE119" s="100"/>
      <c r="AF119" s="100">
        <v>0.02</v>
      </c>
      <c r="AG119" s="219">
        <v>0.01</v>
      </c>
    </row>
    <row r="120" spans="1:43" x14ac:dyDescent="0.3">
      <c r="AA120" s="100" t="s">
        <v>269</v>
      </c>
      <c r="AB120" s="100">
        <v>1.9</v>
      </c>
      <c r="AC120" s="100"/>
      <c r="AD120" s="100">
        <v>1.4</v>
      </c>
      <c r="AE120" s="100"/>
      <c r="AF120" s="100">
        <v>0.05</v>
      </c>
      <c r="AG120" s="219">
        <v>0.01</v>
      </c>
    </row>
    <row r="121" spans="1:43" ht="15" thickBot="1" x14ac:dyDescent="0.35">
      <c r="S121" s="135" t="s">
        <v>321</v>
      </c>
      <c r="AA121" s="100" t="s">
        <v>270</v>
      </c>
      <c r="AB121" s="100">
        <v>1.44</v>
      </c>
      <c r="AC121" s="100"/>
      <c r="AD121" s="100">
        <v>0.86</v>
      </c>
      <c r="AE121" s="100"/>
      <c r="AF121" s="100">
        <v>0.12</v>
      </c>
      <c r="AG121" s="219">
        <v>0.01</v>
      </c>
      <c r="AK121" s="21" t="s">
        <v>190</v>
      </c>
    </row>
    <row r="122" spans="1:43" ht="15" thickBot="1" x14ac:dyDescent="0.35">
      <c r="R122" s="101" t="s">
        <v>110</v>
      </c>
      <c r="S122" s="13">
        <v>-6.402E-5</v>
      </c>
      <c r="T122" s="13"/>
      <c r="AA122" s="265" t="s">
        <v>5</v>
      </c>
      <c r="AB122" s="8">
        <v>0</v>
      </c>
      <c r="AC122" s="8">
        <v>0.28999999999999998</v>
      </c>
      <c r="AD122" s="9">
        <v>0.3</v>
      </c>
      <c r="AE122" s="9">
        <v>0.69</v>
      </c>
      <c r="AF122" s="10">
        <v>0.7</v>
      </c>
      <c r="AG122" s="11">
        <v>1</v>
      </c>
      <c r="AK122" s="217" t="s">
        <v>173</v>
      </c>
      <c r="AL122" s="95">
        <v>0</v>
      </c>
      <c r="AM122" s="95"/>
      <c r="AN122" s="95">
        <v>4.5999999999999996</v>
      </c>
      <c r="AO122" s="95">
        <v>6.8</v>
      </c>
      <c r="AP122" s="95"/>
      <c r="AQ122" s="170">
        <v>8.1</v>
      </c>
    </row>
    <row r="123" spans="1:43" x14ac:dyDescent="0.3">
      <c r="R123" s="101" t="s">
        <v>111</v>
      </c>
      <c r="S123" s="13">
        <v>4.9967400000000004E-3</v>
      </c>
      <c r="T123" s="13"/>
      <c r="AK123" s="100" t="s">
        <v>153</v>
      </c>
      <c r="AL123" s="108">
        <v>0</v>
      </c>
      <c r="AM123" s="108"/>
      <c r="AN123" s="108">
        <v>15.7</v>
      </c>
      <c r="AO123" s="108">
        <v>23.5</v>
      </c>
      <c r="AP123" s="108"/>
      <c r="AQ123" s="173">
        <v>28</v>
      </c>
    </row>
    <row r="124" spans="1:43" x14ac:dyDescent="0.3">
      <c r="R124" s="101" t="s">
        <v>113</v>
      </c>
      <c r="S124" s="13">
        <v>-0.13528754000000001</v>
      </c>
      <c r="T124" s="13"/>
      <c r="AA124" s="223"/>
      <c r="AB124" s="222" t="s">
        <v>178</v>
      </c>
      <c r="AC124" s="223"/>
      <c r="AD124" s="706" t="s">
        <v>115</v>
      </c>
      <c r="AE124" s="707"/>
      <c r="AF124" s="706" t="s">
        <v>229</v>
      </c>
      <c r="AG124" s="707"/>
      <c r="AK124" s="100" t="s">
        <v>191</v>
      </c>
      <c r="AL124" s="108">
        <v>0</v>
      </c>
      <c r="AM124" s="108"/>
      <c r="AN124" s="108">
        <v>18.2</v>
      </c>
      <c r="AO124" s="108">
        <v>27.2</v>
      </c>
      <c r="AP124" s="108"/>
      <c r="AQ124" s="173">
        <v>32.5</v>
      </c>
    </row>
    <row r="125" spans="1:43" x14ac:dyDescent="0.3">
      <c r="R125" s="101" t="s">
        <v>114</v>
      </c>
      <c r="S125" s="13">
        <v>1.5595214799999999</v>
      </c>
      <c r="T125" s="74"/>
      <c r="AA125" s="1"/>
      <c r="AB125" s="100" t="s">
        <v>266</v>
      </c>
      <c r="AC125" s="1" t="s">
        <v>267</v>
      </c>
      <c r="AD125" s="216" t="s">
        <v>269</v>
      </c>
      <c r="AE125" s="192" t="s">
        <v>270</v>
      </c>
      <c r="AF125" s="216" t="s">
        <v>269</v>
      </c>
      <c r="AG125" s="192" t="s">
        <v>270</v>
      </c>
      <c r="AK125" s="100" t="s">
        <v>192</v>
      </c>
      <c r="AL125" s="108">
        <v>0</v>
      </c>
      <c r="AM125" s="108"/>
      <c r="AN125" s="108">
        <v>20.5</v>
      </c>
      <c r="AO125" s="108">
        <v>30.7</v>
      </c>
      <c r="AP125" s="108"/>
      <c r="AQ125" s="173">
        <v>36.799999999999997</v>
      </c>
    </row>
    <row r="126" spans="1:43" x14ac:dyDescent="0.3">
      <c r="AA126" s="258" t="s">
        <v>110</v>
      </c>
      <c r="AB126" s="14">
        <v>2E-3</v>
      </c>
      <c r="AC126" s="1">
        <v>-46.295999999999999</v>
      </c>
      <c r="AD126" s="14">
        <v>-0.16420000000000001</v>
      </c>
      <c r="AE126" s="214">
        <v>1.77E-2</v>
      </c>
      <c r="AF126" s="192"/>
      <c r="AG126" s="193"/>
      <c r="AK126" s="100" t="s">
        <v>193</v>
      </c>
      <c r="AL126" s="108">
        <v>0</v>
      </c>
      <c r="AM126" s="108"/>
      <c r="AN126" s="108">
        <v>23.950000000000003</v>
      </c>
      <c r="AO126" s="108">
        <v>35.799999999999997</v>
      </c>
      <c r="AP126" s="108"/>
      <c r="AQ126" s="173">
        <v>42.6</v>
      </c>
    </row>
    <row r="127" spans="1:43" ht="15" thickBot="1" x14ac:dyDescent="0.35">
      <c r="AA127" s="258" t="s">
        <v>111</v>
      </c>
      <c r="AB127" s="1">
        <v>-0.24010000000000001</v>
      </c>
      <c r="AC127" s="1">
        <v>1.5741000000000001</v>
      </c>
      <c r="AD127" s="192">
        <v>-5.8299999999999998E-2</v>
      </c>
      <c r="AE127" s="221">
        <v>-0.55779999999999996</v>
      </c>
      <c r="AF127" s="215">
        <v>-7.5</v>
      </c>
      <c r="AG127" s="1">
        <v>-2.7273000000000001</v>
      </c>
      <c r="AK127" s="265" t="s">
        <v>5</v>
      </c>
      <c r="AL127" s="182">
        <v>0</v>
      </c>
      <c r="AM127" s="182"/>
      <c r="AN127" s="182">
        <v>0.21</v>
      </c>
      <c r="AO127" s="160">
        <v>0.48</v>
      </c>
      <c r="AP127" s="160"/>
      <c r="AQ127" s="183">
        <v>0.69</v>
      </c>
    </row>
    <row r="128" spans="1:43" x14ac:dyDescent="0.3">
      <c r="AA128" s="269" t="s">
        <v>113</v>
      </c>
      <c r="AB128" s="195">
        <v>0.70240000000000002</v>
      </c>
      <c r="AC128" s="195">
        <v>0.68700000000000006</v>
      </c>
      <c r="AD128" s="194">
        <v>0.70330000000000004</v>
      </c>
      <c r="AE128" s="196">
        <v>0.76670000000000005</v>
      </c>
      <c r="AF128" s="194">
        <v>1.075</v>
      </c>
      <c r="AG128" s="1">
        <v>1.0273000000000001</v>
      </c>
    </row>
    <row r="129" spans="25:42" x14ac:dyDescent="0.3">
      <c r="AA129" s="13"/>
      <c r="AB129" s="13"/>
      <c r="AC129" s="13"/>
      <c r="AD129" s="16"/>
      <c r="AE129" s="1"/>
      <c r="AG129" s="1"/>
      <c r="AK129" s="18"/>
      <c r="AL129" s="97" t="s">
        <v>178</v>
      </c>
    </row>
    <row r="130" spans="25:42" x14ac:dyDescent="0.3">
      <c r="AA130" s="13"/>
      <c r="AB130" s="13"/>
      <c r="AC130" s="74"/>
      <c r="AE130" s="1"/>
      <c r="AG130" s="1"/>
      <c r="AK130" s="18"/>
      <c r="AL130" s="100" t="s">
        <v>173</v>
      </c>
      <c r="AM130" s="100" t="s">
        <v>153</v>
      </c>
      <c r="AN130" s="100" t="s">
        <v>191</v>
      </c>
      <c r="AO130" s="100" t="s">
        <v>192</v>
      </c>
      <c r="AP130" s="100" t="s">
        <v>193</v>
      </c>
    </row>
    <row r="131" spans="25:42" x14ac:dyDescent="0.3">
      <c r="AK131" s="18" t="s">
        <v>110</v>
      </c>
      <c r="AL131" s="14">
        <v>1.1289E-2</v>
      </c>
      <c r="AM131" s="16">
        <v>9.1799999999999998E-4</v>
      </c>
      <c r="AN131" s="16">
        <v>6.78E-4</v>
      </c>
      <c r="AO131" s="14">
        <v>5.2099999999999998E-4</v>
      </c>
      <c r="AP131" s="14">
        <v>3.9899999999999999E-4</v>
      </c>
    </row>
    <row r="132" spans="25:42" x14ac:dyDescent="0.3">
      <c r="AK132" s="18" t="s">
        <v>111</v>
      </c>
      <c r="AL132" s="13">
        <v>-6.2249999999999996E-3</v>
      </c>
      <c r="AM132" s="16">
        <v>-1.0950000000000001E-3</v>
      </c>
      <c r="AN132" s="14">
        <v>-7.8899999999999999E-4</v>
      </c>
      <c r="AO132" s="14">
        <v>-3.88E-4</v>
      </c>
      <c r="AP132" s="14">
        <v>-8.4599999999999996E-4</v>
      </c>
    </row>
    <row r="133" spans="25:42" x14ac:dyDescent="0.3">
      <c r="AK133" s="18" t="s">
        <v>113</v>
      </c>
      <c r="AL133" s="13">
        <v>-2.9E-5</v>
      </c>
      <c r="AM133" s="14">
        <v>1.12E-4</v>
      </c>
      <c r="AN133" s="14">
        <v>-1.2E-5</v>
      </c>
      <c r="AO133" s="14">
        <v>-1.0900000000000001E-4</v>
      </c>
      <c r="AP133" s="14">
        <v>-1.44E-4</v>
      </c>
    </row>
    <row r="140" spans="25:42" x14ac:dyDescent="0.3">
      <c r="Y140" s="2"/>
    </row>
    <row r="141" spans="25:42" x14ac:dyDescent="0.3">
      <c r="Y141" s="1"/>
    </row>
    <row r="142" spans="25:42" x14ac:dyDescent="0.3">
      <c r="Y142" s="1"/>
    </row>
    <row r="151" spans="18:37" ht="15" thickBot="1" x14ac:dyDescent="0.35">
      <c r="R151" s="14" t="s">
        <v>394</v>
      </c>
    </row>
    <row r="152" spans="18:37" x14ac:dyDescent="0.3">
      <c r="R152" s="5" t="s">
        <v>15</v>
      </c>
      <c r="S152" s="5">
        <v>30</v>
      </c>
      <c r="T152" s="5"/>
      <c r="U152" s="5"/>
      <c r="V152" s="5"/>
      <c r="W152" s="5"/>
      <c r="X152" s="6">
        <v>0</v>
      </c>
    </row>
    <row r="153" spans="18:37" ht="15" thickBot="1" x14ac:dyDescent="0.35">
      <c r="R153" s="265" t="s">
        <v>16</v>
      </c>
      <c r="S153" s="8">
        <v>0</v>
      </c>
      <c r="T153" s="8">
        <v>0.28999999999999998</v>
      </c>
      <c r="U153" s="9">
        <v>0.3</v>
      </c>
      <c r="V153" s="9">
        <v>0.69</v>
      </c>
      <c r="W153" s="10">
        <v>0.7</v>
      </c>
      <c r="X153" s="11">
        <v>1</v>
      </c>
      <c r="AA153" s="14" t="s">
        <v>265</v>
      </c>
    </row>
    <row r="154" spans="18:37" x14ac:dyDescent="0.3">
      <c r="AA154" s="217" t="s">
        <v>271</v>
      </c>
      <c r="AB154" s="217">
        <v>0.46</v>
      </c>
      <c r="AC154" s="217"/>
      <c r="AD154" s="217">
        <v>0.25</v>
      </c>
      <c r="AE154" s="217"/>
      <c r="AF154" s="217">
        <v>0.08</v>
      </c>
      <c r="AG154" s="218">
        <v>0.02</v>
      </c>
    </row>
    <row r="155" spans="18:37" x14ac:dyDescent="0.3">
      <c r="S155" s="135" t="s">
        <v>171</v>
      </c>
      <c r="AA155" s="100" t="s">
        <v>272</v>
      </c>
      <c r="AB155" s="100">
        <v>3</v>
      </c>
      <c r="AC155" s="100"/>
      <c r="AD155" s="100">
        <v>2.1</v>
      </c>
      <c r="AE155" s="100"/>
      <c r="AF155" s="100">
        <v>0.24</v>
      </c>
      <c r="AG155" s="219">
        <v>0.06</v>
      </c>
    </row>
    <row r="156" spans="18:37" x14ac:dyDescent="0.3">
      <c r="R156" s="326" t="s">
        <v>110</v>
      </c>
      <c r="S156" s="13">
        <v>-3.3300000000000003E-2</v>
      </c>
      <c r="T156" s="13"/>
      <c r="AA156" s="100" t="s">
        <v>273</v>
      </c>
      <c r="AB156" s="100">
        <v>1.3</v>
      </c>
      <c r="AC156" s="100"/>
      <c r="AD156" s="100">
        <v>0.48</v>
      </c>
      <c r="AE156" s="100"/>
      <c r="AF156" s="100"/>
      <c r="AG156" s="219">
        <v>0.28999999999999998</v>
      </c>
    </row>
    <row r="157" spans="18:37" x14ac:dyDescent="0.3">
      <c r="R157" s="326" t="s">
        <v>111</v>
      </c>
      <c r="S157" s="13">
        <v>1</v>
      </c>
      <c r="T157" s="13"/>
      <c r="AA157" s="100" t="s">
        <v>274</v>
      </c>
      <c r="AB157" s="100">
        <v>4.3</v>
      </c>
      <c r="AC157" s="100"/>
      <c r="AD157" s="100">
        <v>3.0750000000000002</v>
      </c>
      <c r="AE157" s="100"/>
      <c r="AF157" s="100">
        <v>0.67</v>
      </c>
      <c r="AG157" s="219">
        <v>0.53</v>
      </c>
    </row>
    <row r="158" spans="18:37" ht="15" thickBot="1" x14ac:dyDescent="0.35">
      <c r="AA158" s="265" t="s">
        <v>5</v>
      </c>
      <c r="AB158" s="8">
        <v>0</v>
      </c>
      <c r="AC158" s="8">
        <v>0.28999999999999998</v>
      </c>
      <c r="AD158" s="9">
        <v>0.3</v>
      </c>
      <c r="AE158" s="9">
        <v>0.69</v>
      </c>
      <c r="AF158" s="10">
        <v>0.7</v>
      </c>
      <c r="AG158" s="11">
        <v>1</v>
      </c>
    </row>
    <row r="160" spans="18:37" ht="15" thickBot="1" x14ac:dyDescent="0.35">
      <c r="AA160" s="223"/>
      <c r="AB160" s="222" t="s">
        <v>178</v>
      </c>
      <c r="AC160" s="223"/>
      <c r="AD160" s="115"/>
      <c r="AE160" s="210"/>
      <c r="AF160" s="708" t="s">
        <v>229</v>
      </c>
      <c r="AG160" s="708"/>
      <c r="AH160" s="708"/>
      <c r="AI160" s="707"/>
      <c r="AK160" s="21" t="s">
        <v>200</v>
      </c>
    </row>
    <row r="161" spans="27:43" x14ac:dyDescent="0.3">
      <c r="AA161" s="1"/>
      <c r="AB161" s="100" t="s">
        <v>271</v>
      </c>
      <c r="AC161" s="100" t="s">
        <v>272</v>
      </c>
      <c r="AD161" s="100" t="s">
        <v>273</v>
      </c>
      <c r="AE161" s="220" t="s">
        <v>274</v>
      </c>
      <c r="AF161" s="100" t="s">
        <v>271</v>
      </c>
      <c r="AG161" s="100" t="s">
        <v>272</v>
      </c>
      <c r="AH161" s="100" t="s">
        <v>273</v>
      </c>
      <c r="AI161" s="220" t="s">
        <v>274</v>
      </c>
      <c r="AK161" s="217" t="s">
        <v>194</v>
      </c>
      <c r="AL161" s="95">
        <v>0</v>
      </c>
      <c r="AM161" s="95"/>
      <c r="AN161" s="95">
        <v>26.833333333333332</v>
      </c>
      <c r="AO161" s="95">
        <v>40.133333333333333</v>
      </c>
      <c r="AP161" s="95"/>
      <c r="AQ161" s="170">
        <v>48</v>
      </c>
    </row>
    <row r="162" spans="27:43" x14ac:dyDescent="0.3">
      <c r="AA162" s="258" t="s">
        <v>110</v>
      </c>
      <c r="AB162" s="21">
        <v>2.4325999999999999</v>
      </c>
      <c r="AC162" s="1">
        <v>-4.2900000000000001E-2</v>
      </c>
      <c r="AD162" s="21"/>
      <c r="AE162" s="214">
        <v>-2.1600000000000001E-2</v>
      </c>
      <c r="AF162" s="1"/>
      <c r="AG162" s="21"/>
      <c r="AH162" s="21"/>
      <c r="AI162" s="193"/>
      <c r="AK162" s="100" t="s">
        <v>195</v>
      </c>
      <c r="AL162" s="108">
        <v>0</v>
      </c>
      <c r="AM162" s="108"/>
      <c r="AN162" s="108">
        <v>29.580000000000002</v>
      </c>
      <c r="AO162" s="108">
        <v>44.28</v>
      </c>
      <c r="AP162" s="108"/>
      <c r="AQ162" s="173">
        <v>53</v>
      </c>
    </row>
    <row r="163" spans="27:43" x14ac:dyDescent="0.3">
      <c r="AA163" s="258" t="s">
        <v>111</v>
      </c>
      <c r="AB163" s="1">
        <v>-3.1556999999999999</v>
      </c>
      <c r="AC163" s="1">
        <v>-0.1148</v>
      </c>
      <c r="AD163" s="1">
        <v>-0.3659</v>
      </c>
      <c r="AE163" s="221">
        <v>-8.5300000000000001E-2</v>
      </c>
      <c r="AF163" s="99">
        <v>-5</v>
      </c>
      <c r="AG163" s="1">
        <v>-1.667</v>
      </c>
      <c r="AH163" s="21">
        <v>-3.6842000000000001</v>
      </c>
      <c r="AI163" s="214">
        <v>-2.1429</v>
      </c>
      <c r="AK163" s="100" t="s">
        <v>196</v>
      </c>
      <c r="AL163" s="108">
        <v>0</v>
      </c>
      <c r="AM163" s="108"/>
      <c r="AN163" s="108">
        <v>32.024999999999999</v>
      </c>
      <c r="AO163" s="108">
        <v>47.875</v>
      </c>
      <c r="AP163" s="108"/>
      <c r="AQ163" s="173">
        <v>57</v>
      </c>
    </row>
    <row r="164" spans="27:43" x14ac:dyDescent="0.3">
      <c r="AA164" s="269" t="s">
        <v>113</v>
      </c>
      <c r="AB164" s="195">
        <v>0.93689999999999996</v>
      </c>
      <c r="AC164" s="195">
        <v>0.73</v>
      </c>
      <c r="AD164" s="195">
        <v>0.47560000000000002</v>
      </c>
      <c r="AE164" s="196">
        <v>0.76680000000000004</v>
      </c>
      <c r="AF164" s="195">
        <v>1.1000000000000001</v>
      </c>
      <c r="AG164" s="195">
        <v>1.1000000000000001</v>
      </c>
      <c r="AH164" s="207">
        <v>2.0684</v>
      </c>
      <c r="AI164" s="196">
        <v>2.1356999999999999</v>
      </c>
      <c r="AK164" s="100" t="s">
        <v>197</v>
      </c>
      <c r="AL164" s="108">
        <v>0</v>
      </c>
      <c r="AM164" s="108"/>
      <c r="AN164" s="108">
        <v>34.650000000000006</v>
      </c>
      <c r="AO164" s="108">
        <v>51.9</v>
      </c>
      <c r="AP164" s="108"/>
      <c r="AQ164" s="173">
        <v>60</v>
      </c>
    </row>
    <row r="165" spans="27:43" x14ac:dyDescent="0.3">
      <c r="AA165" s="13"/>
      <c r="AB165" s="13"/>
      <c r="AC165" s="13"/>
      <c r="AD165" s="16"/>
      <c r="AE165" s="1"/>
      <c r="AG165" s="1"/>
      <c r="AK165" s="100" t="s">
        <v>198</v>
      </c>
      <c r="AL165" s="108">
        <v>0</v>
      </c>
      <c r="AM165" s="108"/>
      <c r="AN165" s="108">
        <v>37.799999999999997</v>
      </c>
      <c r="AO165" s="108">
        <v>56.6</v>
      </c>
      <c r="AP165" s="108"/>
      <c r="AQ165" s="173">
        <v>67.5</v>
      </c>
    </row>
    <row r="166" spans="27:43" x14ac:dyDescent="0.3">
      <c r="AA166" s="13"/>
      <c r="AB166" s="13"/>
      <c r="AC166" s="74"/>
      <c r="AE166" s="1"/>
      <c r="AG166" s="1"/>
      <c r="AK166" s="100" t="s">
        <v>199</v>
      </c>
      <c r="AL166" s="108">
        <v>0</v>
      </c>
      <c r="AM166" s="108"/>
      <c r="AN166" s="108">
        <v>40.200000000000003</v>
      </c>
      <c r="AO166" s="108">
        <v>60.1</v>
      </c>
      <c r="AP166" s="108"/>
      <c r="AQ166" s="173">
        <v>72</v>
      </c>
    </row>
    <row r="167" spans="27:43" ht="15" thickBot="1" x14ac:dyDescent="0.35">
      <c r="AK167" s="265" t="s">
        <v>5</v>
      </c>
      <c r="AL167" s="182">
        <v>0</v>
      </c>
      <c r="AM167" s="182"/>
      <c r="AN167" s="182">
        <v>0.21</v>
      </c>
      <c r="AO167" s="160">
        <v>0.48</v>
      </c>
      <c r="AP167" s="160"/>
      <c r="AQ167" s="183">
        <v>0.69</v>
      </c>
    </row>
    <row r="169" spans="27:43" x14ac:dyDescent="0.3">
      <c r="AK169" s="18"/>
      <c r="AL169" s="97" t="s">
        <v>178</v>
      </c>
      <c r="AM169" s="13"/>
    </row>
    <row r="170" spans="27:43" x14ac:dyDescent="0.3">
      <c r="AK170" s="18"/>
      <c r="AL170" s="100" t="s">
        <v>194</v>
      </c>
      <c r="AM170" s="100" t="s">
        <v>195</v>
      </c>
      <c r="AN170" s="100" t="s">
        <v>196</v>
      </c>
      <c r="AO170" s="100" t="s">
        <v>197</v>
      </c>
      <c r="AP170" s="100" t="s">
        <v>198</v>
      </c>
      <c r="AQ170" s="100" t="s">
        <v>199</v>
      </c>
    </row>
    <row r="171" spans="27:43" x14ac:dyDescent="0.3">
      <c r="AK171" s="18" t="s">
        <v>110</v>
      </c>
      <c r="AL171" s="21">
        <v>3.0899999999999998E-4</v>
      </c>
      <c r="AM171" s="17">
        <v>2.52E-4</v>
      </c>
      <c r="AN171" s="21">
        <v>2.23E-4</v>
      </c>
      <c r="AO171" s="1">
        <v>2.1800000000000001E-4</v>
      </c>
      <c r="AP171" s="1">
        <v>1.5699999999999999E-4</v>
      </c>
      <c r="AQ171" s="1">
        <v>1.37E-4</v>
      </c>
    </row>
    <row r="172" spans="27:43" x14ac:dyDescent="0.3">
      <c r="AK172" s="18" t="s">
        <v>111</v>
      </c>
      <c r="AL172" s="13">
        <v>-4.5800000000000002E-4</v>
      </c>
      <c r="AM172" s="74">
        <v>-3.5300000000000002E-4</v>
      </c>
      <c r="AN172" s="14">
        <v>-6.0499999999999996E-4</v>
      </c>
      <c r="AO172" s="14">
        <v>-1.751E-3</v>
      </c>
      <c r="AP172" s="14">
        <v>-4.1100000000000002E-4</v>
      </c>
      <c r="AQ172" s="14">
        <v>-2.5399999999999999E-4</v>
      </c>
    </row>
    <row r="173" spans="27:43" x14ac:dyDescent="0.3">
      <c r="AK173" s="258" t="s">
        <v>113</v>
      </c>
      <c r="AL173" s="14">
        <v>-3.8999999999999999E-5</v>
      </c>
      <c r="AM173" s="14">
        <v>-5.7000000000000003E-5</v>
      </c>
      <c r="AN173" s="14">
        <v>1.25E-4</v>
      </c>
      <c r="AO173" s="14">
        <v>1.1329999999999999E-3</v>
      </c>
      <c r="AP173" s="14">
        <v>8.2999999999999998E-5</v>
      </c>
      <c r="AQ173" s="14">
        <v>-1.07E-4</v>
      </c>
    </row>
    <row r="184" spans="18:33" ht="15" thickBot="1" x14ac:dyDescent="0.35">
      <c r="R184" s="13" t="s">
        <v>375</v>
      </c>
      <c r="S184" s="13"/>
      <c r="T184" s="13"/>
      <c r="U184" s="13"/>
      <c r="V184" s="13"/>
      <c r="W184" s="13"/>
      <c r="X184" s="13"/>
    </row>
    <row r="185" spans="18:33" x14ac:dyDescent="0.3">
      <c r="R185" s="5" t="s">
        <v>15</v>
      </c>
      <c r="S185" s="5">
        <v>0</v>
      </c>
      <c r="T185" s="5"/>
      <c r="U185" s="5"/>
      <c r="V185" s="5"/>
      <c r="W185" s="5"/>
      <c r="X185" s="6">
        <v>9.3000000000000007</v>
      </c>
      <c r="Y185" s="13"/>
    </row>
    <row r="186" spans="18:33" ht="15" thickBot="1" x14ac:dyDescent="0.35">
      <c r="R186" s="265" t="s">
        <v>16</v>
      </c>
      <c r="S186" s="8">
        <v>0</v>
      </c>
      <c r="T186" s="8">
        <v>0.28999999999999998</v>
      </c>
      <c r="U186" s="9">
        <v>0.3</v>
      </c>
      <c r="V186" s="9">
        <v>0.69</v>
      </c>
      <c r="W186" s="10">
        <v>0.7</v>
      </c>
      <c r="X186" s="11">
        <v>1</v>
      </c>
    </row>
    <row r="188" spans="18:33" x14ac:dyDescent="0.3">
      <c r="R188" s="102"/>
      <c r="S188" s="135" t="s">
        <v>376</v>
      </c>
      <c r="T188" s="102"/>
      <c r="U188" s="102"/>
      <c r="V188" s="102"/>
      <c r="W188" s="102"/>
      <c r="X188" s="102"/>
    </row>
    <row r="189" spans="18:33" ht="15" thickBot="1" x14ac:dyDescent="0.35">
      <c r="R189" s="106" t="s">
        <v>110</v>
      </c>
      <c r="S189" s="102">
        <v>0.1075</v>
      </c>
      <c r="T189" s="102"/>
      <c r="U189" s="102"/>
      <c r="V189" s="102"/>
      <c r="W189" s="102"/>
      <c r="X189" s="102"/>
      <c r="AA189" s="14" t="s">
        <v>265</v>
      </c>
    </row>
    <row r="190" spans="18:33" x14ac:dyDescent="0.3">
      <c r="R190" s="106" t="s">
        <v>111</v>
      </c>
      <c r="S190" s="102">
        <v>0</v>
      </c>
      <c r="T190" s="102"/>
      <c r="U190" s="102"/>
      <c r="V190" s="102"/>
      <c r="W190" s="102"/>
      <c r="X190" s="102"/>
      <c r="AA190" s="217" t="s">
        <v>294</v>
      </c>
      <c r="AB190" s="217">
        <v>0.61</v>
      </c>
      <c r="AC190" s="217"/>
      <c r="AD190" s="217">
        <v>0.34</v>
      </c>
      <c r="AE190" s="217"/>
      <c r="AF190" s="217">
        <v>0.06</v>
      </c>
      <c r="AG190" s="218">
        <v>0.01</v>
      </c>
    </row>
    <row r="191" spans="18:33" x14ac:dyDescent="0.3">
      <c r="R191" s="103"/>
      <c r="S191" s="102"/>
      <c r="T191" s="102"/>
      <c r="U191" s="102"/>
      <c r="V191" s="104"/>
      <c r="W191" s="102"/>
      <c r="X191" s="102"/>
      <c r="AA191" s="100" t="s">
        <v>295</v>
      </c>
      <c r="AB191" s="100">
        <v>1.1000000000000001</v>
      </c>
      <c r="AC191" s="100"/>
      <c r="AD191" s="100">
        <v>0.69</v>
      </c>
      <c r="AE191" s="100"/>
      <c r="AF191" s="100">
        <v>0.22</v>
      </c>
      <c r="AG191" s="219">
        <v>0.17</v>
      </c>
    </row>
    <row r="192" spans="18:33" ht="15" thickBot="1" x14ac:dyDescent="0.35">
      <c r="R192" s="102"/>
      <c r="S192" s="102"/>
      <c r="T192" s="105"/>
      <c r="U192" s="102"/>
      <c r="V192" s="102"/>
      <c r="W192" s="102"/>
      <c r="X192" s="105"/>
      <c r="AA192" s="265" t="s">
        <v>5</v>
      </c>
      <c r="AB192" s="8">
        <v>0</v>
      </c>
      <c r="AC192" s="8">
        <v>0.28999999999999998</v>
      </c>
      <c r="AD192" s="9">
        <v>0.3</v>
      </c>
      <c r="AE192" s="9">
        <v>0.69</v>
      </c>
      <c r="AF192" s="10">
        <v>0.7</v>
      </c>
      <c r="AG192" s="11">
        <v>1</v>
      </c>
    </row>
    <row r="193" spans="1:43" x14ac:dyDescent="0.3">
      <c r="R193" s="102"/>
      <c r="S193" s="102"/>
      <c r="T193" s="105"/>
      <c r="U193" s="102"/>
      <c r="V193" s="102"/>
      <c r="W193" s="102"/>
      <c r="X193" s="105"/>
    </row>
    <row r="194" spans="1:43" x14ac:dyDescent="0.3">
      <c r="A194" s="1"/>
      <c r="AA194" s="223"/>
      <c r="AB194" s="222" t="s">
        <v>178</v>
      </c>
      <c r="AC194" s="223"/>
      <c r="AD194" s="706" t="s">
        <v>229</v>
      </c>
      <c r="AE194" s="707"/>
    </row>
    <row r="195" spans="1:43" x14ac:dyDescent="0.3">
      <c r="A195" s="1"/>
      <c r="AA195" s="1"/>
      <c r="AB195" s="100" t="s">
        <v>296</v>
      </c>
      <c r="AC195" s="100" t="s">
        <v>149</v>
      </c>
      <c r="AD195" s="216" t="s">
        <v>296</v>
      </c>
      <c r="AE195" s="220" t="s">
        <v>149</v>
      </c>
    </row>
    <row r="196" spans="1:43" x14ac:dyDescent="0.3">
      <c r="A196" s="1"/>
      <c r="AA196" s="258" t="s">
        <v>110</v>
      </c>
      <c r="AB196" s="21">
        <v>0.57720000000000005</v>
      </c>
      <c r="AC196" s="1">
        <v>0.1356</v>
      </c>
      <c r="AD196" s="192"/>
      <c r="AE196" s="193"/>
    </row>
    <row r="197" spans="1:43" x14ac:dyDescent="0.3">
      <c r="A197" s="1"/>
      <c r="AA197" s="258" t="s">
        <v>111</v>
      </c>
      <c r="AB197" s="1">
        <v>-1.6595</v>
      </c>
      <c r="AC197" s="1">
        <v>-0.97450000000000003</v>
      </c>
      <c r="AD197" s="215">
        <v>-6</v>
      </c>
      <c r="AE197" s="214">
        <v>-6</v>
      </c>
    </row>
    <row r="198" spans="1:43" x14ac:dyDescent="0.3">
      <c r="A198" s="1"/>
      <c r="AA198" s="269" t="s">
        <v>113</v>
      </c>
      <c r="AB198" s="195">
        <v>0.79749999999999999</v>
      </c>
      <c r="AC198" s="195">
        <v>0.90780000000000005</v>
      </c>
      <c r="AD198" s="194">
        <v>1.06</v>
      </c>
      <c r="AE198" s="196">
        <v>2.02</v>
      </c>
    </row>
    <row r="199" spans="1:43" ht="15" thickBot="1" x14ac:dyDescent="0.35">
      <c r="A199" s="1"/>
      <c r="AA199" s="13"/>
      <c r="AB199" s="13"/>
      <c r="AC199" s="13"/>
      <c r="AD199" s="16"/>
      <c r="AE199" s="1"/>
      <c r="AG199" s="1"/>
      <c r="AK199" s="21" t="s">
        <v>205</v>
      </c>
    </row>
    <row r="200" spans="1:43" x14ac:dyDescent="0.3">
      <c r="A200" s="1"/>
      <c r="AA200" s="13"/>
      <c r="AB200" s="13"/>
      <c r="AC200" s="74"/>
      <c r="AE200" s="1"/>
      <c r="AG200" s="1"/>
      <c r="AK200" s="217" t="s">
        <v>201</v>
      </c>
      <c r="AL200" s="95">
        <v>100</v>
      </c>
      <c r="AM200" s="5"/>
      <c r="AN200" s="95">
        <v>51.94</v>
      </c>
      <c r="AO200" s="95">
        <v>28.04</v>
      </c>
      <c r="AP200" s="5"/>
      <c r="AQ200" s="170">
        <v>14</v>
      </c>
    </row>
    <row r="201" spans="1:43" x14ac:dyDescent="0.3">
      <c r="A201" s="1"/>
      <c r="AK201" s="100" t="s">
        <v>202</v>
      </c>
      <c r="AL201" s="108">
        <v>100</v>
      </c>
      <c r="AM201" s="37"/>
      <c r="AN201" s="108">
        <v>54.029999999999994</v>
      </c>
      <c r="AO201" s="108">
        <v>31.120000000000005</v>
      </c>
      <c r="AP201" s="37"/>
      <c r="AQ201" s="173">
        <v>17.899999999999999</v>
      </c>
    </row>
    <row r="202" spans="1:43" x14ac:dyDescent="0.3">
      <c r="A202" s="1"/>
      <c r="AK202" s="100" t="s">
        <v>203</v>
      </c>
      <c r="AL202" s="108">
        <v>100</v>
      </c>
      <c r="AM202" s="37"/>
      <c r="AN202" s="108">
        <v>55.8</v>
      </c>
      <c r="AO202" s="108">
        <v>33.799999999999997</v>
      </c>
      <c r="AP202" s="37"/>
      <c r="AQ202" s="173">
        <v>21</v>
      </c>
    </row>
    <row r="203" spans="1:43" x14ac:dyDescent="0.3">
      <c r="A203" s="1"/>
      <c r="AK203" s="100" t="s">
        <v>204</v>
      </c>
      <c r="AL203" s="108">
        <v>100</v>
      </c>
      <c r="AM203" s="37"/>
      <c r="AN203" s="108">
        <v>57.25</v>
      </c>
      <c r="AO203" s="108">
        <v>36.049999999999997</v>
      </c>
      <c r="AP203" s="37"/>
      <c r="AQ203" s="173">
        <v>23.5</v>
      </c>
    </row>
    <row r="204" spans="1:43" ht="15" thickBot="1" x14ac:dyDescent="0.35">
      <c r="A204" s="1"/>
      <c r="AK204" s="265" t="s">
        <v>5</v>
      </c>
      <c r="AL204" s="182">
        <v>0</v>
      </c>
      <c r="AM204" s="182"/>
      <c r="AN204" s="182">
        <v>0.21</v>
      </c>
      <c r="AO204" s="160">
        <v>0.48</v>
      </c>
      <c r="AP204" s="160"/>
      <c r="AQ204" s="183">
        <v>0.69</v>
      </c>
    </row>
    <row r="205" spans="1:43" x14ac:dyDescent="0.3">
      <c r="A205" s="1"/>
    </row>
    <row r="206" spans="1:43" x14ac:dyDescent="0.3">
      <c r="A206" s="1"/>
      <c r="AK206" s="1"/>
      <c r="AL206" s="97" t="s">
        <v>178</v>
      </c>
      <c r="AM206" s="13"/>
    </row>
    <row r="207" spans="1:43" x14ac:dyDescent="0.3">
      <c r="A207" s="1"/>
      <c r="AK207" s="1"/>
      <c r="AL207" s="100" t="s">
        <v>201</v>
      </c>
      <c r="AM207" s="100" t="s">
        <v>202</v>
      </c>
      <c r="AN207" s="100" t="s">
        <v>203</v>
      </c>
      <c r="AO207" s="100" t="s">
        <v>204</v>
      </c>
    </row>
    <row r="208" spans="1:43" x14ac:dyDescent="0.3">
      <c r="A208" s="1"/>
      <c r="AK208" s="258" t="s">
        <v>110</v>
      </c>
      <c r="AL208" s="13">
        <v>9.6000000000000002E-5</v>
      </c>
      <c r="AM208" s="13">
        <v>1.06E-4</v>
      </c>
      <c r="AN208" s="14">
        <v>1.15E-4</v>
      </c>
      <c r="AO208" s="14">
        <v>1.22E-4</v>
      </c>
    </row>
    <row r="209" spans="1:41" x14ac:dyDescent="0.3">
      <c r="A209" s="1"/>
      <c r="AK209" s="258" t="s">
        <v>111</v>
      </c>
      <c r="AL209" s="13">
        <v>-1.9002000000000002E-2</v>
      </c>
      <c r="AM209" s="13">
        <v>-2.0941000000000001E-2</v>
      </c>
      <c r="AN209" s="14">
        <v>-2.2595000000000001E-2</v>
      </c>
      <c r="AO209" s="184">
        <v>-2.4039999999999999E-2</v>
      </c>
    </row>
    <row r="210" spans="1:41" x14ac:dyDescent="0.3">
      <c r="AK210" s="258" t="s">
        <v>113</v>
      </c>
      <c r="AL210" s="13">
        <v>0.93713500000000005</v>
      </c>
      <c r="AM210" s="13">
        <v>1.0299990000000001</v>
      </c>
      <c r="AN210" s="14">
        <v>1.1135470000000001</v>
      </c>
      <c r="AO210" s="14">
        <v>1.188075</v>
      </c>
    </row>
    <row r="211" spans="1:41" x14ac:dyDescent="0.3">
      <c r="AK211" s="1"/>
      <c r="AL211" s="13"/>
      <c r="AM211" s="74"/>
    </row>
    <row r="212" spans="1:41" x14ac:dyDescent="0.3">
      <c r="AK212" s="1"/>
      <c r="AL212" s="13"/>
      <c r="AM212" s="13"/>
    </row>
    <row r="218" spans="1:41" ht="15" thickBot="1" x14ac:dyDescent="0.35">
      <c r="R218" s="14" t="s">
        <v>337</v>
      </c>
    </row>
    <row r="219" spans="1:41" x14ac:dyDescent="0.3">
      <c r="R219" s="5" t="s">
        <v>15</v>
      </c>
      <c r="S219" s="5">
        <v>0</v>
      </c>
      <c r="T219" s="5"/>
      <c r="U219" s="20">
        <v>30</v>
      </c>
      <c r="V219" s="20"/>
      <c r="W219" s="20">
        <v>50</v>
      </c>
      <c r="X219" s="6">
        <v>200</v>
      </c>
    </row>
    <row r="220" spans="1:41" ht="15" thickBot="1" x14ac:dyDescent="0.35">
      <c r="R220" s="265" t="s">
        <v>16</v>
      </c>
      <c r="S220" s="8">
        <v>0</v>
      </c>
      <c r="T220" s="8">
        <v>0.28999999999999998</v>
      </c>
      <c r="U220" s="9">
        <v>0.3</v>
      </c>
      <c r="V220" s="9">
        <v>0.69</v>
      </c>
      <c r="W220" s="10">
        <v>0.7</v>
      </c>
      <c r="X220" s="11">
        <v>1</v>
      </c>
    </row>
    <row r="222" spans="1:41" x14ac:dyDescent="0.3">
      <c r="R222" s="13"/>
      <c r="S222" s="97" t="s">
        <v>178</v>
      </c>
      <c r="T222" s="97"/>
    </row>
    <row r="223" spans="1:41" ht="15" thickBot="1" x14ac:dyDescent="0.35">
      <c r="R223" s="13"/>
      <c r="S223" s="96" t="s">
        <v>115</v>
      </c>
      <c r="T223" s="96" t="s">
        <v>83</v>
      </c>
      <c r="AA223" s="14" t="s">
        <v>265</v>
      </c>
    </row>
    <row r="224" spans="1:41" x14ac:dyDescent="0.3">
      <c r="R224" s="12" t="s">
        <v>110</v>
      </c>
      <c r="S224" s="13">
        <v>2.0000000000000001E-4</v>
      </c>
      <c r="T224" s="13">
        <v>2E-3</v>
      </c>
      <c r="AA224" s="217" t="s">
        <v>282</v>
      </c>
      <c r="AB224" s="217">
        <v>0.55000000000000004</v>
      </c>
      <c r="AC224" s="217"/>
      <c r="AD224" s="217">
        <v>0.31</v>
      </c>
      <c r="AE224" s="217"/>
      <c r="AF224" s="217">
        <v>0.01</v>
      </c>
      <c r="AG224" s="218">
        <v>0</v>
      </c>
    </row>
    <row r="225" spans="18:43" x14ac:dyDescent="0.3">
      <c r="R225" s="12" t="s">
        <v>111</v>
      </c>
      <c r="S225" s="13">
        <v>4.0000000000000001E-3</v>
      </c>
      <c r="T225" s="13">
        <v>0.6</v>
      </c>
      <c r="AA225" s="100" t="s">
        <v>283</v>
      </c>
      <c r="AB225" s="100">
        <v>0.54</v>
      </c>
      <c r="AC225" s="100"/>
      <c r="AD225" s="100">
        <v>0.27</v>
      </c>
      <c r="AE225" s="100"/>
      <c r="AF225" s="100">
        <v>0.02</v>
      </c>
      <c r="AG225" s="219">
        <v>0</v>
      </c>
    </row>
    <row r="226" spans="18:43" x14ac:dyDescent="0.3">
      <c r="R226" s="12" t="s">
        <v>113</v>
      </c>
      <c r="S226" s="13">
        <v>0</v>
      </c>
      <c r="T226" s="74"/>
      <c r="AA226" s="100" t="s">
        <v>268</v>
      </c>
      <c r="AB226" s="100">
        <v>0.47</v>
      </c>
      <c r="AC226" s="100"/>
      <c r="AD226" s="100">
        <v>0.27</v>
      </c>
      <c r="AE226" s="100"/>
      <c r="AF226" s="100">
        <v>0.02</v>
      </c>
      <c r="AG226" s="219">
        <v>0.01</v>
      </c>
    </row>
    <row r="227" spans="18:43" x14ac:dyDescent="0.3">
      <c r="R227" s="13"/>
      <c r="S227" s="13"/>
      <c r="T227" s="13"/>
      <c r="AA227" s="100" t="s">
        <v>284</v>
      </c>
      <c r="AB227" s="100">
        <v>0.26</v>
      </c>
      <c r="AC227" s="100"/>
      <c r="AD227" s="100">
        <v>0.2</v>
      </c>
      <c r="AE227" s="100"/>
      <c r="AF227" s="100">
        <v>0.03</v>
      </c>
      <c r="AG227" s="219">
        <v>0.01</v>
      </c>
    </row>
    <row r="228" spans="18:43" ht="15" thickBot="1" x14ac:dyDescent="0.35">
      <c r="AA228" s="265" t="s">
        <v>5</v>
      </c>
      <c r="AB228" s="8">
        <v>0</v>
      </c>
      <c r="AC228" s="8">
        <v>0.28999999999999998</v>
      </c>
      <c r="AD228" s="9">
        <v>0.3</v>
      </c>
      <c r="AE228" s="9">
        <v>0.69</v>
      </c>
      <c r="AF228" s="10">
        <v>0.7</v>
      </c>
      <c r="AG228" s="11">
        <v>1</v>
      </c>
    </row>
    <row r="230" spans="18:43" x14ac:dyDescent="0.3">
      <c r="AA230" s="202"/>
      <c r="AB230" s="222" t="s">
        <v>178</v>
      </c>
      <c r="AC230" s="223"/>
      <c r="AD230" s="115"/>
      <c r="AE230" s="210"/>
      <c r="AF230" s="119"/>
      <c r="AG230" s="119"/>
      <c r="AH230" s="119"/>
      <c r="AI230" s="119"/>
    </row>
    <row r="231" spans="18:43" x14ac:dyDescent="0.3">
      <c r="AA231" s="192"/>
      <c r="AB231" s="100" t="s">
        <v>282</v>
      </c>
      <c r="AC231" s="21" t="s">
        <v>283</v>
      </c>
      <c r="AD231" s="1" t="s">
        <v>268</v>
      </c>
      <c r="AE231" s="220" t="s">
        <v>284</v>
      </c>
      <c r="AF231" s="100"/>
      <c r="AG231" s="100"/>
      <c r="AH231" s="100"/>
      <c r="AI231" s="100"/>
    </row>
    <row r="232" spans="18:43" x14ac:dyDescent="0.3">
      <c r="AA232" s="208" t="s">
        <v>110</v>
      </c>
      <c r="AB232" s="21">
        <v>0.15429999999999999</v>
      </c>
      <c r="AC232" s="1">
        <v>0.94020000000000004</v>
      </c>
      <c r="AD232" s="21">
        <v>0.22220000000000001</v>
      </c>
      <c r="AE232" s="214">
        <v>-11.509</v>
      </c>
      <c r="AF232" s="1"/>
      <c r="AG232" s="21"/>
      <c r="AH232" s="21"/>
      <c r="AI232" s="21"/>
    </row>
    <row r="233" spans="18:43" x14ac:dyDescent="0.3">
      <c r="AA233" s="208" t="s">
        <v>111</v>
      </c>
      <c r="AB233" s="21">
        <v>-1.3827</v>
      </c>
      <c r="AC233" s="1">
        <v>-1.8726</v>
      </c>
      <c r="AD233" s="1">
        <v>-1.6644000000000001</v>
      </c>
      <c r="AE233" s="221">
        <v>0.29409999999999997</v>
      </c>
      <c r="AF233" s="99"/>
      <c r="AG233" s="1"/>
      <c r="AH233" s="1"/>
      <c r="AI233" s="1"/>
    </row>
    <row r="234" spans="18:43" x14ac:dyDescent="0.3">
      <c r="AA234" s="209" t="s">
        <v>113</v>
      </c>
      <c r="AB234" s="195">
        <v>0.71379999999999999</v>
      </c>
      <c r="AC234" s="195">
        <v>0.73709999999999998</v>
      </c>
      <c r="AD234" s="195">
        <v>0.73319999999999996</v>
      </c>
      <c r="AE234" s="196">
        <v>0.70150000000000001</v>
      </c>
      <c r="AF234" s="1"/>
      <c r="AG234" s="1"/>
      <c r="AH234" s="21"/>
      <c r="AI234" s="1"/>
    </row>
    <row r="235" spans="18:43" x14ac:dyDescent="0.3">
      <c r="AA235" s="13"/>
      <c r="AB235" s="13"/>
      <c r="AC235" s="13"/>
      <c r="AD235" s="16"/>
      <c r="AE235" s="1"/>
      <c r="AG235" s="1"/>
    </row>
    <row r="236" spans="18:43" x14ac:dyDescent="0.3">
      <c r="AA236" s="13"/>
      <c r="AB236" s="13"/>
      <c r="AC236" s="74"/>
      <c r="AE236" s="1"/>
      <c r="AG236" s="1"/>
    </row>
    <row r="237" spans="18:43" ht="15" thickBot="1" x14ac:dyDescent="0.35">
      <c r="AK237" s="21" t="s">
        <v>206</v>
      </c>
    </row>
    <row r="238" spans="18:43" x14ac:dyDescent="0.3">
      <c r="AK238" s="217" t="s">
        <v>207</v>
      </c>
      <c r="AL238" s="5">
        <v>100</v>
      </c>
      <c r="AM238" s="5"/>
      <c r="AN238" s="95">
        <v>62.099999999999994</v>
      </c>
      <c r="AO238" s="95">
        <v>43.15</v>
      </c>
      <c r="AP238" s="95"/>
      <c r="AQ238" s="170">
        <v>32</v>
      </c>
    </row>
    <row r="239" spans="18:43" x14ac:dyDescent="0.3">
      <c r="AK239" s="100" t="s">
        <v>176</v>
      </c>
      <c r="AL239" s="37">
        <v>100</v>
      </c>
      <c r="AM239" s="37"/>
      <c r="AN239" s="108">
        <v>64.2</v>
      </c>
      <c r="AO239" s="108">
        <v>46.3</v>
      </c>
      <c r="AP239" s="108"/>
      <c r="AQ239" s="173">
        <v>35.200000000000003</v>
      </c>
    </row>
    <row r="240" spans="18:43" x14ac:dyDescent="0.3">
      <c r="AK240" s="100" t="s">
        <v>191</v>
      </c>
      <c r="AL240" s="37">
        <v>100</v>
      </c>
      <c r="AM240" s="37"/>
      <c r="AN240" s="108">
        <v>73.099999999999994</v>
      </c>
      <c r="AO240" s="108">
        <v>59.7</v>
      </c>
      <c r="AP240" s="108"/>
      <c r="AQ240" s="173">
        <v>51.8</v>
      </c>
    </row>
    <row r="241" spans="18:43" x14ac:dyDescent="0.3">
      <c r="AK241" s="100" t="s">
        <v>173</v>
      </c>
      <c r="AL241" s="37">
        <v>100</v>
      </c>
      <c r="AM241" s="37"/>
      <c r="AN241" s="108">
        <v>78.5</v>
      </c>
      <c r="AO241" s="108">
        <v>67.900000000000006</v>
      </c>
      <c r="AP241" s="108"/>
      <c r="AQ241" s="173">
        <v>61.6</v>
      </c>
    </row>
    <row r="242" spans="18:43" ht="15" thickBot="1" x14ac:dyDescent="0.35">
      <c r="AK242" s="265" t="s">
        <v>5</v>
      </c>
      <c r="AL242" s="182">
        <v>0</v>
      </c>
      <c r="AM242" s="182"/>
      <c r="AN242" s="182">
        <v>0.21</v>
      </c>
      <c r="AO242" s="160">
        <v>0.48</v>
      </c>
      <c r="AP242" s="160"/>
      <c r="AQ242" s="183">
        <v>0.69</v>
      </c>
    </row>
    <row r="244" spans="18:43" x14ac:dyDescent="0.3">
      <c r="AL244" s="97" t="s">
        <v>178</v>
      </c>
    </row>
    <row r="245" spans="18:43" x14ac:dyDescent="0.3">
      <c r="AL245" s="100" t="s">
        <v>207</v>
      </c>
      <c r="AM245" s="100" t="s">
        <v>176</v>
      </c>
      <c r="AN245" s="100" t="s">
        <v>191</v>
      </c>
      <c r="AO245" s="100" t="s">
        <v>173</v>
      </c>
    </row>
    <row r="246" spans="18:43" x14ac:dyDescent="0.3">
      <c r="AK246" s="258" t="s">
        <v>110</v>
      </c>
      <c r="AL246" s="13">
        <v>1.5300000000000001E-4</v>
      </c>
      <c r="AM246" s="13">
        <v>1.64E-4</v>
      </c>
      <c r="AN246" s="14">
        <v>3.0499999999999999E-4</v>
      </c>
      <c r="AO246" s="14">
        <v>4.8500000000000003E-4</v>
      </c>
    </row>
    <row r="247" spans="18:43" x14ac:dyDescent="0.3">
      <c r="AK247" s="258" t="s">
        <v>111</v>
      </c>
      <c r="AL247" s="13">
        <v>-3.0345E-2</v>
      </c>
      <c r="AM247" s="13">
        <v>-3.2806000000000002E-2</v>
      </c>
      <c r="AN247" s="14">
        <v>-6.0685000000000003E-2</v>
      </c>
      <c r="AO247" s="14">
        <v>-9.6292000000000003E-2</v>
      </c>
    </row>
    <row r="248" spans="18:43" x14ac:dyDescent="0.3">
      <c r="AK248" s="258" t="s">
        <v>113</v>
      </c>
      <c r="AL248" s="185">
        <v>1.5043949999999999</v>
      </c>
      <c r="AM248" s="13">
        <v>1.644131</v>
      </c>
      <c r="AN248" s="14">
        <v>3.0140349999999998</v>
      </c>
      <c r="AO248" s="14">
        <v>4.7832189999999999</v>
      </c>
    </row>
    <row r="249" spans="18:43" x14ac:dyDescent="0.3">
      <c r="AK249" s="1"/>
      <c r="AL249" s="13"/>
      <c r="AM249" s="74"/>
    </row>
    <row r="250" spans="18:43" x14ac:dyDescent="0.3">
      <c r="AK250" s="1"/>
      <c r="AL250" s="13"/>
      <c r="AM250" s="13"/>
    </row>
    <row r="252" spans="18:43" ht="15" thickBot="1" x14ac:dyDescent="0.35">
      <c r="R252" s="14" t="s">
        <v>374</v>
      </c>
    </row>
    <row r="253" spans="18:43" x14ac:dyDescent="0.3">
      <c r="R253" s="711" t="s">
        <v>15</v>
      </c>
      <c r="S253" s="5">
        <v>0</v>
      </c>
      <c r="T253" s="5"/>
      <c r="U253" s="5"/>
      <c r="V253" s="5"/>
      <c r="W253" s="5"/>
      <c r="X253" s="6">
        <v>135</v>
      </c>
    </row>
    <row r="254" spans="18:43" x14ac:dyDescent="0.3">
      <c r="R254" s="712"/>
      <c r="S254" s="37"/>
      <c r="T254" s="37"/>
      <c r="U254" s="37"/>
      <c r="V254" s="37">
        <v>366</v>
      </c>
      <c r="W254" s="37"/>
      <c r="X254" s="38">
        <v>262</v>
      </c>
    </row>
    <row r="255" spans="18:43" ht="15" thickBot="1" x14ac:dyDescent="0.35">
      <c r="R255" s="265" t="s">
        <v>16</v>
      </c>
      <c r="S255" s="8">
        <v>0</v>
      </c>
      <c r="T255" s="8">
        <v>0.28999999999999998</v>
      </c>
      <c r="U255" s="9">
        <v>0.3</v>
      </c>
      <c r="V255" s="9">
        <v>0.5</v>
      </c>
      <c r="W255" s="10">
        <v>0.7</v>
      </c>
      <c r="X255" s="11">
        <v>1</v>
      </c>
    </row>
    <row r="257" spans="18:35" x14ac:dyDescent="0.3">
      <c r="R257" s="13"/>
      <c r="S257" s="97" t="s">
        <v>171</v>
      </c>
      <c r="T257" s="13"/>
    </row>
    <row r="258" spans="18:35" x14ac:dyDescent="0.3">
      <c r="R258" s="13"/>
      <c r="S258" s="13" t="s">
        <v>297</v>
      </c>
      <c r="T258" s="13" t="s">
        <v>298</v>
      </c>
    </row>
    <row r="259" spans="18:35" ht="15" thickBot="1" x14ac:dyDescent="0.35">
      <c r="R259" s="101" t="s">
        <v>110</v>
      </c>
      <c r="S259" s="13">
        <v>7.4000000000000003E-3</v>
      </c>
      <c r="T259" s="13">
        <v>-4.7999999999999996E-3</v>
      </c>
      <c r="AA259" s="14" t="s">
        <v>265</v>
      </c>
    </row>
    <row r="260" spans="18:35" x14ac:dyDescent="0.3">
      <c r="R260" s="101" t="s">
        <v>111</v>
      </c>
      <c r="S260" s="13">
        <v>0</v>
      </c>
      <c r="T260" s="13">
        <v>2.2595999999999998</v>
      </c>
      <c r="AA260" s="217" t="s">
        <v>285</v>
      </c>
      <c r="AB260" s="217">
        <v>0.87</v>
      </c>
      <c r="AC260" s="217"/>
      <c r="AD260" s="217">
        <v>0.52</v>
      </c>
      <c r="AE260" s="217"/>
      <c r="AF260" s="217">
        <v>0.04</v>
      </c>
      <c r="AG260" s="218">
        <v>0.01</v>
      </c>
    </row>
    <row r="261" spans="18:35" x14ac:dyDescent="0.3">
      <c r="R261" s="101"/>
      <c r="S261" s="13"/>
      <c r="T261" s="13"/>
      <c r="AA261" s="100" t="s">
        <v>286</v>
      </c>
      <c r="AB261" s="100">
        <v>0.82</v>
      </c>
      <c r="AC261" s="100"/>
      <c r="AD261" s="100">
        <v>0.4</v>
      </c>
      <c r="AE261" s="100"/>
      <c r="AF261" s="100">
        <v>0.06</v>
      </c>
      <c r="AG261" s="219">
        <v>0.01</v>
      </c>
    </row>
    <row r="262" spans="18:35" x14ac:dyDescent="0.3">
      <c r="R262" s="13"/>
      <c r="S262" s="13"/>
      <c r="T262" s="74"/>
      <c r="AA262" s="100" t="s">
        <v>287</v>
      </c>
      <c r="AB262" s="100">
        <v>0.33</v>
      </c>
      <c r="AC262" s="100"/>
      <c r="AD262" s="100">
        <v>0.23</v>
      </c>
      <c r="AE262" s="100"/>
      <c r="AF262" s="100">
        <v>0.09</v>
      </c>
      <c r="AG262" s="219">
        <v>0.03</v>
      </c>
    </row>
    <row r="263" spans="18:35" x14ac:dyDescent="0.3">
      <c r="R263" s="13"/>
      <c r="S263" s="13"/>
      <c r="T263" s="13"/>
      <c r="AA263" s="100" t="s">
        <v>288</v>
      </c>
      <c r="AB263" s="100">
        <v>0.7</v>
      </c>
      <c r="AC263" s="100"/>
      <c r="AD263" s="100">
        <v>0.37</v>
      </c>
      <c r="AE263" s="100"/>
      <c r="AF263" s="100">
        <v>0.12</v>
      </c>
      <c r="AG263" s="219">
        <v>7.0000000000000007E-2</v>
      </c>
    </row>
    <row r="264" spans="18:35" ht="15" thickBot="1" x14ac:dyDescent="0.35">
      <c r="AA264" s="265" t="s">
        <v>5</v>
      </c>
      <c r="AB264" s="8">
        <v>0</v>
      </c>
      <c r="AC264" s="8">
        <v>0.28999999999999998</v>
      </c>
      <c r="AD264" s="9">
        <v>0.3</v>
      </c>
      <c r="AE264" s="9">
        <v>0.69</v>
      </c>
      <c r="AF264" s="10">
        <v>0.7</v>
      </c>
      <c r="AG264" s="11">
        <v>1</v>
      </c>
    </row>
    <row r="266" spans="18:35" x14ac:dyDescent="0.3">
      <c r="AA266" s="223"/>
      <c r="AB266" s="222" t="s">
        <v>178</v>
      </c>
      <c r="AC266" s="223"/>
      <c r="AD266" s="115"/>
      <c r="AE266" s="210"/>
      <c r="AF266" s="708" t="s">
        <v>229</v>
      </c>
      <c r="AG266" s="708"/>
      <c r="AH266" s="708"/>
      <c r="AI266" s="707"/>
    </row>
    <row r="267" spans="18:35" x14ac:dyDescent="0.3">
      <c r="AA267" s="1"/>
      <c r="AB267" s="100" t="s">
        <v>285</v>
      </c>
      <c r="AC267" s="100" t="s">
        <v>286</v>
      </c>
      <c r="AD267" s="100" t="s">
        <v>287</v>
      </c>
      <c r="AE267" s="100" t="s">
        <v>288</v>
      </c>
      <c r="AF267" s="100" t="s">
        <v>285</v>
      </c>
      <c r="AG267" s="100" t="s">
        <v>286</v>
      </c>
      <c r="AH267" s="100" t="s">
        <v>287</v>
      </c>
      <c r="AI267" s="100" t="s">
        <v>288</v>
      </c>
    </row>
    <row r="268" spans="18:35" x14ac:dyDescent="0.3">
      <c r="AA268" s="258" t="s">
        <v>110</v>
      </c>
      <c r="AB268" s="21">
        <v>-2.87E-2</v>
      </c>
      <c r="AC268" s="1">
        <v>0.60809999999999997</v>
      </c>
      <c r="AD268" s="21">
        <v>-0.59519999999999995</v>
      </c>
      <c r="AE268" s="214">
        <v>1.1912</v>
      </c>
      <c r="AF268" s="1"/>
      <c r="AG268" s="21"/>
      <c r="AH268" s="21"/>
      <c r="AI268" s="193"/>
    </row>
    <row r="269" spans="18:35" x14ac:dyDescent="0.3">
      <c r="AA269" s="258" t="s">
        <v>111</v>
      </c>
      <c r="AB269" s="1">
        <v>-0.81730000000000003</v>
      </c>
      <c r="AC269" s="1">
        <v>-1.4561999999999999</v>
      </c>
      <c r="AD269" s="1">
        <v>-2.6667000000000001</v>
      </c>
      <c r="AE269" s="221">
        <v>-2.1837</v>
      </c>
      <c r="AF269" s="99">
        <v>-10</v>
      </c>
      <c r="AG269" s="1">
        <v>-6</v>
      </c>
      <c r="AH269" s="1">
        <v>-5</v>
      </c>
      <c r="AI269" s="214">
        <v>-6</v>
      </c>
    </row>
    <row r="270" spans="18:35" x14ac:dyDescent="0.3">
      <c r="AA270" s="269" t="s">
        <v>113</v>
      </c>
      <c r="AB270" s="195">
        <v>0.73270000000000002</v>
      </c>
      <c r="AC270" s="195">
        <v>0.78520000000000001</v>
      </c>
      <c r="AD270" s="195">
        <v>0.94479999999999997</v>
      </c>
      <c r="AE270" s="196">
        <v>0.94489999999999996</v>
      </c>
      <c r="AF270" s="195">
        <v>1.1000000000000001</v>
      </c>
      <c r="AG270" s="195">
        <v>1.06</v>
      </c>
      <c r="AH270" s="207">
        <v>1.1499999999999999</v>
      </c>
      <c r="AI270" s="196">
        <v>1.42</v>
      </c>
    </row>
    <row r="271" spans="18:35" x14ac:dyDescent="0.3">
      <c r="AA271" s="13"/>
      <c r="AB271" s="13"/>
      <c r="AC271" s="13"/>
      <c r="AD271" s="16"/>
      <c r="AE271" s="1"/>
      <c r="AG271" s="1"/>
    </row>
    <row r="272" spans="18:35" x14ac:dyDescent="0.3">
      <c r="AA272" s="13"/>
      <c r="AB272" s="13"/>
      <c r="AC272" s="74"/>
      <c r="AE272" s="1"/>
      <c r="AG272" s="1"/>
    </row>
    <row r="282" spans="15:16" x14ac:dyDescent="0.3">
      <c r="O282" s="361"/>
      <c r="P282" s="361"/>
    </row>
    <row r="283" spans="15:16" x14ac:dyDescent="0.3">
      <c r="O283" s="361"/>
      <c r="P283" s="361"/>
    </row>
    <row r="284" spans="15:16" x14ac:dyDescent="0.3">
      <c r="O284" s="361"/>
      <c r="P284" s="361"/>
    </row>
    <row r="285" spans="15:16" x14ac:dyDescent="0.3">
      <c r="O285" s="361"/>
      <c r="P285" s="361"/>
    </row>
    <row r="286" spans="15:16" x14ac:dyDescent="0.3">
      <c r="O286" s="361"/>
      <c r="P286" s="361"/>
    </row>
    <row r="287" spans="15:16" x14ac:dyDescent="0.3">
      <c r="O287" s="361"/>
      <c r="P287" s="361"/>
    </row>
    <row r="288" spans="15:16" x14ac:dyDescent="0.3">
      <c r="O288" s="361"/>
      <c r="P288" s="361"/>
    </row>
    <row r="289" spans="15:35" x14ac:dyDescent="0.3">
      <c r="O289" s="361"/>
      <c r="P289" s="361"/>
    </row>
    <row r="290" spans="15:35" ht="15" thickBot="1" x14ac:dyDescent="0.35">
      <c r="O290" s="361"/>
      <c r="P290" s="361"/>
      <c r="R290" s="14" t="s">
        <v>439</v>
      </c>
    </row>
    <row r="291" spans="15:35" x14ac:dyDescent="0.3">
      <c r="O291" s="361"/>
      <c r="P291" s="361"/>
      <c r="Q291" s="214"/>
      <c r="R291" s="718" t="s">
        <v>15</v>
      </c>
      <c r="S291" s="5">
        <v>0</v>
      </c>
      <c r="T291" s="5"/>
      <c r="U291" s="5">
        <f>100*0.169</f>
        <v>16.900000000000002</v>
      </c>
      <c r="V291" s="5">
        <f>100*0.237</f>
        <v>23.7</v>
      </c>
      <c r="W291" s="5">
        <f>100*0.295</f>
        <v>29.5</v>
      </c>
      <c r="X291" s="6">
        <f>100*0.363</f>
        <v>36.299999999999997</v>
      </c>
    </row>
    <row r="292" spans="15:35" x14ac:dyDescent="0.3">
      <c r="O292" s="361"/>
      <c r="P292" s="361"/>
      <c r="Q292" s="214"/>
      <c r="R292" s="719"/>
      <c r="S292" s="37">
        <f>100*1</f>
        <v>100</v>
      </c>
      <c r="T292" s="37"/>
      <c r="U292" s="37">
        <f>100*0.836</f>
        <v>83.6</v>
      </c>
      <c r="V292" s="37">
        <f>100*0.78</f>
        <v>78</v>
      </c>
      <c r="W292" s="37">
        <f>100*0.735</f>
        <v>73.5</v>
      </c>
      <c r="X292" s="38">
        <f>100*0.68</f>
        <v>68</v>
      </c>
    </row>
    <row r="293" spans="15:35" ht="15" thickBot="1" x14ac:dyDescent="0.35">
      <c r="O293" s="361"/>
      <c r="P293" s="361"/>
      <c r="Q293" s="214"/>
      <c r="R293" s="265" t="s">
        <v>16</v>
      </c>
      <c r="S293" s="8">
        <v>0</v>
      </c>
      <c r="T293" s="8">
        <v>0.28999999999999998</v>
      </c>
      <c r="U293" s="9">
        <v>0.3</v>
      </c>
      <c r="V293" s="9">
        <v>0.5</v>
      </c>
      <c r="W293" s="10">
        <v>0.7</v>
      </c>
      <c r="X293" s="11">
        <v>1</v>
      </c>
    </row>
    <row r="294" spans="15:35" x14ac:dyDescent="0.3">
      <c r="O294" s="361"/>
      <c r="P294" s="361"/>
      <c r="Q294" s="214"/>
    </row>
    <row r="295" spans="15:35" ht="15" thickBot="1" x14ac:dyDescent="0.35">
      <c r="O295" s="361"/>
      <c r="P295" s="361"/>
      <c r="Q295" s="214"/>
      <c r="R295" s="13"/>
      <c r="S295" s="234" t="s">
        <v>178</v>
      </c>
      <c r="T295" s="13"/>
      <c r="AA295" s="14" t="s">
        <v>265</v>
      </c>
    </row>
    <row r="296" spans="15:35" x14ac:dyDescent="0.3">
      <c r="O296" s="361"/>
      <c r="P296" s="361"/>
      <c r="Q296" s="214"/>
      <c r="R296" s="13"/>
      <c r="S296" s="13" t="s">
        <v>297</v>
      </c>
      <c r="T296" s="13" t="s">
        <v>298</v>
      </c>
      <c r="AA296" s="217" t="s">
        <v>289</v>
      </c>
      <c r="AB296" s="217">
        <v>1.8</v>
      </c>
      <c r="AC296" s="217"/>
      <c r="AD296" s="217">
        <v>1.3</v>
      </c>
      <c r="AE296" s="217"/>
      <c r="AF296" s="217">
        <v>0.2</v>
      </c>
      <c r="AG296" s="218">
        <v>0.08</v>
      </c>
    </row>
    <row r="297" spans="15:35" x14ac:dyDescent="0.3">
      <c r="O297" s="361"/>
      <c r="P297" s="361"/>
      <c r="Q297" s="214"/>
      <c r="R297" s="359" t="s">
        <v>110</v>
      </c>
      <c r="S297" s="13">
        <v>5.0000000000000001E-4</v>
      </c>
      <c r="T297">
        <v>8.3980000000000003E-4</v>
      </c>
      <c r="AA297" s="100" t="s">
        <v>290</v>
      </c>
      <c r="AB297" s="100">
        <v>0.96</v>
      </c>
      <c r="AC297" s="100"/>
      <c r="AD297" s="100">
        <v>0.52</v>
      </c>
      <c r="AE297" s="100"/>
      <c r="AF297" s="100">
        <v>0.16</v>
      </c>
      <c r="AG297" s="219">
        <v>0.12</v>
      </c>
    </row>
    <row r="298" spans="15:35" x14ac:dyDescent="0.3">
      <c r="O298" s="361"/>
      <c r="P298" s="361"/>
      <c r="Q298" s="214"/>
      <c r="R298" s="359" t="s">
        <v>111</v>
      </c>
      <c r="S298" s="13">
        <v>8.8999999999999999E-3</v>
      </c>
      <c r="T298" s="13">
        <v>-0.17223820000000001</v>
      </c>
      <c r="AA298" s="100" t="s">
        <v>291</v>
      </c>
      <c r="AB298" s="100">
        <v>0.75</v>
      </c>
      <c r="AC298" s="100"/>
      <c r="AD298" s="100">
        <v>0.51</v>
      </c>
      <c r="AE298" s="100"/>
      <c r="AF298" s="100">
        <v>0.2</v>
      </c>
      <c r="AG298" s="219">
        <v>0.13</v>
      </c>
    </row>
    <row r="299" spans="15:35" x14ac:dyDescent="0.3">
      <c r="O299" s="361"/>
      <c r="P299" s="361"/>
      <c r="Q299" s="214"/>
      <c r="R299" s="360" t="s">
        <v>113</v>
      </c>
      <c r="S299" s="13">
        <v>8.0000000000000004E-4</v>
      </c>
      <c r="T299" s="13">
        <v>8.8267644000000001</v>
      </c>
      <c r="AA299" s="100" t="s">
        <v>292</v>
      </c>
      <c r="AB299" s="100">
        <v>1.68</v>
      </c>
      <c r="AC299" s="100"/>
      <c r="AD299" s="100">
        <v>1.1599999999999999</v>
      </c>
      <c r="AE299" s="100"/>
      <c r="AF299" s="100">
        <v>0.23</v>
      </c>
      <c r="AG299" s="219">
        <v>0.08</v>
      </c>
    </row>
    <row r="300" spans="15:35" x14ac:dyDescent="0.3">
      <c r="O300" s="361"/>
      <c r="P300" s="361"/>
      <c r="Q300" s="214"/>
      <c r="AA300" s="100" t="s">
        <v>293</v>
      </c>
      <c r="AB300" s="100">
        <v>5.3</v>
      </c>
      <c r="AC300" s="100"/>
      <c r="AD300" s="100">
        <v>4.2</v>
      </c>
      <c r="AE300" s="100"/>
      <c r="AF300" s="100">
        <v>1.395</v>
      </c>
      <c r="AG300" s="219">
        <v>0.94</v>
      </c>
    </row>
    <row r="301" spans="15:35" ht="15" thickBot="1" x14ac:dyDescent="0.35">
      <c r="O301" s="361"/>
      <c r="P301" s="361"/>
      <c r="Q301" s="214"/>
      <c r="AA301" s="265" t="s">
        <v>5</v>
      </c>
      <c r="AB301" s="8">
        <v>0</v>
      </c>
      <c r="AC301" s="8">
        <v>0.28999999999999998</v>
      </c>
      <c r="AD301" s="9">
        <v>0.3</v>
      </c>
      <c r="AE301" s="9">
        <v>0.69</v>
      </c>
      <c r="AF301" s="10">
        <v>0.7</v>
      </c>
      <c r="AG301" s="11">
        <v>1</v>
      </c>
    </row>
    <row r="302" spans="15:35" x14ac:dyDescent="0.3">
      <c r="O302" s="361"/>
      <c r="P302" s="361"/>
      <c r="Q302" s="214"/>
    </row>
    <row r="303" spans="15:35" x14ac:dyDescent="0.3">
      <c r="O303" s="361"/>
      <c r="P303" s="361"/>
      <c r="Q303" s="214"/>
      <c r="AA303" s="223"/>
      <c r="AB303" s="222" t="s">
        <v>178</v>
      </c>
      <c r="AC303" s="223"/>
      <c r="AD303" s="115"/>
      <c r="AE303" s="210"/>
      <c r="AF303" s="708" t="s">
        <v>229</v>
      </c>
      <c r="AG303" s="708"/>
      <c r="AH303" s="708"/>
      <c r="AI303" s="707"/>
    </row>
    <row r="304" spans="15:35" x14ac:dyDescent="0.3">
      <c r="O304" s="361"/>
      <c r="P304" s="361"/>
      <c r="AA304" s="1"/>
      <c r="AB304" s="100" t="s">
        <v>289</v>
      </c>
      <c r="AC304" s="100" t="s">
        <v>290</v>
      </c>
      <c r="AD304" s="100" t="s">
        <v>291</v>
      </c>
      <c r="AE304" s="100" t="s">
        <v>292</v>
      </c>
      <c r="AF304" s="100" t="s">
        <v>289</v>
      </c>
      <c r="AG304" s="100" t="s">
        <v>290</v>
      </c>
      <c r="AH304" s="100" t="s">
        <v>291</v>
      </c>
      <c r="AI304" s="100" t="s">
        <v>292</v>
      </c>
    </row>
    <row r="305" spans="15:35" x14ac:dyDescent="0.3">
      <c r="O305" s="361"/>
      <c r="P305" s="361"/>
      <c r="AA305" s="258" t="s">
        <v>110</v>
      </c>
      <c r="AB305" s="21">
        <v>-0.1477</v>
      </c>
      <c r="AC305" s="1">
        <v>0.53659999999999997</v>
      </c>
      <c r="AD305" s="21">
        <v>7.3300000000000004E-2</v>
      </c>
      <c r="AE305" s="214">
        <v>-0.1013</v>
      </c>
      <c r="AF305" s="1"/>
      <c r="AG305" s="21"/>
      <c r="AH305" s="21"/>
      <c r="AI305" s="193"/>
    </row>
    <row r="306" spans="15:35" x14ac:dyDescent="0.3">
      <c r="O306" s="361"/>
      <c r="P306" s="361"/>
      <c r="AA306" s="258" t="s">
        <v>111</v>
      </c>
      <c r="AB306" s="1">
        <v>-0.14199999999999999</v>
      </c>
      <c r="AC306" s="1">
        <v>-1.476</v>
      </c>
      <c r="AD306" s="1">
        <v>-1.3424</v>
      </c>
      <c r="AE306" s="221">
        <v>-0.28939999999999999</v>
      </c>
      <c r="AF306" s="99">
        <v>-2.5</v>
      </c>
      <c r="AG306" s="1">
        <v>-7.5</v>
      </c>
      <c r="AH306" s="1">
        <v>-4.2857000000000003</v>
      </c>
      <c r="AI306" s="214">
        <v>-2</v>
      </c>
    </row>
    <row r="307" spans="15:35" x14ac:dyDescent="0.3">
      <c r="O307" s="361"/>
      <c r="P307" s="361"/>
      <c r="AA307" s="269" t="s">
        <v>113</v>
      </c>
      <c r="AB307" s="195">
        <v>0.73429999999999995</v>
      </c>
      <c r="AC307" s="195">
        <v>0.9224</v>
      </c>
      <c r="AD307" s="195">
        <v>0.96550000000000002</v>
      </c>
      <c r="AE307" s="196">
        <v>0.77190000000000003</v>
      </c>
      <c r="AF307" s="195">
        <v>1.2</v>
      </c>
      <c r="AG307" s="195">
        <v>1.9</v>
      </c>
      <c r="AH307" s="207">
        <v>1.5570999999999999</v>
      </c>
      <c r="AI307" s="196">
        <v>1.1599999999999999</v>
      </c>
    </row>
    <row r="308" spans="15:35" x14ac:dyDescent="0.3">
      <c r="O308" s="361"/>
      <c r="P308" s="361"/>
      <c r="AA308" s="223"/>
      <c r="AB308" s="224" t="s">
        <v>293</v>
      </c>
      <c r="AC308" s="223"/>
      <c r="AD308" s="223"/>
      <c r="AE308" s="225"/>
      <c r="AF308" s="226" t="s">
        <v>293</v>
      </c>
      <c r="AG308" s="223"/>
      <c r="AH308" s="197"/>
      <c r="AI308" s="225"/>
    </row>
    <row r="309" spans="15:35" x14ac:dyDescent="0.3">
      <c r="O309" s="361"/>
      <c r="P309" s="361"/>
      <c r="AA309" s="258" t="s">
        <v>110</v>
      </c>
      <c r="AB309" s="1">
        <v>-3.3300000000000003E-2</v>
      </c>
      <c r="AC309" s="1"/>
      <c r="AD309" s="1"/>
      <c r="AE309" s="214"/>
      <c r="AF309" s="192"/>
      <c r="AG309" s="1"/>
      <c r="AH309" s="21"/>
      <c r="AI309" s="214"/>
    </row>
    <row r="310" spans="15:35" x14ac:dyDescent="0.3">
      <c r="O310" s="361"/>
      <c r="P310" s="361"/>
      <c r="AA310" s="258" t="s">
        <v>111</v>
      </c>
      <c r="AB310" s="1">
        <v>4.3799999999999999E-2</v>
      </c>
      <c r="AC310" s="1"/>
      <c r="AD310" s="1"/>
      <c r="AE310" s="214"/>
      <c r="AF310" s="192">
        <v>-0.6593</v>
      </c>
      <c r="AG310" s="1"/>
      <c r="AH310" s="21"/>
      <c r="AI310" s="214"/>
    </row>
    <row r="311" spans="15:35" x14ac:dyDescent="0.3">
      <c r="O311" s="361"/>
      <c r="P311" s="361"/>
      <c r="AA311" s="269" t="s">
        <v>113</v>
      </c>
      <c r="AB311" s="195">
        <v>0.70369999999999999</v>
      </c>
      <c r="AC311" s="195"/>
      <c r="AD311" s="195"/>
      <c r="AE311" s="196"/>
      <c r="AF311" s="194">
        <v>1.6197999999999999</v>
      </c>
      <c r="AG311" s="195"/>
      <c r="AH311" s="207"/>
      <c r="AI311" s="196"/>
    </row>
    <row r="312" spans="15:35" x14ac:dyDescent="0.3">
      <c r="O312" s="361"/>
      <c r="P312" s="361"/>
      <c r="AA312" s="13"/>
      <c r="AB312" s="13"/>
      <c r="AC312" s="13"/>
      <c r="AD312" s="16"/>
      <c r="AE312" s="1"/>
      <c r="AG312" s="1"/>
    </row>
    <row r="313" spans="15:35" x14ac:dyDescent="0.3">
      <c r="O313" s="361"/>
      <c r="P313" s="361"/>
      <c r="AA313" s="13"/>
      <c r="AB313" s="13"/>
      <c r="AC313" s="74"/>
      <c r="AE313" s="1"/>
      <c r="AG313" s="1"/>
    </row>
    <row r="314" spans="15:35" x14ac:dyDescent="0.3">
      <c r="O314" s="361"/>
      <c r="P314" s="361"/>
    </row>
    <row r="315" spans="15:35" x14ac:dyDescent="0.3">
      <c r="O315" s="361"/>
      <c r="P315" s="361"/>
    </row>
    <row r="316" spans="15:35" x14ac:dyDescent="0.3">
      <c r="O316" s="361"/>
      <c r="P316" s="361"/>
    </row>
    <row r="317" spans="15:35" x14ac:dyDescent="0.3">
      <c r="O317" s="361"/>
      <c r="P317" s="361"/>
    </row>
    <row r="318" spans="15:35" x14ac:dyDescent="0.3">
      <c r="O318" s="361"/>
      <c r="P318" s="361"/>
    </row>
    <row r="319" spans="15:35" x14ac:dyDescent="0.3">
      <c r="O319" s="361"/>
      <c r="P319" s="361"/>
    </row>
    <row r="320" spans="15:35" x14ac:dyDescent="0.3">
      <c r="O320" s="361"/>
      <c r="P320" s="361"/>
    </row>
    <row r="321" spans="15:24" x14ac:dyDescent="0.3">
      <c r="O321" s="361"/>
      <c r="P321" s="361"/>
    </row>
    <row r="322" spans="15:24" x14ac:dyDescent="0.3">
      <c r="O322" s="361"/>
      <c r="P322" s="361"/>
    </row>
    <row r="323" spans="15:24" x14ac:dyDescent="0.3">
      <c r="O323" s="361"/>
      <c r="P323" s="361"/>
    </row>
    <row r="324" spans="15:24" x14ac:dyDescent="0.3">
      <c r="O324" s="361"/>
      <c r="P324" s="361"/>
    </row>
    <row r="325" spans="15:24" ht="15" thickBot="1" x14ac:dyDescent="0.35">
      <c r="O325" s="361"/>
      <c r="P325" s="361"/>
      <c r="R325" s="14" t="s">
        <v>402</v>
      </c>
    </row>
    <row r="326" spans="15:24" x14ac:dyDescent="0.3">
      <c r="R326" s="5" t="s">
        <v>15</v>
      </c>
      <c r="S326" s="5">
        <v>0</v>
      </c>
      <c r="T326" s="5"/>
      <c r="U326" s="5"/>
      <c r="V326" s="5"/>
      <c r="W326" s="5"/>
      <c r="X326" s="6">
        <v>75</v>
      </c>
    </row>
    <row r="327" spans="15:24" ht="15" thickBot="1" x14ac:dyDescent="0.35">
      <c r="R327" s="265" t="s">
        <v>16</v>
      </c>
      <c r="S327" s="8">
        <v>0</v>
      </c>
      <c r="T327" s="8">
        <v>0.28999999999999998</v>
      </c>
      <c r="U327" s="9">
        <v>0.3</v>
      </c>
      <c r="V327" s="9">
        <v>0.69</v>
      </c>
      <c r="W327" s="10">
        <v>0.7</v>
      </c>
      <c r="X327" s="11">
        <v>1</v>
      </c>
    </row>
    <row r="329" spans="15:24" x14ac:dyDescent="0.3">
      <c r="R329" s="102"/>
      <c r="S329" s="135" t="s">
        <v>376</v>
      </c>
      <c r="T329" s="102"/>
    </row>
    <row r="330" spans="15:24" x14ac:dyDescent="0.3">
      <c r="R330" s="106" t="s">
        <v>110</v>
      </c>
      <c r="S330" s="102">
        <v>1.3299999999999999E-2</v>
      </c>
      <c r="T330" s="102"/>
    </row>
    <row r="331" spans="15:24" x14ac:dyDescent="0.3">
      <c r="R331" s="106" t="s">
        <v>111</v>
      </c>
      <c r="S331" s="102">
        <v>0</v>
      </c>
      <c r="T331" s="102"/>
    </row>
    <row r="337" spans="27:33" ht="15" thickBot="1" x14ac:dyDescent="0.35">
      <c r="AA337" s="14" t="s">
        <v>213</v>
      </c>
    </row>
    <row r="338" spans="27:33" x14ac:dyDescent="0.3">
      <c r="AA338" s="5" t="s">
        <v>214</v>
      </c>
      <c r="AB338" s="5">
        <v>5.2999999999999999E-2</v>
      </c>
      <c r="AC338" s="5"/>
      <c r="AD338" s="5">
        <v>2.1000000000000001E-2</v>
      </c>
      <c r="AE338" s="5"/>
      <c r="AF338" s="5">
        <v>2E-3</v>
      </c>
      <c r="AG338" s="6"/>
    </row>
    <row r="339" spans="27:33" x14ac:dyDescent="0.3">
      <c r="AA339" s="37" t="s">
        <v>215</v>
      </c>
      <c r="AB339" s="37">
        <v>0.05</v>
      </c>
      <c r="AC339" s="37"/>
      <c r="AD339" s="37">
        <v>2.8000000000000001E-2</v>
      </c>
      <c r="AE339" s="37"/>
      <c r="AF339" s="37">
        <v>2E-3</v>
      </c>
      <c r="AG339" s="38"/>
    </row>
    <row r="340" spans="27:33" x14ac:dyDescent="0.3">
      <c r="AA340" s="37" t="s">
        <v>216</v>
      </c>
      <c r="AB340" s="37">
        <v>7.0000000000000007E-2</v>
      </c>
      <c r="AC340" s="37"/>
      <c r="AD340" s="37">
        <v>0.03</v>
      </c>
      <c r="AE340" s="37"/>
      <c r="AF340" s="37">
        <v>2E-3</v>
      </c>
      <c r="AG340" s="38"/>
    </row>
    <row r="341" spans="27:33" x14ac:dyDescent="0.3">
      <c r="AA341" s="37" t="s">
        <v>217</v>
      </c>
      <c r="AB341" s="37">
        <v>0.13</v>
      </c>
      <c r="AC341" s="37"/>
      <c r="AD341" s="37">
        <v>4.2000000000000003E-2</v>
      </c>
      <c r="AE341" s="37"/>
      <c r="AF341" s="37">
        <v>2E-3</v>
      </c>
      <c r="AG341" s="38"/>
    </row>
    <row r="342" spans="27:33" x14ac:dyDescent="0.3">
      <c r="AA342" s="37" t="s">
        <v>218</v>
      </c>
      <c r="AB342" s="37">
        <v>0.16</v>
      </c>
      <c r="AC342" s="37"/>
      <c r="AD342" s="37">
        <v>0.06</v>
      </c>
      <c r="AE342" s="37"/>
      <c r="AF342" s="37">
        <v>2E-3</v>
      </c>
      <c r="AG342" s="38"/>
    </row>
    <row r="343" spans="27:33" ht="15" thickBot="1" x14ac:dyDescent="0.35">
      <c r="AA343" s="265" t="s">
        <v>5</v>
      </c>
      <c r="AB343" s="8">
        <v>0</v>
      </c>
      <c r="AC343" s="8">
        <v>0.28999999999999998</v>
      </c>
      <c r="AD343" s="9">
        <v>0.3</v>
      </c>
      <c r="AE343" s="9">
        <v>0.69</v>
      </c>
      <c r="AF343" s="10">
        <v>0.7</v>
      </c>
      <c r="AG343" s="11">
        <v>1</v>
      </c>
    </row>
    <row r="345" spans="27:33" x14ac:dyDescent="0.3">
      <c r="AA345" s="202"/>
      <c r="AB345" s="222" t="s">
        <v>178</v>
      </c>
      <c r="AC345" s="197"/>
      <c r="AD345" s="197"/>
      <c r="AE345" s="197"/>
      <c r="AF345" s="197"/>
      <c r="AG345" s="198"/>
    </row>
    <row r="346" spans="27:33" x14ac:dyDescent="0.3">
      <c r="AA346" s="192"/>
      <c r="AB346" s="37" t="s">
        <v>214</v>
      </c>
      <c r="AC346" s="37" t="s">
        <v>215</v>
      </c>
      <c r="AD346" s="37" t="s">
        <v>216</v>
      </c>
      <c r="AE346" s="100" t="s">
        <v>241</v>
      </c>
      <c r="AF346" s="100" t="s">
        <v>242</v>
      </c>
      <c r="AG346" s="276" t="s">
        <v>218</v>
      </c>
    </row>
    <row r="347" spans="27:33" x14ac:dyDescent="0.3">
      <c r="AA347" s="208" t="s">
        <v>110</v>
      </c>
      <c r="AB347" s="1">
        <v>228.97</v>
      </c>
      <c r="AC347" s="1">
        <v>36.421999999999997</v>
      </c>
      <c r="AD347" s="21">
        <v>99.79</v>
      </c>
      <c r="AE347" s="1"/>
      <c r="AF347" s="21"/>
      <c r="AG347" s="214">
        <v>24.661999999999999</v>
      </c>
    </row>
    <row r="348" spans="27:33" x14ac:dyDescent="0.3">
      <c r="AA348" s="208" t="s">
        <v>111</v>
      </c>
      <c r="AB348" s="1">
        <v>-26.318999999999999</v>
      </c>
      <c r="AC348" s="1">
        <v>-16.477</v>
      </c>
      <c r="AD348" s="21">
        <v>-17.478999999999999</v>
      </c>
      <c r="AE348" s="1">
        <v>-3.4091</v>
      </c>
      <c r="AF348" s="1">
        <v>-10</v>
      </c>
      <c r="AG348" s="221">
        <v>-8.4255999999999993</v>
      </c>
    </row>
    <row r="349" spans="27:33" x14ac:dyDescent="0.3">
      <c r="AA349" s="209" t="s">
        <v>113</v>
      </c>
      <c r="AB349" s="195">
        <v>0.75170000000000003</v>
      </c>
      <c r="AC349" s="195">
        <v>0.73280000000000001</v>
      </c>
      <c r="AD349" s="207">
        <v>0.73460000000000003</v>
      </c>
      <c r="AE349" s="195">
        <v>0.44319999999999998</v>
      </c>
      <c r="AF349" s="195">
        <v>0.72</v>
      </c>
      <c r="AG349" s="196">
        <v>0.71679999999999999</v>
      </c>
    </row>
    <row r="350" spans="27:33" x14ac:dyDescent="0.3">
      <c r="AA350" s="13"/>
      <c r="AB350" s="13"/>
      <c r="AC350" s="13"/>
      <c r="AD350" s="16"/>
      <c r="AE350" s="1"/>
      <c r="AF350" s="1"/>
      <c r="AG350" s="1"/>
    </row>
    <row r="351" spans="27:33" x14ac:dyDescent="0.3">
      <c r="AA351" s="13"/>
      <c r="AB351" s="13"/>
      <c r="AC351" s="74"/>
      <c r="AE351" s="1"/>
      <c r="AF351" s="1"/>
      <c r="AG351" s="1"/>
    </row>
    <row r="357" spans="10:24" ht="15" thickBot="1" x14ac:dyDescent="0.35">
      <c r="R357" s="13" t="s">
        <v>108</v>
      </c>
      <c r="S357" s="13"/>
      <c r="T357" s="13"/>
      <c r="U357" s="13"/>
      <c r="V357" s="13"/>
      <c r="W357" s="13"/>
      <c r="X357" s="13"/>
    </row>
    <row r="358" spans="10:24" x14ac:dyDescent="0.3">
      <c r="J358" s="1"/>
      <c r="R358" s="5" t="s">
        <v>15</v>
      </c>
      <c r="S358" s="5">
        <v>0.01</v>
      </c>
      <c r="T358" s="5">
        <v>0.05</v>
      </c>
      <c r="U358" s="5"/>
      <c r="V358" s="5">
        <v>0.1</v>
      </c>
      <c r="W358" s="5"/>
      <c r="X358" s="6">
        <v>0.11</v>
      </c>
    </row>
    <row r="359" spans="10:24" ht="15" thickBot="1" x14ac:dyDescent="0.35">
      <c r="J359" s="1"/>
      <c r="R359" s="265" t="s">
        <v>16</v>
      </c>
      <c r="S359" s="8">
        <v>0</v>
      </c>
      <c r="T359" s="8">
        <v>0.28999999999999998</v>
      </c>
      <c r="U359" s="9">
        <v>0.3</v>
      </c>
      <c r="V359" s="160">
        <v>0.65200000000000002</v>
      </c>
      <c r="W359" s="10">
        <v>0.7</v>
      </c>
      <c r="X359" s="11">
        <v>1</v>
      </c>
    </row>
    <row r="360" spans="10:24" x14ac:dyDescent="0.3">
      <c r="J360" s="1"/>
    </row>
    <row r="361" spans="10:24" x14ac:dyDescent="0.3">
      <c r="J361" s="1"/>
      <c r="S361" s="97" t="s">
        <v>171</v>
      </c>
    </row>
    <row r="362" spans="10:24" x14ac:dyDescent="0.3">
      <c r="J362" s="1"/>
      <c r="R362" s="101" t="s">
        <v>110</v>
      </c>
      <c r="S362" s="13">
        <v>7.25</v>
      </c>
      <c r="T362" s="13"/>
    </row>
    <row r="363" spans="10:24" x14ac:dyDescent="0.3">
      <c r="J363" s="1"/>
      <c r="R363" s="101" t="s">
        <v>111</v>
      </c>
      <c r="S363" s="13">
        <v>-7.2999999999999995E-2</v>
      </c>
      <c r="T363" s="13"/>
      <c r="U363" s="159"/>
    </row>
    <row r="364" spans="10:24" ht="21" x14ac:dyDescent="0.4">
      <c r="J364" s="1"/>
      <c r="R364" s="103"/>
      <c r="S364" s="13"/>
      <c r="T364" s="13"/>
      <c r="V364" s="73"/>
      <c r="W364" s="13"/>
      <c r="X364" s="13"/>
    </row>
    <row r="365" spans="10:24" x14ac:dyDescent="0.3">
      <c r="J365" s="1"/>
      <c r="R365" s="103"/>
      <c r="S365" s="13"/>
      <c r="T365" s="74"/>
      <c r="V365" s="13"/>
      <c r="W365" s="13"/>
      <c r="X365" s="74"/>
    </row>
    <row r="366" spans="10:24" x14ac:dyDescent="0.3">
      <c r="J366" s="1"/>
      <c r="R366" s="13"/>
      <c r="S366" s="13"/>
      <c r="T366" s="74"/>
      <c r="V366" s="13"/>
      <c r="W366" s="13"/>
      <c r="X366" s="74"/>
    </row>
    <row r="367" spans="10:24" x14ac:dyDescent="0.3">
      <c r="J367" s="1"/>
    </row>
    <row r="368" spans="10:24" x14ac:dyDescent="0.3">
      <c r="J368" s="1"/>
    </row>
    <row r="369" spans="10:33" x14ac:dyDescent="0.3">
      <c r="J369" s="1"/>
    </row>
    <row r="370" spans="10:33" x14ac:dyDescent="0.3">
      <c r="J370" s="1"/>
    </row>
    <row r="371" spans="10:33" x14ac:dyDescent="0.3">
      <c r="J371" s="1"/>
    </row>
    <row r="372" spans="10:33" x14ac:dyDescent="0.3">
      <c r="J372" s="1"/>
    </row>
    <row r="373" spans="10:33" x14ac:dyDescent="0.3">
      <c r="J373" s="1"/>
    </row>
    <row r="376" spans="10:33" ht="15" thickBot="1" x14ac:dyDescent="0.35">
      <c r="AA376" s="14" t="s">
        <v>213</v>
      </c>
    </row>
    <row r="377" spans="10:33" x14ac:dyDescent="0.3">
      <c r="AA377" s="5" t="s">
        <v>219</v>
      </c>
      <c r="AB377" s="5">
        <v>3.5000000000000003E-2</v>
      </c>
      <c r="AC377" s="5"/>
      <c r="AD377" s="5">
        <v>1.4999999999999999E-2</v>
      </c>
      <c r="AE377" s="5"/>
      <c r="AF377" s="5">
        <v>3.0000000000000001E-3</v>
      </c>
      <c r="AG377" s="6">
        <v>2E-3</v>
      </c>
    </row>
    <row r="378" spans="10:33" x14ac:dyDescent="0.3">
      <c r="AA378" s="37" t="s">
        <v>220</v>
      </c>
      <c r="AB378" s="37">
        <v>3.6999999999999998E-2</v>
      </c>
      <c r="AC378" s="37"/>
      <c r="AD378" s="37">
        <v>1.6E-2</v>
      </c>
      <c r="AE378" s="37"/>
      <c r="AF378" s="37">
        <v>3.0000000000000001E-3</v>
      </c>
      <c r="AG378" s="38">
        <v>2E-3</v>
      </c>
    </row>
    <row r="379" spans="10:33" x14ac:dyDescent="0.3">
      <c r="AA379" s="37" t="s">
        <v>221</v>
      </c>
      <c r="AB379" s="37">
        <v>0.23</v>
      </c>
      <c r="AC379" s="37"/>
      <c r="AD379" s="37">
        <v>0.1</v>
      </c>
      <c r="AE379" s="37"/>
      <c r="AF379" s="37">
        <v>3.0000000000000001E-3</v>
      </c>
      <c r="AG379" s="38">
        <v>2E-3</v>
      </c>
    </row>
    <row r="380" spans="10:33" x14ac:dyDescent="0.3">
      <c r="AA380" s="37" t="s">
        <v>222</v>
      </c>
      <c r="AB380" s="37">
        <v>0.06</v>
      </c>
      <c r="AC380" s="37"/>
      <c r="AD380" s="37">
        <v>2.7E-2</v>
      </c>
      <c r="AE380" s="37"/>
      <c r="AF380" s="37">
        <v>4.0000000000000001E-3</v>
      </c>
      <c r="AG380" s="38">
        <v>2E-3</v>
      </c>
    </row>
    <row r="381" spans="10:33" x14ac:dyDescent="0.3">
      <c r="AA381" s="100" t="s">
        <v>223</v>
      </c>
      <c r="AB381" s="37">
        <v>0.11</v>
      </c>
      <c r="AC381" s="37"/>
      <c r="AD381" s="37">
        <v>7.0000000000000007E-2</v>
      </c>
      <c r="AE381" s="37"/>
      <c r="AF381" s="37">
        <v>0.01</v>
      </c>
      <c r="AG381" s="38">
        <v>2E-3</v>
      </c>
    </row>
    <row r="382" spans="10:33" x14ac:dyDescent="0.3">
      <c r="AA382" s="100" t="s">
        <v>224</v>
      </c>
      <c r="AB382" s="37">
        <v>0.49</v>
      </c>
      <c r="AC382" s="37"/>
      <c r="AD382" s="37">
        <v>0.28000000000000003</v>
      </c>
      <c r="AE382" s="37"/>
      <c r="AF382" s="37">
        <v>0.01</v>
      </c>
      <c r="AG382" s="38">
        <v>2E-3</v>
      </c>
    </row>
    <row r="383" spans="10:33" ht="15" thickBot="1" x14ac:dyDescent="0.35">
      <c r="AA383" s="265" t="s">
        <v>5</v>
      </c>
      <c r="AB383" s="8">
        <v>0</v>
      </c>
      <c r="AC383" s="8">
        <v>0.28999999999999998</v>
      </c>
      <c r="AD383" s="9">
        <v>0.3</v>
      </c>
      <c r="AE383" s="9">
        <v>0.69</v>
      </c>
      <c r="AF383" s="10">
        <v>0.7</v>
      </c>
      <c r="AG383" s="11">
        <v>1</v>
      </c>
    </row>
    <row r="385" spans="18:34" x14ac:dyDescent="0.3">
      <c r="AA385" s="202"/>
      <c r="AB385" s="222" t="s">
        <v>178</v>
      </c>
      <c r="AC385" s="197"/>
      <c r="AD385" s="197"/>
      <c r="AE385" s="197"/>
      <c r="AF385" s="197"/>
      <c r="AG385" s="197"/>
      <c r="AH385" s="198"/>
    </row>
    <row r="386" spans="18:34" x14ac:dyDescent="0.3">
      <c r="AA386" s="192"/>
      <c r="AB386" s="37" t="s">
        <v>219</v>
      </c>
      <c r="AC386" s="37" t="s">
        <v>220</v>
      </c>
      <c r="AD386" s="37" t="s">
        <v>221</v>
      </c>
      <c r="AE386" s="37" t="s">
        <v>222</v>
      </c>
      <c r="AF386" s="100" t="s">
        <v>223</v>
      </c>
      <c r="AG386" s="100" t="s">
        <v>224</v>
      </c>
      <c r="AH386" s="277" t="s">
        <v>225</v>
      </c>
    </row>
    <row r="387" spans="18:34" x14ac:dyDescent="0.3">
      <c r="AA387" s="208" t="s">
        <v>110</v>
      </c>
      <c r="AB387" s="1">
        <v>572.91999999999996</v>
      </c>
      <c r="AC387" s="1">
        <v>484.81</v>
      </c>
      <c r="AD387" s="21">
        <v>8.0000999999999998</v>
      </c>
      <c r="AE387" s="1">
        <v>148.22</v>
      </c>
      <c r="AF387" s="1">
        <v>-8.3330000000000002</v>
      </c>
      <c r="AG387" s="1">
        <v>0.11020000000000001</v>
      </c>
      <c r="AH387" s="193"/>
    </row>
    <row r="388" spans="18:34" x14ac:dyDescent="0.3">
      <c r="AA388" s="208" t="s">
        <v>111</v>
      </c>
      <c r="AB388" s="99">
        <v>-43.646000000000001</v>
      </c>
      <c r="AC388" s="99">
        <v>-39.981000000000002</v>
      </c>
      <c r="AD388" s="21">
        <v>-4.9477000000000002</v>
      </c>
      <c r="AE388" s="1">
        <v>-21.986000000000001</v>
      </c>
      <c r="AF388" s="99">
        <v>-6</v>
      </c>
      <c r="AG388" s="99">
        <v>-1.5134000000000001</v>
      </c>
      <c r="AH388" s="221">
        <v>-37.5</v>
      </c>
    </row>
    <row r="389" spans="18:34" x14ac:dyDescent="0.3">
      <c r="AA389" s="209" t="s">
        <v>113</v>
      </c>
      <c r="AB389" s="195">
        <v>0.82579999999999998</v>
      </c>
      <c r="AC389" s="195">
        <v>0.81559999999999999</v>
      </c>
      <c r="AD389" s="207">
        <v>0.71479999999999999</v>
      </c>
      <c r="AE389" s="195">
        <v>0.78559999999999997</v>
      </c>
      <c r="AF389" s="195">
        <v>0.76080000000000003</v>
      </c>
      <c r="AG389" s="195">
        <v>0.71509999999999996</v>
      </c>
      <c r="AH389" s="196">
        <v>1.075</v>
      </c>
    </row>
    <row r="390" spans="18:34" x14ac:dyDescent="0.3">
      <c r="AA390" s="13"/>
      <c r="AB390" s="13"/>
      <c r="AC390" s="13"/>
      <c r="AD390" s="16"/>
      <c r="AE390" s="1"/>
      <c r="AF390" s="1"/>
      <c r="AG390" s="1"/>
    </row>
    <row r="391" spans="18:34" ht="15" thickBot="1" x14ac:dyDescent="0.35">
      <c r="R391" s="14" t="s">
        <v>368</v>
      </c>
      <c r="AA391" s="13"/>
      <c r="AB391" s="13"/>
      <c r="AC391" s="74"/>
      <c r="AE391" s="1"/>
      <c r="AF391" s="1"/>
      <c r="AG391" s="1"/>
    </row>
    <row r="392" spans="18:34" x14ac:dyDescent="0.3">
      <c r="R392" s="713" t="s">
        <v>15</v>
      </c>
      <c r="S392" s="79">
        <v>1</v>
      </c>
      <c r="T392" s="5"/>
      <c r="U392" s="5"/>
      <c r="V392" s="5">
        <v>3</v>
      </c>
      <c r="W392" s="5"/>
      <c r="X392" s="232"/>
    </row>
    <row r="393" spans="18:34" x14ac:dyDescent="0.3">
      <c r="R393" s="714"/>
      <c r="S393" s="229">
        <v>7</v>
      </c>
      <c r="T393" s="37"/>
      <c r="U393" s="37"/>
      <c r="V393" s="37">
        <v>5</v>
      </c>
      <c r="W393" s="37"/>
      <c r="X393" s="233"/>
    </row>
    <row r="394" spans="18:34" ht="15" thickBot="1" x14ac:dyDescent="0.35">
      <c r="R394" s="265" t="s">
        <v>16</v>
      </c>
      <c r="S394" s="8">
        <v>0</v>
      </c>
      <c r="T394" s="8">
        <v>0.28999999999999998</v>
      </c>
      <c r="U394" s="9">
        <v>0.3</v>
      </c>
      <c r="V394" s="9">
        <v>0.69</v>
      </c>
      <c r="W394" s="10">
        <v>0.7</v>
      </c>
      <c r="X394" s="11">
        <v>1</v>
      </c>
    </row>
    <row r="396" spans="18:34" x14ac:dyDescent="0.3">
      <c r="R396" s="13"/>
      <c r="S396" s="234" t="s">
        <v>171</v>
      </c>
      <c r="T396" s="13"/>
    </row>
    <row r="397" spans="18:34" x14ac:dyDescent="0.3">
      <c r="R397" s="13"/>
      <c r="S397" s="13" t="s">
        <v>297</v>
      </c>
      <c r="T397" s="13" t="s">
        <v>298</v>
      </c>
    </row>
    <row r="398" spans="18:34" x14ac:dyDescent="0.3">
      <c r="R398" s="12" t="s">
        <v>110</v>
      </c>
      <c r="S398" s="13">
        <v>0.34499999999999997</v>
      </c>
      <c r="T398" s="13">
        <v>-0.34499999999999997</v>
      </c>
    </row>
    <row r="399" spans="18:34" x14ac:dyDescent="0.3">
      <c r="R399" s="12" t="s">
        <v>111</v>
      </c>
      <c r="S399" s="13">
        <v>-0.34499999999999997</v>
      </c>
      <c r="T399" s="13">
        <v>2.415</v>
      </c>
    </row>
    <row r="400" spans="18:34" x14ac:dyDescent="0.3">
      <c r="R400" s="13"/>
      <c r="S400" s="13"/>
      <c r="T400" s="74"/>
    </row>
    <row r="401" spans="10:27" x14ac:dyDescent="0.3">
      <c r="R401" s="13"/>
      <c r="S401" s="13"/>
      <c r="T401" s="13"/>
    </row>
    <row r="410" spans="10:27" x14ac:dyDescent="0.3">
      <c r="J410" s="1"/>
    </row>
    <row r="411" spans="10:27" x14ac:dyDescent="0.3">
      <c r="J411" s="1"/>
    </row>
    <row r="412" spans="10:27" x14ac:dyDescent="0.3">
      <c r="J412" s="1"/>
    </row>
    <row r="413" spans="10:27" x14ac:dyDescent="0.3">
      <c r="J413" s="1"/>
    </row>
    <row r="414" spans="10:27" x14ac:dyDescent="0.3">
      <c r="J414" s="1"/>
    </row>
    <row r="416" spans="10:27" ht="15" thickBot="1" x14ac:dyDescent="0.35">
      <c r="AA416" s="14" t="s">
        <v>213</v>
      </c>
    </row>
    <row r="417" spans="18:36" x14ac:dyDescent="0.3">
      <c r="AA417" s="5" t="s">
        <v>226</v>
      </c>
      <c r="AB417" s="5">
        <v>0.37</v>
      </c>
      <c r="AC417" s="5"/>
      <c r="AD417" s="5">
        <v>0.25</v>
      </c>
      <c r="AE417" s="5"/>
      <c r="AF417" s="5">
        <v>0.03</v>
      </c>
      <c r="AG417" s="6">
        <v>0.01</v>
      </c>
    </row>
    <row r="418" spans="18:36" x14ac:dyDescent="0.3">
      <c r="AA418" s="37" t="s">
        <v>227</v>
      </c>
      <c r="AB418" s="37">
        <v>0.40500000000000003</v>
      </c>
      <c r="AC418" s="37"/>
      <c r="AD418" s="37">
        <v>0.251</v>
      </c>
      <c r="AE418" s="37"/>
      <c r="AF418" s="37">
        <v>4.5999999999999999E-2</v>
      </c>
      <c r="AG418" s="38">
        <v>0.01</v>
      </c>
    </row>
    <row r="419" spans="18:36" x14ac:dyDescent="0.3">
      <c r="AA419" s="37" t="s">
        <v>228</v>
      </c>
      <c r="AB419" s="37">
        <v>0.3</v>
      </c>
      <c r="AC419" s="37"/>
      <c r="AD419" s="37">
        <v>0.18</v>
      </c>
      <c r="AE419" s="37"/>
      <c r="AF419" s="37">
        <v>5.1999999999999998E-2</v>
      </c>
      <c r="AG419" s="38">
        <v>0.01</v>
      </c>
    </row>
    <row r="420" spans="18:36" x14ac:dyDescent="0.3">
      <c r="AA420" s="100" t="s">
        <v>245</v>
      </c>
      <c r="AB420" s="37">
        <v>0.19900000000000001</v>
      </c>
      <c r="AC420" s="37"/>
      <c r="AD420" s="37">
        <v>0.1</v>
      </c>
      <c r="AE420" s="37"/>
      <c r="AF420" s="37">
        <v>0.01</v>
      </c>
      <c r="AG420" s="38">
        <v>2E-3</v>
      </c>
    </row>
    <row r="421" spans="18:36" ht="15" thickBot="1" x14ac:dyDescent="0.35">
      <c r="AA421" s="265" t="s">
        <v>5</v>
      </c>
      <c r="AB421" s="8">
        <v>0</v>
      </c>
      <c r="AC421" s="8">
        <v>0.28999999999999998</v>
      </c>
      <c r="AD421" s="9">
        <v>0.3</v>
      </c>
      <c r="AE421" s="9">
        <v>0.69</v>
      </c>
      <c r="AF421" s="10">
        <v>0.7</v>
      </c>
      <c r="AG421" s="11">
        <v>1</v>
      </c>
    </row>
    <row r="423" spans="18:36" x14ac:dyDescent="0.3">
      <c r="AA423" s="225"/>
      <c r="AB423" s="203" t="s">
        <v>178</v>
      </c>
      <c r="AC423" s="197"/>
      <c r="AD423" s="197"/>
      <c r="AE423" s="197"/>
      <c r="AF423" s="706" t="s">
        <v>229</v>
      </c>
      <c r="AG423" s="708"/>
      <c r="AH423" s="708"/>
      <c r="AI423" s="707"/>
      <c r="AJ423" s="267"/>
    </row>
    <row r="424" spans="18:36" x14ac:dyDescent="0.3">
      <c r="AA424" s="196"/>
      <c r="AB424" s="201" t="s">
        <v>226</v>
      </c>
      <c r="AC424" s="200" t="s">
        <v>227</v>
      </c>
      <c r="AD424" s="200" t="s">
        <v>228</v>
      </c>
      <c r="AE424" s="205" t="s">
        <v>245</v>
      </c>
      <c r="AF424" s="201" t="s">
        <v>226</v>
      </c>
      <c r="AG424" s="200" t="s">
        <v>227</v>
      </c>
      <c r="AH424" s="200" t="s">
        <v>228</v>
      </c>
      <c r="AI424" s="206" t="s">
        <v>245</v>
      </c>
      <c r="AJ424" s="220"/>
    </row>
    <row r="425" spans="18:36" ht="15" thickBot="1" x14ac:dyDescent="0.35">
      <c r="R425" s="14" t="s">
        <v>369</v>
      </c>
      <c r="AA425" s="270" t="s">
        <v>110</v>
      </c>
      <c r="AB425" s="192">
        <v>-2.0053000000000001</v>
      </c>
      <c r="AC425" s="1">
        <v>8.8000000000000005E-3</v>
      </c>
      <c r="AD425" s="21">
        <v>2.5202</v>
      </c>
      <c r="AE425" s="1">
        <v>7.4821999999999997</v>
      </c>
      <c r="AF425" s="192"/>
      <c r="AG425" s="1"/>
      <c r="AH425" s="21"/>
      <c r="AI425" s="193"/>
    </row>
    <row r="426" spans="18:36" x14ac:dyDescent="0.3">
      <c r="R426" s="5" t="s">
        <v>15</v>
      </c>
      <c r="S426" s="79">
        <f>1.75/0.3</f>
        <v>5.8333333333333339</v>
      </c>
      <c r="T426" s="144"/>
      <c r="U426" s="20"/>
      <c r="V426" s="20"/>
      <c r="W426" s="20">
        <v>3.5</v>
      </c>
      <c r="X426" s="279">
        <v>2.5</v>
      </c>
      <c r="AA426" s="270" t="s">
        <v>111</v>
      </c>
      <c r="AB426" s="192">
        <v>-1.2566999999999999</v>
      </c>
      <c r="AC426" s="1">
        <v>-1.9538</v>
      </c>
      <c r="AD426" s="21">
        <v>-3.7097000000000002</v>
      </c>
      <c r="AE426" s="1">
        <v>-5.2675000000000001</v>
      </c>
      <c r="AF426" s="192">
        <v>-15</v>
      </c>
      <c r="AG426" s="99">
        <v>-8.3330000000000002</v>
      </c>
      <c r="AH426" s="99">
        <v>-7.1429</v>
      </c>
      <c r="AI426" s="193">
        <v>-37.5</v>
      </c>
    </row>
    <row r="427" spans="18:36" ht="15" thickBot="1" x14ac:dyDescent="0.35">
      <c r="R427" s="265" t="s">
        <v>16</v>
      </c>
      <c r="S427" s="8">
        <v>0</v>
      </c>
      <c r="T427" s="8">
        <v>0.28999999999999998</v>
      </c>
      <c r="U427" s="9">
        <v>0.3</v>
      </c>
      <c r="V427" s="9">
        <v>0.69</v>
      </c>
      <c r="W427" s="10">
        <v>0.7</v>
      </c>
      <c r="X427" s="11">
        <v>1</v>
      </c>
      <c r="AA427" s="271" t="s">
        <v>113</v>
      </c>
      <c r="AB427" s="194">
        <v>0.73950000000000005</v>
      </c>
      <c r="AC427" s="195">
        <v>0.78990000000000005</v>
      </c>
      <c r="AD427" s="207">
        <v>0.8861</v>
      </c>
      <c r="AE427" s="207">
        <v>0.75190000000000001</v>
      </c>
      <c r="AF427" s="194">
        <v>1.1499999999999999</v>
      </c>
      <c r="AG427" s="195">
        <v>1.0832999999999999</v>
      </c>
      <c r="AH427" s="195">
        <v>1.0713999999999999</v>
      </c>
      <c r="AI427" s="199">
        <v>1.075</v>
      </c>
    </row>
    <row r="428" spans="18:36" x14ac:dyDescent="0.3">
      <c r="AA428" s="13"/>
      <c r="AB428" s="13"/>
      <c r="AC428" s="13"/>
      <c r="AD428" s="16"/>
      <c r="AE428" s="1"/>
      <c r="AF428" s="1"/>
      <c r="AG428" s="1"/>
    </row>
    <row r="429" spans="18:36" x14ac:dyDescent="0.3">
      <c r="R429" s="13"/>
      <c r="S429" s="234" t="s">
        <v>171</v>
      </c>
      <c r="T429" s="135"/>
      <c r="AA429" s="13"/>
      <c r="AB429" s="13"/>
      <c r="AC429" s="74"/>
      <c r="AE429" s="1"/>
      <c r="AF429" s="1"/>
      <c r="AG429" s="1"/>
    </row>
    <row r="430" spans="18:36" x14ac:dyDescent="0.3">
      <c r="R430" s="12" t="s">
        <v>110</v>
      </c>
      <c r="S430" s="13">
        <v>-0.3</v>
      </c>
      <c r="T430" s="13"/>
    </row>
    <row r="431" spans="18:36" x14ac:dyDescent="0.3">
      <c r="R431" s="12" t="s">
        <v>111</v>
      </c>
      <c r="S431" s="13">
        <v>1.75</v>
      </c>
      <c r="T431" s="13"/>
      <c r="U431" s="16"/>
    </row>
    <row r="432" spans="18:36" x14ac:dyDescent="0.3">
      <c r="R432" s="12"/>
      <c r="S432" s="13"/>
      <c r="T432" s="74"/>
    </row>
    <row r="435" spans="10:36" x14ac:dyDescent="0.3">
      <c r="J435" s="1"/>
      <c r="K435" s="1"/>
      <c r="L435" s="1"/>
      <c r="M435" s="1"/>
      <c r="N435" s="1"/>
      <c r="O435" s="1"/>
      <c r="P435" s="1"/>
    </row>
    <row r="436" spans="10:36" x14ac:dyDescent="0.3">
      <c r="J436" s="1"/>
      <c r="K436" s="1"/>
      <c r="L436" s="1"/>
      <c r="M436" s="1"/>
      <c r="N436" s="1"/>
      <c r="O436" s="1"/>
      <c r="P436" s="1"/>
    </row>
    <row r="437" spans="10:36" x14ac:dyDescent="0.3">
      <c r="J437" s="1"/>
      <c r="K437" s="1"/>
      <c r="L437" s="1"/>
      <c r="M437" s="1"/>
      <c r="N437" s="1"/>
      <c r="O437" s="1"/>
      <c r="P437" s="1"/>
    </row>
    <row r="438" spans="10:36" x14ac:dyDescent="0.3">
      <c r="J438" s="1"/>
      <c r="K438" s="1"/>
      <c r="L438" s="1"/>
      <c r="M438" s="1"/>
      <c r="N438" s="1"/>
      <c r="O438" s="1"/>
      <c r="P438" s="1"/>
    </row>
    <row r="439" spans="10:36" x14ac:dyDescent="0.3">
      <c r="J439" s="1"/>
      <c r="K439" s="1"/>
      <c r="L439" s="1"/>
      <c r="M439" s="1"/>
      <c r="N439" s="1"/>
      <c r="O439" s="1"/>
      <c r="P439" s="1"/>
    </row>
    <row r="440" spans="10:36" x14ac:dyDescent="0.3">
      <c r="J440" s="1"/>
      <c r="K440" s="1"/>
      <c r="L440" s="1"/>
      <c r="M440" s="1"/>
      <c r="N440" s="1"/>
      <c r="O440" s="1"/>
      <c r="P440" s="1"/>
    </row>
    <row r="441" spans="10:36" x14ac:dyDescent="0.3">
      <c r="J441" s="1"/>
      <c r="K441" s="1"/>
      <c r="L441" s="1"/>
      <c r="M441" s="1"/>
      <c r="N441" s="1"/>
      <c r="O441" s="1"/>
      <c r="P441" s="1"/>
    </row>
    <row r="442" spans="10:36" x14ac:dyDescent="0.3">
      <c r="J442" s="1"/>
      <c r="K442" s="1"/>
      <c r="L442" s="1"/>
      <c r="M442" s="1"/>
      <c r="N442" s="1"/>
      <c r="O442" s="1"/>
      <c r="P442" s="1"/>
    </row>
    <row r="443" spans="10:36" x14ac:dyDescent="0.3">
      <c r="J443" s="1"/>
      <c r="K443" s="1"/>
      <c r="L443" s="1"/>
      <c r="M443" s="1"/>
      <c r="N443" s="1"/>
      <c r="O443" s="1"/>
      <c r="P443" s="1"/>
    </row>
    <row r="444" spans="10:36" x14ac:dyDescent="0.3">
      <c r="J444" s="1"/>
      <c r="K444" s="1"/>
      <c r="L444" s="1"/>
      <c r="M444" s="1"/>
      <c r="N444" s="1"/>
      <c r="O444" s="1"/>
      <c r="P444" s="1"/>
      <c r="AI444" s="13"/>
      <c r="AJ444" s="214"/>
    </row>
    <row r="445" spans="10:36" x14ac:dyDescent="0.3">
      <c r="J445" s="1"/>
      <c r="K445" s="1"/>
      <c r="L445" s="1"/>
      <c r="M445" s="1"/>
      <c r="N445" s="1"/>
      <c r="O445" s="1"/>
      <c r="P445" s="1"/>
    </row>
    <row r="446" spans="10:36" x14ac:dyDescent="0.3">
      <c r="J446" s="1"/>
      <c r="K446" s="1"/>
      <c r="L446" s="1"/>
      <c r="M446" s="1"/>
      <c r="N446" s="1"/>
      <c r="O446" s="1"/>
      <c r="P446" s="1"/>
    </row>
    <row r="447" spans="10:36" x14ac:dyDescent="0.3">
      <c r="J447" s="1"/>
      <c r="K447" s="1"/>
      <c r="L447" s="1"/>
      <c r="M447" s="1"/>
      <c r="N447" s="1"/>
      <c r="O447" s="1"/>
      <c r="P447" s="1"/>
    </row>
    <row r="448" spans="10:36" x14ac:dyDescent="0.3">
      <c r="J448" s="1"/>
      <c r="K448" s="1"/>
      <c r="L448" s="1"/>
      <c r="M448" s="1"/>
      <c r="N448" s="1"/>
      <c r="O448" s="1"/>
      <c r="P448" s="1"/>
    </row>
    <row r="449" spans="10:38" x14ac:dyDescent="0.3">
      <c r="J449" s="1"/>
      <c r="K449" s="1"/>
      <c r="L449" s="1"/>
      <c r="M449" s="1"/>
      <c r="N449" s="1"/>
      <c r="O449" s="1"/>
      <c r="P449" s="1"/>
    </row>
    <row r="450" spans="10:38" x14ac:dyDescent="0.3">
      <c r="J450" s="1"/>
      <c r="K450" s="1"/>
      <c r="L450" s="1"/>
      <c r="M450" s="1"/>
      <c r="N450" s="1"/>
      <c r="O450" s="1"/>
      <c r="P450" s="1"/>
    </row>
    <row r="451" spans="10:38" x14ac:dyDescent="0.3">
      <c r="J451" s="1"/>
      <c r="K451" s="1"/>
      <c r="L451" s="1"/>
      <c r="M451" s="1"/>
      <c r="N451" s="1"/>
      <c r="O451" s="1"/>
      <c r="P451" s="1"/>
      <c r="Y451" s="1"/>
    </row>
    <row r="452" spans="10:38" x14ac:dyDescent="0.3">
      <c r="J452" s="1"/>
      <c r="K452" s="1"/>
      <c r="L452" s="1"/>
      <c r="M452" s="1"/>
      <c r="N452" s="1"/>
      <c r="O452" s="1"/>
      <c r="P452" s="1"/>
      <c r="Y452" s="2"/>
    </row>
    <row r="453" spans="10:38" x14ac:dyDescent="0.3">
      <c r="J453" s="1"/>
      <c r="K453" s="1"/>
      <c r="L453" s="1"/>
      <c r="M453" s="1"/>
      <c r="N453" s="1"/>
      <c r="O453" s="1"/>
      <c r="P453" s="1"/>
    </row>
    <row r="454" spans="10:38" ht="15" thickBot="1" x14ac:dyDescent="0.35">
      <c r="J454" s="1"/>
      <c r="K454" s="1"/>
      <c r="L454" s="1"/>
      <c r="M454" s="1"/>
      <c r="N454" s="1"/>
      <c r="O454" s="1"/>
      <c r="P454" s="1"/>
      <c r="AA454" s="14" t="s">
        <v>213</v>
      </c>
    </row>
    <row r="455" spans="10:38" x14ac:dyDescent="0.3">
      <c r="J455" s="1"/>
      <c r="K455" s="1"/>
      <c r="L455" s="1"/>
      <c r="M455" s="1"/>
      <c r="N455" s="1"/>
      <c r="O455" s="1"/>
      <c r="P455" s="1"/>
      <c r="AA455" s="217" t="s">
        <v>243</v>
      </c>
      <c r="AB455" s="5">
        <v>0.05</v>
      </c>
      <c r="AC455" s="5"/>
      <c r="AD455" s="5">
        <v>2.5999999999999999E-2</v>
      </c>
      <c r="AE455" s="5"/>
      <c r="AF455" s="5">
        <v>5.0000000000000001E-3</v>
      </c>
      <c r="AG455" s="6">
        <v>2E-3</v>
      </c>
    </row>
    <row r="456" spans="10:38" x14ac:dyDescent="0.3">
      <c r="J456" s="1"/>
      <c r="K456" s="1"/>
      <c r="L456" s="1"/>
      <c r="M456" s="1"/>
      <c r="N456" s="1"/>
      <c r="O456" s="1"/>
      <c r="P456" s="1"/>
      <c r="AA456" s="100" t="s">
        <v>244</v>
      </c>
      <c r="AB456" s="37">
        <v>0.1</v>
      </c>
      <c r="AC456" s="37"/>
      <c r="AD456" s="37">
        <v>0.05</v>
      </c>
      <c r="AE456" s="37"/>
      <c r="AF456" s="37">
        <v>6.0000000000000001E-3</v>
      </c>
      <c r="AG456" s="38">
        <v>2E-3</v>
      </c>
    </row>
    <row r="457" spans="10:38" x14ac:dyDescent="0.3">
      <c r="J457" s="1"/>
      <c r="K457" s="1"/>
      <c r="L457" s="1"/>
      <c r="M457" s="1"/>
      <c r="N457" s="1"/>
      <c r="O457" s="1"/>
      <c r="P457" s="1"/>
      <c r="AA457" s="100" t="s">
        <v>249</v>
      </c>
      <c r="AB457" s="37">
        <v>0.13</v>
      </c>
      <c r="AC457" s="37"/>
      <c r="AD457" s="37">
        <v>7.0000000000000007E-2</v>
      </c>
      <c r="AE457" s="37"/>
      <c r="AF457" s="37">
        <v>8.0000000000000002E-3</v>
      </c>
      <c r="AG457" s="38">
        <v>3.0000000000000001E-3</v>
      </c>
    </row>
    <row r="458" spans="10:38" ht="15" thickBot="1" x14ac:dyDescent="0.35">
      <c r="J458" s="1"/>
      <c r="K458" s="1"/>
      <c r="L458" s="1"/>
      <c r="M458" s="1"/>
      <c r="N458" s="1"/>
      <c r="O458" s="1"/>
      <c r="P458" s="1"/>
      <c r="R458" s="14" t="s">
        <v>370</v>
      </c>
      <c r="AA458" s="100" t="s">
        <v>250</v>
      </c>
      <c r="AB458" s="37">
        <v>4.2999999999999997E-2</v>
      </c>
      <c r="AC458" s="37"/>
      <c r="AD458" s="37">
        <v>2.5999999999999999E-2</v>
      </c>
      <c r="AE458" s="37"/>
      <c r="AF458" s="37">
        <v>5.0000000000000001E-3</v>
      </c>
      <c r="AG458" s="38">
        <v>4.0000000000000001E-3</v>
      </c>
    </row>
    <row r="459" spans="10:38" ht="15" thickBot="1" x14ac:dyDescent="0.35">
      <c r="J459" s="1"/>
      <c r="K459" s="1"/>
      <c r="L459" s="1"/>
      <c r="M459" s="1"/>
      <c r="N459" s="1"/>
      <c r="O459" s="1"/>
      <c r="P459" s="1"/>
      <c r="R459" s="5" t="s">
        <v>15</v>
      </c>
      <c r="S459" s="79">
        <v>1</v>
      </c>
      <c r="T459" s="5"/>
      <c r="U459" s="5"/>
      <c r="V459" s="5"/>
      <c r="W459" s="5">
        <v>2</v>
      </c>
      <c r="X459" s="237">
        <f>1.7/0.7</f>
        <v>2.4285714285714288</v>
      </c>
      <c r="AA459" s="265" t="s">
        <v>5</v>
      </c>
      <c r="AB459" s="8">
        <v>0</v>
      </c>
      <c r="AC459" s="8">
        <v>0.28999999999999998</v>
      </c>
      <c r="AD459" s="9">
        <v>0.3</v>
      </c>
      <c r="AE459" s="9">
        <v>0.69</v>
      </c>
      <c r="AF459" s="10">
        <v>0.7</v>
      </c>
      <c r="AG459" s="11">
        <v>1</v>
      </c>
    </row>
    <row r="460" spans="10:38" ht="15" thickBot="1" x14ac:dyDescent="0.35">
      <c r="J460" s="1"/>
      <c r="K460" s="1"/>
      <c r="L460" s="1"/>
      <c r="M460" s="1"/>
      <c r="N460" s="1"/>
      <c r="O460" s="1"/>
      <c r="P460" s="1"/>
      <c r="R460" s="265" t="s">
        <v>16</v>
      </c>
      <c r="S460" s="8">
        <v>0</v>
      </c>
      <c r="T460" s="8">
        <v>0.28999999999999998</v>
      </c>
      <c r="U460" s="9">
        <v>0.3</v>
      </c>
      <c r="V460" s="9">
        <v>0.69</v>
      </c>
      <c r="W460" s="10">
        <v>0.7</v>
      </c>
      <c r="X460" s="11">
        <v>1</v>
      </c>
    </row>
    <row r="461" spans="10:38" x14ac:dyDescent="0.3">
      <c r="J461" s="1"/>
      <c r="K461" s="1"/>
      <c r="L461" s="1"/>
      <c r="M461" s="1"/>
      <c r="N461" s="1"/>
      <c r="O461" s="1"/>
      <c r="P461" s="1"/>
      <c r="AA461" s="223"/>
      <c r="AB461" s="203" t="s">
        <v>178</v>
      </c>
      <c r="AC461" s="197"/>
      <c r="AD461" s="197"/>
      <c r="AE461" s="198"/>
      <c r="AF461" s="706" t="s">
        <v>229</v>
      </c>
      <c r="AG461" s="708"/>
      <c r="AH461" s="708"/>
      <c r="AI461" s="211"/>
    </row>
    <row r="462" spans="10:38" x14ac:dyDescent="0.3">
      <c r="J462" s="1"/>
      <c r="K462" s="1"/>
      <c r="L462" s="1"/>
      <c r="M462" s="1"/>
      <c r="N462" s="1"/>
      <c r="O462" s="1"/>
      <c r="P462" s="1"/>
      <c r="S462" s="94" t="s">
        <v>171</v>
      </c>
      <c r="T462" s="94"/>
      <c r="AA462" s="195"/>
      <c r="AB462" s="204" t="s">
        <v>243</v>
      </c>
      <c r="AC462" s="205" t="s">
        <v>244</v>
      </c>
      <c r="AD462" s="205" t="s">
        <v>245</v>
      </c>
      <c r="AE462" s="206" t="s">
        <v>250</v>
      </c>
      <c r="AF462" s="204" t="s">
        <v>243</v>
      </c>
      <c r="AG462" s="205" t="s">
        <v>244</v>
      </c>
      <c r="AH462" s="205" t="s">
        <v>245</v>
      </c>
      <c r="AI462" s="212"/>
    </row>
    <row r="463" spans="10:38" x14ac:dyDescent="0.3">
      <c r="J463" s="1"/>
      <c r="K463" s="1"/>
      <c r="L463" s="1"/>
      <c r="M463" s="1"/>
      <c r="N463" s="1"/>
      <c r="O463" s="1"/>
      <c r="P463" s="1"/>
      <c r="S463" s="13" t="s">
        <v>297</v>
      </c>
      <c r="T463" s="13"/>
      <c r="AA463" s="270" t="s">
        <v>110</v>
      </c>
      <c r="AB463" s="192">
        <v>145.5</v>
      </c>
      <c r="AC463" s="1">
        <v>32.881999999999998</v>
      </c>
      <c r="AD463" s="21">
        <v>11.898</v>
      </c>
      <c r="AE463" s="193">
        <v>36.856999999999999</v>
      </c>
      <c r="AF463" s="192"/>
      <c r="AG463" s="1"/>
      <c r="AH463" s="21"/>
      <c r="AI463" s="212"/>
    </row>
    <row r="464" spans="10:38" x14ac:dyDescent="0.3">
      <c r="J464" s="1"/>
      <c r="K464" s="1"/>
      <c r="L464" s="1"/>
      <c r="M464" s="1"/>
      <c r="N464" s="1"/>
      <c r="O464" s="1"/>
      <c r="P464" s="1"/>
      <c r="R464" s="101" t="s">
        <v>110</v>
      </c>
      <c r="S464" s="13">
        <v>0.7</v>
      </c>
      <c r="T464" s="13"/>
      <c r="Y464" s="13"/>
      <c r="AA464" s="270" t="s">
        <v>111</v>
      </c>
      <c r="AB464" s="192">
        <v>-23.558</v>
      </c>
      <c r="AC464" s="1">
        <v>-10.932</v>
      </c>
      <c r="AD464" s="21">
        <v>-7.3796999999999997</v>
      </c>
      <c r="AE464" s="193">
        <v>-20.190000000000001</v>
      </c>
      <c r="AF464" s="192">
        <v>-100</v>
      </c>
      <c r="AG464" s="99">
        <v>-75</v>
      </c>
      <c r="AH464" s="99">
        <v>-60</v>
      </c>
      <c r="AI464" s="212"/>
      <c r="AK464" s="37"/>
      <c r="AL464" s="21"/>
    </row>
    <row r="465" spans="10:38" x14ac:dyDescent="0.3">
      <c r="J465" s="1"/>
      <c r="K465" s="1"/>
      <c r="L465" s="1"/>
      <c r="M465" s="1"/>
      <c r="N465" s="1"/>
      <c r="O465" s="1"/>
      <c r="P465" s="1"/>
      <c r="R465" s="101" t="s">
        <v>111</v>
      </c>
      <c r="S465" s="13">
        <v>-0.7</v>
      </c>
      <c r="T465" s="13"/>
      <c r="Y465" s="12"/>
      <c r="AA465" s="271" t="s">
        <v>113</v>
      </c>
      <c r="AB465" s="194">
        <v>0.81420000000000003</v>
      </c>
      <c r="AC465" s="195">
        <v>0.76439999999999997</v>
      </c>
      <c r="AD465" s="207">
        <v>0.75829999999999997</v>
      </c>
      <c r="AE465" s="199">
        <v>0.8</v>
      </c>
      <c r="AF465" s="194">
        <v>1.2</v>
      </c>
      <c r="AG465" s="195">
        <v>1.1499999999999999</v>
      </c>
      <c r="AH465" s="195">
        <v>1.18</v>
      </c>
      <c r="AI465" s="212"/>
      <c r="AL465" s="21"/>
    </row>
    <row r="466" spans="10:38" x14ac:dyDescent="0.3">
      <c r="J466" s="1"/>
      <c r="K466" s="1"/>
      <c r="L466" s="1"/>
      <c r="M466" s="1"/>
      <c r="N466" s="1"/>
      <c r="O466" s="1"/>
      <c r="P466" s="1"/>
      <c r="R466" s="13"/>
      <c r="S466" s="13"/>
      <c r="T466" s="13"/>
      <c r="Y466" s="12"/>
      <c r="AA466" s="13"/>
      <c r="AB466" s="13"/>
      <c r="AC466" s="13"/>
      <c r="AD466" s="16"/>
      <c r="AE466" s="1"/>
      <c r="AF466" s="1"/>
      <c r="AG466" s="1"/>
      <c r="AL466" s="21"/>
    </row>
    <row r="467" spans="10:38" x14ac:dyDescent="0.3">
      <c r="J467" s="1"/>
      <c r="K467" s="1"/>
      <c r="L467" s="1"/>
      <c r="M467" s="1"/>
      <c r="N467" s="1"/>
      <c r="O467" s="1"/>
      <c r="P467" s="1"/>
      <c r="R467" s="13"/>
      <c r="S467" s="13"/>
      <c r="T467" s="74"/>
      <c r="Y467" s="13"/>
      <c r="AA467" s="13"/>
      <c r="AB467" s="13"/>
      <c r="AC467" s="74"/>
      <c r="AE467" s="1"/>
      <c r="AF467" s="1"/>
      <c r="AG467" s="1"/>
      <c r="AL467" s="21"/>
    </row>
    <row r="468" spans="10:38" x14ac:dyDescent="0.3">
      <c r="J468" s="1"/>
      <c r="K468" s="1"/>
      <c r="L468" s="1"/>
      <c r="M468" s="1"/>
      <c r="N468" s="1"/>
      <c r="O468" s="1"/>
      <c r="P468" s="1"/>
      <c r="R468" s="13"/>
      <c r="S468" s="13"/>
      <c r="T468" s="13"/>
      <c r="Y468" s="13"/>
    </row>
    <row r="469" spans="10:38" x14ac:dyDescent="0.3">
      <c r="K469" s="1"/>
      <c r="L469" s="1"/>
      <c r="M469" s="1"/>
      <c r="N469" s="1"/>
      <c r="O469" s="1"/>
      <c r="P469" s="1"/>
      <c r="Y469" s="13"/>
    </row>
    <row r="470" spans="10:38" x14ac:dyDescent="0.3">
      <c r="K470" s="1"/>
      <c r="L470" s="1"/>
      <c r="M470" s="1"/>
      <c r="N470" s="1"/>
      <c r="O470" s="1"/>
      <c r="P470" s="1"/>
      <c r="Y470" s="13"/>
    </row>
    <row r="471" spans="10:38" x14ac:dyDescent="0.3">
      <c r="K471" s="1"/>
      <c r="L471" s="1"/>
      <c r="M471" s="1"/>
      <c r="N471" s="1"/>
      <c r="O471" s="1"/>
      <c r="P471" s="1"/>
    </row>
    <row r="472" spans="10:38" x14ac:dyDescent="0.3">
      <c r="K472" s="1"/>
      <c r="L472" s="1"/>
      <c r="M472" s="1"/>
      <c r="N472" s="1"/>
      <c r="O472" s="1"/>
      <c r="P472" s="1"/>
    </row>
    <row r="473" spans="10:38" x14ac:dyDescent="0.3">
      <c r="K473" s="1"/>
      <c r="L473" s="1"/>
      <c r="M473" s="1"/>
      <c r="N473" s="1"/>
      <c r="O473" s="1"/>
      <c r="P473" s="1"/>
    </row>
    <row r="474" spans="10:38" x14ac:dyDescent="0.3">
      <c r="K474" s="1"/>
      <c r="L474" s="1"/>
      <c r="M474" s="1"/>
      <c r="N474" s="1"/>
      <c r="O474" s="1"/>
      <c r="P474" s="1"/>
      <c r="R474" s="1"/>
    </row>
    <row r="475" spans="10:38" x14ac:dyDescent="0.3">
      <c r="K475" s="1"/>
      <c r="L475" s="1"/>
      <c r="M475" s="1"/>
      <c r="N475" s="1"/>
      <c r="O475" s="1"/>
      <c r="P475" s="1"/>
      <c r="R475" s="2"/>
    </row>
    <row r="476" spans="10:38" x14ac:dyDescent="0.3">
      <c r="K476" s="1"/>
      <c r="L476" s="1"/>
      <c r="M476" s="1"/>
      <c r="N476" s="1"/>
      <c r="O476" s="1"/>
      <c r="P476" s="1"/>
      <c r="R476" s="2"/>
    </row>
    <row r="477" spans="10:38" x14ac:dyDescent="0.3">
      <c r="K477" s="1"/>
      <c r="L477" s="1"/>
      <c r="M477" s="1"/>
      <c r="N477" s="1"/>
      <c r="O477" s="1"/>
      <c r="P477" s="1"/>
      <c r="R477" s="1"/>
    </row>
    <row r="478" spans="10:38" x14ac:dyDescent="0.3">
      <c r="K478" s="1"/>
      <c r="L478" s="1"/>
      <c r="M478" s="1"/>
      <c r="N478" s="1"/>
      <c r="O478" s="1"/>
      <c r="P478" s="1"/>
      <c r="R478" s="2"/>
    </row>
    <row r="479" spans="10:38" x14ac:dyDescent="0.3">
      <c r="K479" s="1"/>
      <c r="L479" s="1"/>
      <c r="M479" s="1"/>
      <c r="N479" s="1"/>
      <c r="O479" s="1"/>
      <c r="P479" s="1"/>
      <c r="R479" s="2"/>
    </row>
    <row r="480" spans="10:38" x14ac:dyDescent="0.3">
      <c r="K480" s="1"/>
      <c r="L480" s="1"/>
      <c r="M480" s="1"/>
      <c r="N480" s="1"/>
      <c r="O480" s="1"/>
      <c r="P480" s="1"/>
      <c r="R480" s="1"/>
    </row>
    <row r="481" spans="11:33" x14ac:dyDescent="0.3">
      <c r="K481" s="1"/>
      <c r="L481" s="1"/>
      <c r="M481" s="1"/>
      <c r="N481" s="1"/>
      <c r="O481" s="1"/>
      <c r="P481" s="1"/>
      <c r="R481" s="1"/>
    </row>
    <row r="482" spans="11:33" x14ac:dyDescent="0.3">
      <c r="R482" s="1"/>
    </row>
    <row r="483" spans="11:33" x14ac:dyDescent="0.3">
      <c r="R483" s="1"/>
    </row>
    <row r="484" spans="11:33" x14ac:dyDescent="0.3">
      <c r="R484" s="1"/>
    </row>
    <row r="485" spans="11:33" x14ac:dyDescent="0.3">
      <c r="R485" s="1"/>
    </row>
    <row r="486" spans="11:33" x14ac:dyDescent="0.3">
      <c r="R486" s="2"/>
    </row>
    <row r="487" spans="11:33" x14ac:dyDescent="0.3">
      <c r="R487" s="2"/>
    </row>
    <row r="488" spans="11:33" x14ac:dyDescent="0.3">
      <c r="R488" s="1"/>
      <c r="S488" s="1"/>
      <c r="T488" s="1"/>
      <c r="U488" s="1"/>
      <c r="V488" s="1"/>
      <c r="W488" s="1"/>
      <c r="X488" s="1"/>
    </row>
    <row r="489" spans="11:33" x14ac:dyDescent="0.3">
      <c r="R489" s="2"/>
      <c r="S489" s="2"/>
      <c r="T489" s="2"/>
      <c r="U489" s="2"/>
      <c r="V489" s="2"/>
      <c r="W489" s="2"/>
      <c r="X489" s="2"/>
    </row>
    <row r="490" spans="11:33" x14ac:dyDescent="0.3">
      <c r="R490" s="2"/>
    </row>
    <row r="491" spans="11:33" ht="15" thickBot="1" x14ac:dyDescent="0.35">
      <c r="R491" s="14" t="s">
        <v>371</v>
      </c>
    </row>
    <row r="492" spans="11:33" ht="15" thickBot="1" x14ac:dyDescent="0.35">
      <c r="R492" s="711" t="s">
        <v>4</v>
      </c>
      <c r="S492" s="95">
        <v>20</v>
      </c>
      <c r="T492" s="5"/>
      <c r="U492" s="5"/>
      <c r="V492" s="20"/>
      <c r="W492" s="5"/>
      <c r="X492" s="6">
        <v>45</v>
      </c>
      <c r="AA492" s="14" t="s">
        <v>213</v>
      </c>
    </row>
    <row r="493" spans="11:33" x14ac:dyDescent="0.3">
      <c r="R493" s="712"/>
      <c r="S493" s="108">
        <v>90</v>
      </c>
      <c r="T493" s="37"/>
      <c r="U493" s="37"/>
      <c r="V493" s="37"/>
      <c r="W493" s="37"/>
      <c r="X493" s="38">
        <v>65</v>
      </c>
      <c r="AA493" s="217" t="s">
        <v>246</v>
      </c>
      <c r="AB493" s="5">
        <v>3.4000000000000002E-2</v>
      </c>
      <c r="AC493" s="5"/>
      <c r="AD493" s="5">
        <v>2.1000000000000001E-2</v>
      </c>
      <c r="AE493" s="5"/>
      <c r="AF493" s="5">
        <v>6.0000000000000001E-3</v>
      </c>
      <c r="AG493" s="6">
        <v>3.0000000000000001E-3</v>
      </c>
    </row>
    <row r="494" spans="11:33" ht="15" thickBot="1" x14ac:dyDescent="0.35">
      <c r="R494" s="265" t="s">
        <v>5</v>
      </c>
      <c r="S494" s="8">
        <v>0</v>
      </c>
      <c r="T494" s="8">
        <v>0.28999999999999998</v>
      </c>
      <c r="U494" s="9">
        <v>0.3</v>
      </c>
      <c r="V494" s="9">
        <v>0.69</v>
      </c>
      <c r="W494" s="10">
        <v>0.7</v>
      </c>
      <c r="X494" s="11">
        <v>1</v>
      </c>
      <c r="AA494" s="100" t="s">
        <v>247</v>
      </c>
      <c r="AB494" s="37">
        <v>0.20200000000000001</v>
      </c>
      <c r="AC494" s="37"/>
      <c r="AD494" s="37">
        <v>0.04</v>
      </c>
      <c r="AE494" s="37"/>
      <c r="AF494" s="37">
        <v>6.0000000000000001E-3</v>
      </c>
      <c r="AG494" s="38">
        <v>3.0000000000000001E-3</v>
      </c>
    </row>
    <row r="495" spans="11:33" x14ac:dyDescent="0.3">
      <c r="AA495" s="100" t="s">
        <v>248</v>
      </c>
      <c r="AB495" s="37">
        <v>0.63100000000000001</v>
      </c>
      <c r="AC495" s="37"/>
      <c r="AD495" s="37">
        <v>0.17</v>
      </c>
      <c r="AE495" s="37"/>
      <c r="AF495" s="37">
        <v>6.0000000000000001E-3</v>
      </c>
      <c r="AG495" s="38">
        <v>3.0000000000000001E-3</v>
      </c>
    </row>
    <row r="496" spans="11:33" ht="15" thickBot="1" x14ac:dyDescent="0.35">
      <c r="S496" s="94" t="s">
        <v>171</v>
      </c>
      <c r="T496" s="13"/>
      <c r="AA496" s="265" t="s">
        <v>5</v>
      </c>
      <c r="AB496" s="8">
        <v>0</v>
      </c>
      <c r="AC496" s="8">
        <v>0.28999999999999998</v>
      </c>
      <c r="AD496" s="9">
        <v>0.3</v>
      </c>
      <c r="AE496" s="9">
        <v>0.69</v>
      </c>
      <c r="AF496" s="10">
        <v>0.7</v>
      </c>
      <c r="AG496" s="11">
        <v>1</v>
      </c>
    </row>
    <row r="497" spans="18:36" x14ac:dyDescent="0.3">
      <c r="S497" s="13" t="s">
        <v>297</v>
      </c>
      <c r="T497" s="13" t="s">
        <v>298</v>
      </c>
    </row>
    <row r="498" spans="18:36" x14ac:dyDescent="0.3">
      <c r="R498" s="107" t="s">
        <v>110</v>
      </c>
      <c r="S498" s="13">
        <v>0.04</v>
      </c>
      <c r="T498" s="13">
        <v>-0.04</v>
      </c>
      <c r="AA498" s="222" t="s">
        <v>171</v>
      </c>
      <c r="AB498" s="197"/>
      <c r="AC498" s="706" t="s">
        <v>112</v>
      </c>
      <c r="AD498" s="707"/>
      <c r="AE498" s="706" t="s">
        <v>208</v>
      </c>
      <c r="AF498" s="707"/>
      <c r="AG498" s="210" t="s">
        <v>229</v>
      </c>
      <c r="AH498" s="119"/>
      <c r="AI498" s="119"/>
      <c r="AJ498" s="267"/>
    </row>
    <row r="499" spans="18:36" x14ac:dyDescent="0.3">
      <c r="R499" s="107" t="s">
        <v>111</v>
      </c>
      <c r="S499" s="13">
        <v>-0.8</v>
      </c>
      <c r="T499" s="13">
        <v>3.6</v>
      </c>
      <c r="V499" s="19"/>
      <c r="Y499" s="13"/>
      <c r="AA499" s="195"/>
      <c r="AB499" s="205" t="s">
        <v>246</v>
      </c>
      <c r="AC499" s="204" t="s">
        <v>247</v>
      </c>
      <c r="AD499" s="206" t="s">
        <v>248</v>
      </c>
      <c r="AE499" s="204" t="s">
        <v>247</v>
      </c>
      <c r="AF499" s="206" t="s">
        <v>248</v>
      </c>
      <c r="AG499" s="206" t="s">
        <v>251</v>
      </c>
      <c r="AH499" s="100"/>
      <c r="AI499" s="100"/>
      <c r="AJ499" s="220"/>
    </row>
    <row r="500" spans="18:36" x14ac:dyDescent="0.3">
      <c r="R500" s="107"/>
      <c r="S500" s="13"/>
      <c r="T500" s="74"/>
      <c r="Y500" s="12"/>
      <c r="AA500" s="258" t="s">
        <v>110</v>
      </c>
      <c r="AB500" s="1">
        <v>-25.042000000000002</v>
      </c>
      <c r="AC500" s="192">
        <v>-1.8519000000000001</v>
      </c>
      <c r="AD500" s="193">
        <v>-0.65080000000000005</v>
      </c>
      <c r="AE500" s="212">
        <v>-11.765000000000001</v>
      </c>
      <c r="AF500" s="193">
        <v>-2.4390000000000001</v>
      </c>
      <c r="AG500" s="214">
        <v>-100</v>
      </c>
      <c r="AH500" s="1"/>
      <c r="AI500" s="21"/>
    </row>
    <row r="501" spans="18:36" x14ac:dyDescent="0.3">
      <c r="R501" s="13"/>
      <c r="S501" s="13"/>
      <c r="T501" s="13"/>
      <c r="V501" s="13"/>
      <c r="W501" s="13"/>
      <c r="X501" s="13"/>
      <c r="Y501" s="12"/>
      <c r="AA501" s="269" t="s">
        <v>111</v>
      </c>
      <c r="AB501" s="195">
        <v>0.84250000000000003</v>
      </c>
      <c r="AC501" s="194">
        <v>0.37409999999999999</v>
      </c>
      <c r="AD501" s="199">
        <v>0.41060000000000002</v>
      </c>
      <c r="AE501" s="213">
        <v>0.77059999999999995</v>
      </c>
      <c r="AF501" s="199">
        <v>0.71460000000000001</v>
      </c>
      <c r="AG501" s="196">
        <v>1.3</v>
      </c>
      <c r="AH501" s="99"/>
      <c r="AI501" s="99"/>
      <c r="AJ501" s="221"/>
    </row>
    <row r="502" spans="18:36" x14ac:dyDescent="0.3">
      <c r="V502" s="13"/>
      <c r="W502" s="13"/>
      <c r="X502" s="13"/>
      <c r="Y502" s="13"/>
      <c r="AA502" s="13"/>
      <c r="AB502" s="13"/>
      <c r="AC502" s="13"/>
      <c r="AD502" s="16"/>
      <c r="AE502" s="1"/>
      <c r="AF502" s="1"/>
      <c r="AG502" s="1"/>
    </row>
    <row r="503" spans="18:36" x14ac:dyDescent="0.3">
      <c r="V503" s="13"/>
      <c r="W503" s="13"/>
      <c r="X503" s="13"/>
      <c r="Y503" s="13"/>
      <c r="AA503" s="13"/>
      <c r="AB503" s="13"/>
      <c r="AC503" s="74"/>
      <c r="AE503" s="1"/>
      <c r="AF503" s="1"/>
      <c r="AG503" s="1"/>
    </row>
    <row r="504" spans="18:36" x14ac:dyDescent="0.3">
      <c r="V504" s="13"/>
      <c r="W504" s="13"/>
      <c r="X504" s="13"/>
      <c r="Y504" s="13"/>
    </row>
    <row r="505" spans="18:36" x14ac:dyDescent="0.3">
      <c r="V505" s="13"/>
      <c r="W505" s="13"/>
      <c r="X505" s="13"/>
      <c r="Y505" s="13"/>
    </row>
    <row r="506" spans="18:36" x14ac:dyDescent="0.3">
      <c r="V506" s="13"/>
      <c r="W506" s="13"/>
      <c r="X506" s="13"/>
    </row>
    <row r="507" spans="18:36" x14ac:dyDescent="0.3">
      <c r="V507" s="13"/>
      <c r="W507" s="13"/>
      <c r="X507" s="13"/>
    </row>
    <row r="513" spans="11:27" x14ac:dyDescent="0.3">
      <c r="K513" s="13"/>
    </row>
    <row r="514" spans="11:27" x14ac:dyDescent="0.3">
      <c r="K514" s="13"/>
    </row>
    <row r="515" spans="11:27" x14ac:dyDescent="0.3">
      <c r="K515" s="13"/>
    </row>
    <row r="516" spans="11:27" x14ac:dyDescent="0.3">
      <c r="K516" s="13"/>
    </row>
    <row r="517" spans="11:27" x14ac:dyDescent="0.3">
      <c r="K517" s="13"/>
    </row>
    <row r="518" spans="11:27" x14ac:dyDescent="0.3">
      <c r="K518" s="13"/>
    </row>
    <row r="519" spans="11:27" x14ac:dyDescent="0.3">
      <c r="K519" s="13"/>
    </row>
    <row r="520" spans="11:27" x14ac:dyDescent="0.3">
      <c r="K520" s="13"/>
      <c r="L520" s="13"/>
      <c r="M520" s="13"/>
      <c r="N520" s="13"/>
      <c r="O520" s="13"/>
      <c r="P520" s="13"/>
    </row>
    <row r="521" spans="11:27" x14ac:dyDescent="0.3">
      <c r="K521" s="13"/>
      <c r="L521" s="13"/>
      <c r="M521" s="13"/>
      <c r="N521" s="13"/>
      <c r="O521" s="13"/>
      <c r="P521" s="13"/>
    </row>
    <row r="522" spans="11:27" x14ac:dyDescent="0.3">
      <c r="K522" s="1"/>
      <c r="L522" s="1"/>
      <c r="M522" s="1"/>
      <c r="N522" s="1"/>
      <c r="O522" s="1"/>
      <c r="P522" s="1"/>
      <c r="Q522" s="214"/>
    </row>
    <row r="523" spans="11:27" x14ac:dyDescent="0.3">
      <c r="K523" s="1"/>
      <c r="L523" s="1"/>
      <c r="M523" s="1"/>
      <c r="N523" s="1"/>
      <c r="O523" s="1"/>
      <c r="P523" s="1"/>
      <c r="Q523" s="214"/>
    </row>
    <row r="524" spans="11:27" x14ac:dyDescent="0.3">
      <c r="K524" s="1"/>
      <c r="L524" s="1"/>
      <c r="M524" s="1"/>
      <c r="N524" s="1"/>
      <c r="O524" s="1"/>
      <c r="P524" s="1"/>
    </row>
    <row r="525" spans="11:27" x14ac:dyDescent="0.3">
      <c r="K525" s="2"/>
      <c r="L525" s="2"/>
      <c r="M525" s="2"/>
      <c r="N525" s="2"/>
      <c r="O525" s="2"/>
      <c r="P525" s="2"/>
    </row>
    <row r="526" spans="11:27" ht="15" thickBot="1" x14ac:dyDescent="0.35">
      <c r="K526" s="2"/>
      <c r="L526" s="2"/>
      <c r="M526" s="2"/>
      <c r="N526" s="2"/>
      <c r="O526" s="2"/>
      <c r="P526" s="2"/>
      <c r="R526" s="14" t="s">
        <v>372</v>
      </c>
    </row>
    <row r="527" spans="11:27" x14ac:dyDescent="0.3">
      <c r="K527" s="1"/>
      <c r="L527" s="1"/>
      <c r="M527" s="1"/>
      <c r="N527" s="1"/>
      <c r="O527" s="1"/>
      <c r="P527" s="1"/>
      <c r="R527" s="711" t="s">
        <v>4</v>
      </c>
      <c r="S527" s="95">
        <v>10</v>
      </c>
      <c r="T527" s="5"/>
      <c r="U527" s="5"/>
      <c r="V527" s="5"/>
      <c r="W527" s="5"/>
      <c r="X527" s="170">
        <v>30</v>
      </c>
    </row>
    <row r="528" spans="11:27" ht="15" thickBot="1" x14ac:dyDescent="0.35">
      <c r="K528" s="1"/>
      <c r="L528" s="1"/>
      <c r="M528" s="1"/>
      <c r="N528" s="1"/>
      <c r="O528" s="1"/>
      <c r="P528" s="1"/>
      <c r="R528" s="712"/>
      <c r="S528" s="108">
        <v>70</v>
      </c>
      <c r="T528" s="37"/>
      <c r="U528" s="37"/>
      <c r="V528" s="37"/>
      <c r="W528" s="37"/>
      <c r="X528" s="173">
        <v>50</v>
      </c>
      <c r="AA528" s="14" t="s">
        <v>213</v>
      </c>
    </row>
    <row r="529" spans="11:35" ht="15" thickBot="1" x14ac:dyDescent="0.35">
      <c r="K529" s="1"/>
      <c r="L529" s="1"/>
      <c r="M529" s="1"/>
      <c r="N529" s="1"/>
      <c r="O529" s="1"/>
      <c r="P529" s="1"/>
      <c r="R529" s="265" t="s">
        <v>5</v>
      </c>
      <c r="S529" s="8">
        <v>0</v>
      </c>
      <c r="T529" s="8">
        <v>0.28999999999999998</v>
      </c>
      <c r="U529" s="9">
        <v>0.3</v>
      </c>
      <c r="V529" s="9">
        <v>0.69</v>
      </c>
      <c r="W529" s="10">
        <v>0.7</v>
      </c>
      <c r="X529" s="11">
        <v>1</v>
      </c>
      <c r="AA529" s="217" t="s">
        <v>252</v>
      </c>
      <c r="AB529" s="5">
        <v>1.23</v>
      </c>
      <c r="AC529" s="5"/>
      <c r="AD529" s="5">
        <v>0.44700000000000001</v>
      </c>
      <c r="AE529" s="5"/>
      <c r="AF529" s="5">
        <v>6.0000000000000001E-3</v>
      </c>
      <c r="AG529" s="6">
        <v>4.0000000000000001E-3</v>
      </c>
    </row>
    <row r="530" spans="11:35" x14ac:dyDescent="0.3">
      <c r="K530" s="1"/>
      <c r="L530" s="1"/>
      <c r="M530" s="1"/>
      <c r="N530" s="1"/>
      <c r="O530" s="1"/>
      <c r="P530" s="1"/>
      <c r="AA530" s="100" t="s">
        <v>253</v>
      </c>
      <c r="AB530" s="37">
        <v>0.11</v>
      </c>
      <c r="AC530" s="37"/>
      <c r="AD530" s="37">
        <v>5.0999999999999997E-2</v>
      </c>
      <c r="AE530" s="37"/>
      <c r="AF530" s="37">
        <v>1.0999999999999999E-2</v>
      </c>
      <c r="AG530" s="38">
        <v>6.0000000000000001E-3</v>
      </c>
    </row>
    <row r="531" spans="11:35" x14ac:dyDescent="0.3">
      <c r="K531" s="1"/>
      <c r="L531" s="1"/>
      <c r="M531" s="1"/>
      <c r="N531" s="1"/>
      <c r="O531" s="1"/>
      <c r="P531" s="1"/>
      <c r="S531" s="94" t="s">
        <v>171</v>
      </c>
      <c r="T531" s="94"/>
      <c r="AA531" s="100" t="s">
        <v>254</v>
      </c>
      <c r="AB531" s="37">
        <v>4.5999999999999999E-2</v>
      </c>
      <c r="AC531" s="37"/>
      <c r="AD531" s="37">
        <v>0.03</v>
      </c>
      <c r="AE531" s="37"/>
      <c r="AF531" s="37">
        <v>1.2E-2</v>
      </c>
      <c r="AG531" s="38">
        <v>7.0000000000000001E-3</v>
      </c>
    </row>
    <row r="532" spans="11:35" x14ac:dyDescent="0.3">
      <c r="K532" s="1"/>
      <c r="L532" s="1"/>
      <c r="M532" s="17"/>
      <c r="N532" s="1"/>
      <c r="O532" s="1"/>
      <c r="P532" s="1"/>
      <c r="S532" s="13" t="s">
        <v>297</v>
      </c>
      <c r="T532" s="13" t="s">
        <v>298</v>
      </c>
      <c r="AA532" s="100" t="s">
        <v>255</v>
      </c>
      <c r="AB532" s="37">
        <v>8.1000000000000003E-2</v>
      </c>
      <c r="AC532" s="37"/>
      <c r="AD532" s="37">
        <v>4.2000000000000003E-2</v>
      </c>
      <c r="AE532" s="37"/>
      <c r="AF532" s="37">
        <v>1.0999999999999999E-2</v>
      </c>
      <c r="AG532" s="38">
        <v>8.0000000000000002E-3</v>
      </c>
    </row>
    <row r="533" spans="11:35" ht="15" thickBot="1" x14ac:dyDescent="0.35">
      <c r="K533" s="1"/>
      <c r="L533" s="1"/>
      <c r="M533" s="1"/>
      <c r="N533" s="1"/>
      <c r="O533" s="1"/>
      <c r="P533" s="1"/>
      <c r="R533" s="107" t="s">
        <v>110</v>
      </c>
      <c r="S533" s="13">
        <v>0.05</v>
      </c>
      <c r="T533" s="13">
        <v>-0.05</v>
      </c>
      <c r="AA533" s="265" t="s">
        <v>5</v>
      </c>
      <c r="AB533" s="8">
        <v>0</v>
      </c>
      <c r="AC533" s="8">
        <v>0.28999999999999998</v>
      </c>
      <c r="AD533" s="9">
        <v>0.3</v>
      </c>
      <c r="AE533" s="9">
        <v>0.69</v>
      </c>
      <c r="AF533" s="10">
        <v>0.7</v>
      </c>
      <c r="AG533" s="11">
        <v>1</v>
      </c>
    </row>
    <row r="534" spans="11:35" x14ac:dyDescent="0.3">
      <c r="K534" s="1"/>
      <c r="L534" s="1"/>
      <c r="M534" s="1"/>
      <c r="N534" s="1"/>
      <c r="O534" s="1"/>
      <c r="P534" s="1"/>
      <c r="R534" s="107" t="s">
        <v>111</v>
      </c>
      <c r="S534" s="13">
        <v>-0.5</v>
      </c>
      <c r="T534" s="13">
        <v>3.5</v>
      </c>
    </row>
    <row r="535" spans="11:35" x14ac:dyDescent="0.3">
      <c r="K535" s="1"/>
      <c r="L535" s="1"/>
      <c r="M535" s="1"/>
      <c r="N535" s="1"/>
      <c r="O535" s="1"/>
      <c r="P535" s="1"/>
      <c r="R535" s="13"/>
      <c r="S535" s="13"/>
      <c r="T535" s="74"/>
      <c r="AA535" s="222" t="s">
        <v>178</v>
      </c>
      <c r="AB535" s="197"/>
      <c r="AC535" s="115"/>
      <c r="AD535" s="115"/>
      <c r="AE535" s="210"/>
      <c r="AF535" s="706" t="s">
        <v>229</v>
      </c>
      <c r="AG535" s="708"/>
      <c r="AH535" s="708"/>
      <c r="AI535" s="707"/>
    </row>
    <row r="536" spans="11:35" x14ac:dyDescent="0.3">
      <c r="K536" s="1"/>
      <c r="L536" s="1"/>
      <c r="M536" s="1"/>
      <c r="N536" s="1"/>
      <c r="O536" s="1"/>
      <c r="P536" s="1"/>
      <c r="R536" s="13"/>
      <c r="S536" s="13"/>
      <c r="T536" s="13"/>
      <c r="V536" s="13"/>
      <c r="W536" s="13"/>
      <c r="X536" s="13"/>
      <c r="AA536" s="195"/>
      <c r="AB536" s="205" t="s">
        <v>252</v>
      </c>
      <c r="AC536" s="205" t="s">
        <v>253</v>
      </c>
      <c r="AD536" s="205" t="s">
        <v>254</v>
      </c>
      <c r="AE536" s="206" t="s">
        <v>255</v>
      </c>
      <c r="AF536" s="204" t="s">
        <v>252</v>
      </c>
      <c r="AG536" s="205" t="s">
        <v>253</v>
      </c>
      <c r="AH536" s="205" t="s">
        <v>254</v>
      </c>
      <c r="AI536" s="206" t="s">
        <v>255</v>
      </c>
    </row>
    <row r="537" spans="11:35" x14ac:dyDescent="0.3">
      <c r="K537" s="1"/>
      <c r="L537" s="1"/>
      <c r="M537" s="1"/>
      <c r="N537" s="1"/>
      <c r="O537" s="1"/>
      <c r="P537" s="1"/>
      <c r="V537" s="13"/>
      <c r="W537" s="13"/>
      <c r="X537" s="13"/>
      <c r="AA537" s="258" t="s">
        <v>110</v>
      </c>
      <c r="AB537" s="1">
        <v>0.42799999999999999</v>
      </c>
      <c r="AC537" s="1">
        <v>49.649000000000001</v>
      </c>
      <c r="AD537" s="21">
        <v>102.12</v>
      </c>
      <c r="AE537" s="193">
        <v>74.441999999999993</v>
      </c>
      <c r="AF537" s="212"/>
      <c r="AG537" s="1"/>
      <c r="AH537" s="1"/>
      <c r="AI537" s="193"/>
    </row>
    <row r="538" spans="11:35" x14ac:dyDescent="0.3">
      <c r="K538" s="2"/>
      <c r="L538" s="2"/>
      <c r="M538" s="2"/>
      <c r="N538" s="2"/>
      <c r="O538" s="2"/>
      <c r="P538" s="2"/>
      <c r="V538" s="13"/>
      <c r="W538" s="13"/>
      <c r="X538" s="13"/>
      <c r="AA538" s="258" t="s">
        <v>111</v>
      </c>
      <c r="AB538" s="1">
        <v>-1.1009</v>
      </c>
      <c r="AC538" s="1">
        <v>-13.077999999999999</v>
      </c>
      <c r="AD538" s="21">
        <v>-26.510999999999999</v>
      </c>
      <c r="AE538" s="193">
        <v>-16.849</v>
      </c>
      <c r="AF538" s="212">
        <v>-150</v>
      </c>
      <c r="AG538" s="1">
        <v>-60</v>
      </c>
      <c r="AH538" s="99">
        <v>-60</v>
      </c>
      <c r="AI538" s="193">
        <v>-100</v>
      </c>
    </row>
    <row r="539" spans="11:35" x14ac:dyDescent="0.3">
      <c r="K539" s="2"/>
      <c r="L539" s="2"/>
      <c r="M539" s="2"/>
      <c r="N539" s="2"/>
      <c r="O539" s="2"/>
      <c r="P539" s="2"/>
      <c r="V539" s="13"/>
      <c r="W539" s="13"/>
      <c r="X539" s="13"/>
      <c r="AA539" s="269" t="s">
        <v>113</v>
      </c>
      <c r="AB539" s="195">
        <v>0.70660000000000001</v>
      </c>
      <c r="AC539" s="195">
        <v>0.83789999999999998</v>
      </c>
      <c r="AD539" s="205">
        <v>1.0034000000000001</v>
      </c>
      <c r="AE539" s="196">
        <v>0.87629999999999997</v>
      </c>
      <c r="AF539" s="194">
        <v>1.6</v>
      </c>
      <c r="AG539" s="195">
        <v>1.36</v>
      </c>
      <c r="AH539" s="207">
        <v>1.42</v>
      </c>
      <c r="AI539" s="199">
        <v>1.8</v>
      </c>
    </row>
    <row r="540" spans="11:35" x14ac:dyDescent="0.3">
      <c r="K540" s="1"/>
      <c r="L540" s="1"/>
      <c r="M540" s="1"/>
      <c r="N540" s="1"/>
      <c r="O540" s="1"/>
      <c r="P540" s="1"/>
      <c r="V540" s="13"/>
      <c r="W540" s="13"/>
      <c r="X540" s="13"/>
      <c r="AA540" s="13"/>
      <c r="AB540" s="13"/>
      <c r="AC540" s="74"/>
      <c r="AE540" s="1"/>
      <c r="AF540" s="1"/>
      <c r="AG540" s="1"/>
    </row>
    <row r="541" spans="11:35" x14ac:dyDescent="0.3">
      <c r="K541" s="1"/>
      <c r="L541" s="1"/>
      <c r="M541" s="1"/>
      <c r="N541" s="1"/>
      <c r="O541" s="1"/>
      <c r="P541" s="1"/>
      <c r="V541" s="13"/>
      <c r="W541" s="13"/>
      <c r="X541" s="13"/>
    </row>
    <row r="542" spans="11:35" x14ac:dyDescent="0.3">
      <c r="K542" s="1"/>
      <c r="L542" s="1"/>
      <c r="M542" s="1"/>
      <c r="N542" s="1"/>
      <c r="O542" s="1"/>
      <c r="P542" s="1"/>
      <c r="V542" s="13"/>
      <c r="W542" s="13"/>
      <c r="X542" s="13"/>
    </row>
    <row r="543" spans="11:35" x14ac:dyDescent="0.3">
      <c r="K543" s="1"/>
      <c r="L543" s="1"/>
      <c r="M543" s="1"/>
      <c r="N543" s="1"/>
      <c r="O543" s="1"/>
      <c r="P543" s="1"/>
    </row>
    <row r="544" spans="11:35" x14ac:dyDescent="0.3">
      <c r="K544" s="1"/>
      <c r="L544" s="1"/>
      <c r="M544" s="1"/>
      <c r="N544" s="1"/>
      <c r="O544" s="1"/>
      <c r="P544" s="1"/>
    </row>
    <row r="545" spans="11:18" x14ac:dyDescent="0.3">
      <c r="K545" s="1"/>
      <c r="L545" s="1"/>
      <c r="M545" s="1"/>
      <c r="N545" s="17"/>
      <c r="O545" s="1"/>
      <c r="P545" s="1"/>
    </row>
    <row r="546" spans="11:18" x14ac:dyDescent="0.3">
      <c r="K546" s="13"/>
      <c r="L546" s="13"/>
      <c r="M546" s="13"/>
      <c r="N546" s="13"/>
      <c r="O546" s="13"/>
      <c r="P546" s="13"/>
    </row>
    <row r="547" spans="11:18" x14ac:dyDescent="0.3">
      <c r="K547" s="13"/>
      <c r="L547" s="13"/>
      <c r="M547" s="13"/>
      <c r="N547" s="13"/>
      <c r="O547" s="13"/>
      <c r="P547" s="13"/>
    </row>
    <row r="548" spans="11:18" x14ac:dyDescent="0.3">
      <c r="K548" s="13"/>
      <c r="L548" s="13"/>
      <c r="M548" s="13"/>
      <c r="N548" s="13"/>
      <c r="O548" s="13"/>
      <c r="P548" s="13"/>
    </row>
    <row r="560" spans="11:18" ht="15" thickBot="1" x14ac:dyDescent="0.35">
      <c r="R560" s="14" t="s">
        <v>373</v>
      </c>
    </row>
    <row r="561" spans="18:36" x14ac:dyDescent="0.3">
      <c r="R561" s="713" t="s">
        <v>15</v>
      </c>
      <c r="S561" s="239">
        <v>0</v>
      </c>
      <c r="T561" s="5"/>
      <c r="U561" s="5"/>
      <c r="V561" s="20"/>
      <c r="W561" s="5"/>
      <c r="X561" s="6">
        <v>20</v>
      </c>
    </row>
    <row r="562" spans="18:36" x14ac:dyDescent="0.3">
      <c r="R562" s="714"/>
      <c r="S562" s="109">
        <v>90</v>
      </c>
      <c r="T562" s="37"/>
      <c r="U562" s="37"/>
      <c r="V562" s="2"/>
      <c r="W562" s="37"/>
      <c r="X562" s="38">
        <v>45</v>
      </c>
    </row>
    <row r="563" spans="18:36" ht="15" thickBot="1" x14ac:dyDescent="0.35">
      <c r="R563" s="265" t="s">
        <v>16</v>
      </c>
      <c r="S563" s="8">
        <v>0</v>
      </c>
      <c r="T563" s="8">
        <v>0.28999999999999998</v>
      </c>
      <c r="U563" s="9">
        <v>0.3</v>
      </c>
      <c r="V563" s="9">
        <v>0.69</v>
      </c>
      <c r="W563" s="10">
        <v>0.7</v>
      </c>
      <c r="X563" s="11">
        <v>1</v>
      </c>
    </row>
    <row r="565" spans="18:36" x14ac:dyDescent="0.3">
      <c r="S565" s="94" t="s">
        <v>171</v>
      </c>
      <c r="T565" s="13"/>
    </row>
    <row r="566" spans="18:36" ht="15" thickBot="1" x14ac:dyDescent="0.35">
      <c r="S566" s="13" t="s">
        <v>297</v>
      </c>
      <c r="T566" s="13" t="s">
        <v>298</v>
      </c>
      <c r="AA566" s="14" t="s">
        <v>213</v>
      </c>
    </row>
    <row r="567" spans="18:36" x14ac:dyDescent="0.3">
      <c r="R567" s="101" t="s">
        <v>110</v>
      </c>
      <c r="S567" s="13">
        <v>0.05</v>
      </c>
      <c r="T567" s="13">
        <v>-2.2200000000000001E-2</v>
      </c>
      <c r="AA567" s="217" t="s">
        <v>256</v>
      </c>
      <c r="AB567" s="5">
        <v>0.37</v>
      </c>
      <c r="AC567" s="5"/>
      <c r="AD567" s="5">
        <v>0.3</v>
      </c>
      <c r="AE567" s="5"/>
      <c r="AF567" s="5">
        <v>3.2000000000000001E-2</v>
      </c>
      <c r="AG567" s="6">
        <v>1.2999999999999999E-2</v>
      </c>
    </row>
    <row r="568" spans="18:36" x14ac:dyDescent="0.3">
      <c r="R568" s="101" t="s">
        <v>111</v>
      </c>
      <c r="S568" s="13">
        <v>0</v>
      </c>
      <c r="T568" s="13">
        <v>2</v>
      </c>
      <c r="AA568" s="100" t="s">
        <v>257</v>
      </c>
      <c r="AB568" s="37">
        <v>0.43</v>
      </c>
      <c r="AC568" s="37"/>
      <c r="AD568" s="37">
        <v>0.28000000000000003</v>
      </c>
      <c r="AE568" s="37"/>
      <c r="AF568" s="37">
        <v>0.02</v>
      </c>
      <c r="AG568" s="38">
        <v>1.7999999999999999E-2</v>
      </c>
    </row>
    <row r="569" spans="18:36" x14ac:dyDescent="0.3">
      <c r="R569" s="130"/>
      <c r="S569" s="13"/>
      <c r="T569" s="13"/>
      <c r="AA569" s="100" t="s">
        <v>258</v>
      </c>
      <c r="AB569" s="37">
        <v>0.217</v>
      </c>
      <c r="AC569" s="37"/>
      <c r="AD569" s="37">
        <v>0.12</v>
      </c>
      <c r="AE569" s="37"/>
      <c r="AF569" s="37">
        <v>3.3000000000000002E-2</v>
      </c>
      <c r="AG569" s="38">
        <v>0.02</v>
      </c>
    </row>
    <row r="570" spans="18:36" x14ac:dyDescent="0.3">
      <c r="R570" s="13"/>
      <c r="S570" s="13"/>
      <c r="T570" s="74"/>
      <c r="U570" s="16"/>
      <c r="AA570" s="100" t="s">
        <v>259</v>
      </c>
      <c r="AB570" s="37">
        <v>0.44800000000000001</v>
      </c>
      <c r="AC570" s="37"/>
      <c r="AD570" s="37">
        <v>0.16500000000000001</v>
      </c>
      <c r="AE570" s="37"/>
      <c r="AF570" s="37">
        <v>8.5999999999999993E-2</v>
      </c>
      <c r="AG570" s="38">
        <v>7.0999999999999994E-2</v>
      </c>
    </row>
    <row r="571" spans="18:36" ht="15" thickBot="1" x14ac:dyDescent="0.35">
      <c r="R571" s="13"/>
      <c r="S571" s="13"/>
      <c r="T571" s="74"/>
      <c r="AA571" s="265" t="s">
        <v>5</v>
      </c>
      <c r="AB571" s="8">
        <v>0</v>
      </c>
      <c r="AC571" s="8">
        <v>0.28999999999999998</v>
      </c>
      <c r="AD571" s="9">
        <v>0.3</v>
      </c>
      <c r="AE571" s="9">
        <v>0.69</v>
      </c>
      <c r="AF571" s="10">
        <v>0.7</v>
      </c>
      <c r="AG571" s="11">
        <v>1</v>
      </c>
    </row>
    <row r="572" spans="18:36" x14ac:dyDescent="0.3">
      <c r="AA572" s="222" t="s">
        <v>178</v>
      </c>
    </row>
    <row r="573" spans="18:36" x14ac:dyDescent="0.3">
      <c r="AA573" s="222"/>
      <c r="AB573" s="191" t="s">
        <v>112</v>
      </c>
      <c r="AC573" s="708" t="s">
        <v>115</v>
      </c>
      <c r="AD573" s="708"/>
      <c r="AE573" s="191" t="s">
        <v>112</v>
      </c>
      <c r="AF573" s="706" t="s">
        <v>208</v>
      </c>
      <c r="AG573" s="707"/>
      <c r="AH573" s="706" t="s">
        <v>229</v>
      </c>
      <c r="AI573" s="708"/>
      <c r="AJ573" s="707"/>
    </row>
    <row r="574" spans="18:36" x14ac:dyDescent="0.3">
      <c r="AA574" s="195"/>
      <c r="AB574" s="205" t="s">
        <v>256</v>
      </c>
      <c r="AC574" s="205" t="s">
        <v>257</v>
      </c>
      <c r="AD574" s="205" t="s">
        <v>258</v>
      </c>
      <c r="AE574" s="205" t="s">
        <v>259</v>
      </c>
      <c r="AF574" s="204" t="s">
        <v>256</v>
      </c>
      <c r="AG574" s="206" t="s">
        <v>259</v>
      </c>
      <c r="AH574" s="204" t="s">
        <v>256</v>
      </c>
      <c r="AI574" s="205" t="s">
        <v>258</v>
      </c>
      <c r="AJ574" s="206" t="s">
        <v>259</v>
      </c>
    </row>
    <row r="575" spans="18:36" x14ac:dyDescent="0.3">
      <c r="AA575" s="258" t="s">
        <v>110</v>
      </c>
      <c r="AB575" s="1"/>
      <c r="AC575" s="1">
        <v>-1.1256999999999999</v>
      </c>
      <c r="AD575" s="21">
        <v>8.1789000000000005</v>
      </c>
      <c r="AE575" s="21"/>
      <c r="AF575" s="212"/>
      <c r="AG575" s="214"/>
      <c r="AH575" s="192"/>
      <c r="AI575" s="21"/>
    </row>
    <row r="576" spans="18:36" x14ac:dyDescent="0.3">
      <c r="AA576" s="258" t="s">
        <v>111</v>
      </c>
      <c r="AB576" s="1">
        <v>-4.2857000000000003</v>
      </c>
      <c r="AC576" s="1">
        <v>-1.2008000000000001</v>
      </c>
      <c r="AD576" s="21">
        <v>-5.8491</v>
      </c>
      <c r="AE576" s="21">
        <v>-1.0601</v>
      </c>
      <c r="AF576" s="212">
        <v>-1.4924999999999999</v>
      </c>
      <c r="AG576" s="214">
        <v>-5.0632999999999999</v>
      </c>
      <c r="AH576" s="215">
        <v>-15.789</v>
      </c>
      <c r="AI576" s="99">
        <v>-23.077000000000002</v>
      </c>
      <c r="AJ576" s="193">
        <v>-20</v>
      </c>
    </row>
    <row r="577" spans="14:36" x14ac:dyDescent="0.3">
      <c r="AA577" s="269" t="s">
        <v>113</v>
      </c>
      <c r="AB577" s="195">
        <v>1.5857000000000001</v>
      </c>
      <c r="AC577" s="195">
        <v>0.72450000000000003</v>
      </c>
      <c r="AD577" s="205">
        <v>0.8841</v>
      </c>
      <c r="AE577" s="195">
        <v>0.47489999999999999</v>
      </c>
      <c r="AF577" s="194">
        <v>0.74780000000000002</v>
      </c>
      <c r="AG577" s="196">
        <v>1.1354</v>
      </c>
      <c r="AH577" s="213">
        <v>1.2053</v>
      </c>
      <c r="AI577" s="207">
        <v>1.4615</v>
      </c>
      <c r="AJ577" s="199">
        <v>2.42</v>
      </c>
    </row>
    <row r="578" spans="14:36" x14ac:dyDescent="0.3">
      <c r="AA578" s="13"/>
      <c r="AB578" s="13"/>
      <c r="AC578" s="74"/>
      <c r="AE578" s="1"/>
      <c r="AF578" s="1"/>
      <c r="AG578" s="1"/>
    </row>
    <row r="590" spans="14:36" x14ac:dyDescent="0.3">
      <c r="N590" s="21"/>
    </row>
    <row r="591" spans="14:36" x14ac:dyDescent="0.3">
      <c r="N591" s="238"/>
      <c r="O591" s="13"/>
    </row>
    <row r="592" spans="14:36" x14ac:dyDescent="0.3">
      <c r="N592" s="13"/>
      <c r="O592" s="13"/>
    </row>
    <row r="594" spans="18:25" ht="15" thickBot="1" x14ac:dyDescent="0.35">
      <c r="R594" s="14" t="s">
        <v>387</v>
      </c>
    </row>
    <row r="595" spans="18:25" x14ac:dyDescent="0.3">
      <c r="R595" s="713" t="s">
        <v>15</v>
      </c>
      <c r="S595" s="239">
        <v>0</v>
      </c>
      <c r="T595" s="5"/>
      <c r="U595" s="5"/>
      <c r="V595" s="20"/>
      <c r="W595" s="5"/>
      <c r="X595" s="6">
        <v>20</v>
      </c>
    </row>
    <row r="596" spans="18:25" x14ac:dyDescent="0.3">
      <c r="R596" s="714"/>
      <c r="S596" s="109">
        <v>50</v>
      </c>
      <c r="T596" s="37"/>
      <c r="U596" s="37"/>
      <c r="V596" s="2"/>
      <c r="W596" s="37"/>
      <c r="X596" s="38">
        <v>30</v>
      </c>
    </row>
    <row r="597" spans="18:25" ht="15" thickBot="1" x14ac:dyDescent="0.35">
      <c r="R597" s="265" t="s">
        <v>16</v>
      </c>
      <c r="S597" s="8">
        <v>0</v>
      </c>
      <c r="T597" s="8">
        <v>0.28999999999999998</v>
      </c>
      <c r="U597" s="9">
        <v>0.3</v>
      </c>
      <c r="V597" s="9">
        <v>0.69</v>
      </c>
      <c r="W597" s="10">
        <v>0.7</v>
      </c>
      <c r="X597" s="11">
        <v>1</v>
      </c>
    </row>
    <row r="599" spans="18:25" x14ac:dyDescent="0.3">
      <c r="S599" s="94" t="s">
        <v>171</v>
      </c>
      <c r="T599" s="13"/>
    </row>
    <row r="600" spans="18:25" x14ac:dyDescent="0.3">
      <c r="S600" s="13" t="s">
        <v>297</v>
      </c>
      <c r="T600" s="13" t="s">
        <v>298</v>
      </c>
      <c r="Y600" s="1"/>
    </row>
    <row r="601" spans="18:25" x14ac:dyDescent="0.3">
      <c r="R601" s="292" t="s">
        <v>110</v>
      </c>
      <c r="S601" s="13">
        <v>0.05</v>
      </c>
      <c r="T601" s="13">
        <v>-0.05</v>
      </c>
      <c r="Y601" s="1"/>
    </row>
    <row r="602" spans="18:25" x14ac:dyDescent="0.3">
      <c r="R602" s="292" t="s">
        <v>111</v>
      </c>
      <c r="S602" s="13">
        <v>0</v>
      </c>
      <c r="T602" s="13">
        <v>2.5</v>
      </c>
      <c r="Y602" s="1"/>
    </row>
    <row r="603" spans="18:25" x14ac:dyDescent="0.3">
      <c r="R603" s="291"/>
      <c r="S603" s="13"/>
      <c r="T603" s="13"/>
      <c r="Y603" s="1"/>
    </row>
    <row r="604" spans="18:25" x14ac:dyDescent="0.3">
      <c r="R604" s="13"/>
      <c r="S604" s="13"/>
      <c r="T604" s="74"/>
      <c r="U604" s="16"/>
      <c r="Y604" s="1"/>
    </row>
    <row r="605" spans="18:25" x14ac:dyDescent="0.3">
      <c r="R605" s="13"/>
      <c r="S605" s="13"/>
      <c r="T605" s="74"/>
      <c r="Y605" s="1"/>
    </row>
    <row r="606" spans="18:25" x14ac:dyDescent="0.3">
      <c r="Y606" s="1"/>
    </row>
    <row r="607" spans="18:25" x14ac:dyDescent="0.3">
      <c r="Y607" s="1"/>
    </row>
    <row r="608" spans="18:25" x14ac:dyDescent="0.3">
      <c r="Y608" s="1"/>
    </row>
    <row r="609" spans="25:25" x14ac:dyDescent="0.3">
      <c r="Y609" s="1"/>
    </row>
    <row r="610" spans="25:25" x14ac:dyDescent="0.3">
      <c r="Y610" s="1"/>
    </row>
    <row r="611" spans="25:25" x14ac:dyDescent="0.3">
      <c r="Y611" s="1"/>
    </row>
    <row r="612" spans="25:25" x14ac:dyDescent="0.3">
      <c r="Y612" s="1"/>
    </row>
    <row r="613" spans="25:25" x14ac:dyDescent="0.3">
      <c r="Y613" s="1"/>
    </row>
    <row r="628" spans="18:26" ht="15" thickBot="1" x14ac:dyDescent="0.35">
      <c r="R628" s="14" t="s">
        <v>312</v>
      </c>
    </row>
    <row r="629" spans="18:26" x14ac:dyDescent="0.3">
      <c r="R629" s="5" t="s">
        <v>15</v>
      </c>
      <c r="S629" s="5">
        <v>1.6</v>
      </c>
      <c r="T629" s="5"/>
      <c r="U629" s="5">
        <v>1.4</v>
      </c>
      <c r="V629" s="5">
        <v>1.2</v>
      </c>
      <c r="W629" s="5"/>
      <c r="X629" s="6">
        <v>1</v>
      </c>
    </row>
    <row r="630" spans="18:26" ht="15" thickBot="1" x14ac:dyDescent="0.35">
      <c r="R630" s="265" t="s">
        <v>16</v>
      </c>
      <c r="S630" s="8">
        <v>0</v>
      </c>
      <c r="T630" s="8">
        <v>0.28999999999999998</v>
      </c>
      <c r="U630" s="9">
        <v>0.3</v>
      </c>
      <c r="V630" s="9">
        <v>0.69</v>
      </c>
      <c r="W630" s="10">
        <v>0.7</v>
      </c>
      <c r="X630" s="11">
        <v>1</v>
      </c>
    </row>
    <row r="632" spans="18:26" x14ac:dyDescent="0.3">
      <c r="R632" s="13"/>
      <c r="S632" s="135" t="s">
        <v>321</v>
      </c>
      <c r="T632" s="135"/>
    </row>
    <row r="633" spans="18:26" x14ac:dyDescent="0.3">
      <c r="R633" s="128" t="s">
        <v>110</v>
      </c>
      <c r="S633" s="13">
        <v>3.5417000000000001</v>
      </c>
      <c r="T633" s="13"/>
      <c r="Z633" s="214"/>
    </row>
    <row r="634" spans="18:26" x14ac:dyDescent="0.3">
      <c r="R634" s="164" t="s">
        <v>111</v>
      </c>
      <c r="S634" s="13">
        <v>-13.75</v>
      </c>
      <c r="T634" s="13"/>
      <c r="Z634" s="214"/>
    </row>
    <row r="635" spans="18:26" x14ac:dyDescent="0.3">
      <c r="R635" s="164" t="s">
        <v>113</v>
      </c>
      <c r="S635" s="13">
        <v>15.808</v>
      </c>
      <c r="T635" s="13"/>
    </row>
    <row r="636" spans="18:26" x14ac:dyDescent="0.3">
      <c r="R636" s="128" t="s">
        <v>114</v>
      </c>
      <c r="S636" s="13">
        <v>-4.5999999999999996</v>
      </c>
      <c r="T636" s="74"/>
    </row>
    <row r="661" spans="18:25" ht="15" thickBot="1" x14ac:dyDescent="0.35">
      <c r="R661" s="14" t="s">
        <v>325</v>
      </c>
    </row>
    <row r="662" spans="18:25" x14ac:dyDescent="0.3">
      <c r="R662" s="711" t="s">
        <v>15</v>
      </c>
      <c r="S662" s="5"/>
      <c r="T662" s="5"/>
      <c r="U662" s="5"/>
      <c r="V662" s="5"/>
      <c r="W662" s="5"/>
      <c r="X662" s="6">
        <v>1.3</v>
      </c>
      <c r="Y662" s="1"/>
    </row>
    <row r="663" spans="18:25" x14ac:dyDescent="0.3">
      <c r="R663" s="712"/>
      <c r="S663" s="37"/>
      <c r="T663" s="37"/>
      <c r="U663" s="37">
        <v>1.8</v>
      </c>
      <c r="V663" s="37">
        <v>1.61</v>
      </c>
      <c r="W663" s="37"/>
      <c r="X663" s="38">
        <v>1.6</v>
      </c>
      <c r="Y663" s="1"/>
    </row>
    <row r="664" spans="18:25" ht="15" thickBot="1" x14ac:dyDescent="0.35">
      <c r="R664" s="265" t="s">
        <v>16</v>
      </c>
      <c r="S664" s="8">
        <v>0</v>
      </c>
      <c r="T664" s="8">
        <v>0.2</v>
      </c>
      <c r="U664" s="9">
        <v>0.3</v>
      </c>
      <c r="V664" s="9">
        <v>0.69</v>
      </c>
      <c r="W664" s="10">
        <v>0.7</v>
      </c>
      <c r="X664" s="11">
        <v>1</v>
      </c>
      <c r="Y664" s="1"/>
    </row>
    <row r="665" spans="18:25" x14ac:dyDescent="0.3">
      <c r="Y665" s="1"/>
    </row>
    <row r="666" spans="18:25" x14ac:dyDescent="0.3">
      <c r="R666" s="13"/>
      <c r="S666" s="94" t="s">
        <v>171</v>
      </c>
      <c r="T666" s="135"/>
      <c r="U666" s="135"/>
      <c r="Y666" s="1"/>
    </row>
    <row r="667" spans="18:25" x14ac:dyDescent="0.3">
      <c r="R667" s="107" t="s">
        <v>110</v>
      </c>
      <c r="S667" s="13">
        <v>-2.0499999999999998</v>
      </c>
      <c r="T667" s="13"/>
      <c r="Y667" s="1"/>
    </row>
    <row r="668" spans="18:25" x14ac:dyDescent="0.3">
      <c r="R668" s="107" t="s">
        <v>111</v>
      </c>
      <c r="S668" s="13">
        <v>3.99</v>
      </c>
      <c r="T668" s="13"/>
      <c r="Y668" s="1"/>
    </row>
    <row r="669" spans="18:25" x14ac:dyDescent="0.3">
      <c r="R669" s="112"/>
      <c r="S669" s="13"/>
      <c r="T669" s="74"/>
      <c r="Y669" s="1"/>
    </row>
    <row r="670" spans="18:25" x14ac:dyDescent="0.3">
      <c r="S670" s="1"/>
      <c r="T670" s="1"/>
      <c r="U670" s="1"/>
      <c r="V670" s="1"/>
      <c r="W670" s="1"/>
      <c r="X670" s="1"/>
      <c r="Y670" s="1"/>
    </row>
    <row r="671" spans="18:25" x14ac:dyDescent="0.3">
      <c r="S671" s="1"/>
      <c r="T671" s="1"/>
      <c r="U671" s="1"/>
      <c r="V671" s="1"/>
      <c r="W671" s="1"/>
      <c r="X671" s="1"/>
      <c r="Y671" s="1"/>
    </row>
    <row r="672" spans="18:25" x14ac:dyDescent="0.3">
      <c r="S672" s="1"/>
      <c r="T672" s="1"/>
      <c r="U672" s="1"/>
      <c r="V672" s="1"/>
      <c r="W672" s="1"/>
      <c r="X672" s="1"/>
      <c r="Y672" s="1"/>
    </row>
    <row r="673" spans="19:25" x14ac:dyDescent="0.3">
      <c r="S673" s="1"/>
      <c r="T673" s="1"/>
      <c r="U673" s="1"/>
      <c r="V673" s="1"/>
      <c r="W673" s="1"/>
      <c r="X673" s="1"/>
      <c r="Y673" s="1"/>
    </row>
    <row r="674" spans="19:25" x14ac:dyDescent="0.3">
      <c r="S674" s="1"/>
      <c r="T674" s="1"/>
      <c r="U674" s="1"/>
      <c r="V674" s="1"/>
      <c r="W674" s="1"/>
      <c r="X674" s="1"/>
      <c r="Y674" s="1"/>
    </row>
    <row r="675" spans="19:25" x14ac:dyDescent="0.3">
      <c r="S675" s="1"/>
      <c r="T675" s="1"/>
      <c r="U675" s="1"/>
      <c r="V675" s="1"/>
      <c r="W675" s="1"/>
      <c r="X675" s="1"/>
      <c r="Y675" s="1"/>
    </row>
    <row r="676" spans="19:25" x14ac:dyDescent="0.3">
      <c r="S676" s="1"/>
      <c r="T676" s="1"/>
      <c r="U676" s="1"/>
      <c r="V676" s="1"/>
      <c r="W676" s="1"/>
      <c r="X676" s="1"/>
    </row>
    <row r="677" spans="19:25" x14ac:dyDescent="0.3">
      <c r="S677" s="1"/>
      <c r="T677" s="1"/>
      <c r="U677" s="1"/>
      <c r="V677" s="1"/>
      <c r="W677" s="1"/>
      <c r="X677" s="1"/>
    </row>
    <row r="678" spans="19:25" x14ac:dyDescent="0.3">
      <c r="S678" s="1"/>
      <c r="T678" s="1"/>
      <c r="U678" s="1"/>
      <c r="V678" s="1"/>
      <c r="W678" s="1"/>
      <c r="X678" s="1"/>
    </row>
    <row r="679" spans="19:25" x14ac:dyDescent="0.3">
      <c r="S679" s="1"/>
      <c r="T679" s="1"/>
      <c r="U679" s="1"/>
      <c r="V679" s="1"/>
      <c r="W679" s="1"/>
      <c r="X679" s="1"/>
    </row>
    <row r="680" spans="19:25" x14ac:dyDescent="0.3">
      <c r="S680" s="1"/>
      <c r="T680" s="1"/>
      <c r="U680" s="1"/>
      <c r="V680" s="1"/>
      <c r="W680" s="1"/>
      <c r="X680" s="1"/>
    </row>
    <row r="681" spans="19:25" x14ac:dyDescent="0.3">
      <c r="S681" s="1"/>
      <c r="T681" s="1"/>
      <c r="U681" s="1"/>
      <c r="V681" s="1"/>
      <c r="W681" s="1"/>
      <c r="X681" s="1"/>
    </row>
    <row r="682" spans="19:25" x14ac:dyDescent="0.3">
      <c r="S682" s="1"/>
      <c r="T682" s="1"/>
      <c r="U682" s="1"/>
      <c r="V682" s="1"/>
      <c r="W682" s="1"/>
      <c r="X682" s="1"/>
    </row>
    <row r="683" spans="19:25" x14ac:dyDescent="0.3">
      <c r="S683" s="1"/>
      <c r="T683" s="1"/>
      <c r="U683" s="1"/>
      <c r="V683" s="1"/>
      <c r="W683" s="1"/>
      <c r="X683" s="1"/>
    </row>
    <row r="687" spans="19:25" x14ac:dyDescent="0.3">
      <c r="Y687" s="1"/>
    </row>
    <row r="688" spans="19:25" x14ac:dyDescent="0.3">
      <c r="Y688" s="1"/>
    </row>
    <row r="689" spans="17:26" x14ac:dyDescent="0.3">
      <c r="Y689" s="1"/>
    </row>
    <row r="690" spans="17:26" x14ac:dyDescent="0.3">
      <c r="Y690" s="1"/>
    </row>
    <row r="691" spans="17:26" x14ac:dyDescent="0.3">
      <c r="Y691" s="1"/>
    </row>
    <row r="692" spans="17:26" x14ac:dyDescent="0.3">
      <c r="Y692" s="1"/>
    </row>
    <row r="693" spans="17:26" x14ac:dyDescent="0.3">
      <c r="Y693" s="2"/>
    </row>
    <row r="694" spans="17:26" ht="15" thickBot="1" x14ac:dyDescent="0.35">
      <c r="R694" s="14" t="s">
        <v>313</v>
      </c>
    </row>
    <row r="695" spans="17:26" x14ac:dyDescent="0.3">
      <c r="R695" s="711" t="s">
        <v>15</v>
      </c>
      <c r="S695" s="5"/>
      <c r="T695" s="5"/>
      <c r="U695" s="5"/>
      <c r="V695" s="5"/>
      <c r="W695" s="5"/>
      <c r="X695" s="6">
        <v>1.2</v>
      </c>
    </row>
    <row r="696" spans="17:26" x14ac:dyDescent="0.3">
      <c r="R696" s="712"/>
      <c r="S696" s="37"/>
      <c r="T696" s="37"/>
      <c r="U696" s="37">
        <v>1.5</v>
      </c>
      <c r="V696" s="2">
        <v>1.41</v>
      </c>
      <c r="W696" s="2"/>
      <c r="X696" s="38">
        <v>1.4</v>
      </c>
    </row>
    <row r="697" spans="17:26" ht="15" thickBot="1" x14ac:dyDescent="0.35">
      <c r="R697" s="265" t="s">
        <v>16</v>
      </c>
      <c r="S697" s="8">
        <v>0</v>
      </c>
      <c r="T697" s="8">
        <v>0.2</v>
      </c>
      <c r="U697" s="9">
        <v>0.3</v>
      </c>
      <c r="V697" s="9">
        <v>0.69</v>
      </c>
      <c r="W697" s="10">
        <v>0.7</v>
      </c>
      <c r="X697" s="11">
        <v>1</v>
      </c>
    </row>
    <row r="699" spans="17:26" x14ac:dyDescent="0.3">
      <c r="R699" s="13"/>
      <c r="S699" s="135" t="s">
        <v>171</v>
      </c>
      <c r="T699" s="135"/>
    </row>
    <row r="700" spans="17:26" x14ac:dyDescent="0.3">
      <c r="R700" s="107" t="s">
        <v>110</v>
      </c>
      <c r="S700" s="13">
        <v>-4.3333000000000004</v>
      </c>
      <c r="T700" s="13"/>
      <c r="Z700" s="214"/>
    </row>
    <row r="701" spans="17:26" x14ac:dyDescent="0.3">
      <c r="Q701" s="214"/>
      <c r="R701" s="107" t="s">
        <v>111</v>
      </c>
      <c r="S701" s="13">
        <v>6.8</v>
      </c>
      <c r="T701" s="13"/>
      <c r="Z701" s="214"/>
    </row>
    <row r="702" spans="17:26" x14ac:dyDescent="0.3">
      <c r="Q702" s="214"/>
      <c r="R702" s="101"/>
      <c r="S702" s="13"/>
      <c r="T702" s="13"/>
      <c r="Z702" s="266"/>
    </row>
    <row r="703" spans="17:26" x14ac:dyDescent="0.3">
      <c r="Q703" s="214"/>
      <c r="R703" s="13"/>
      <c r="S703" s="13"/>
      <c r="T703" s="74"/>
      <c r="Z703" s="266"/>
    </row>
    <row r="704" spans="17:26" x14ac:dyDescent="0.3">
      <c r="Q704" s="214"/>
      <c r="R704" s="13"/>
      <c r="S704" s="13"/>
      <c r="T704" s="13"/>
      <c r="Z704" s="214"/>
    </row>
    <row r="705" spans="17:26" x14ac:dyDescent="0.3">
      <c r="Q705" s="214"/>
      <c r="S705" s="1"/>
      <c r="Z705" s="214"/>
    </row>
    <row r="706" spans="17:26" x14ac:dyDescent="0.3">
      <c r="Q706" s="214"/>
      <c r="Z706" s="214"/>
    </row>
    <row r="707" spans="17:26" x14ac:dyDescent="0.3">
      <c r="Q707" s="214"/>
      <c r="Z707" s="214"/>
    </row>
    <row r="708" spans="17:26" x14ac:dyDescent="0.3">
      <c r="Q708" s="214"/>
      <c r="Z708" s="266"/>
    </row>
    <row r="709" spans="17:26" x14ac:dyDescent="0.3">
      <c r="Q709" s="214"/>
      <c r="Z709" s="266"/>
    </row>
    <row r="710" spans="17:26" x14ac:dyDescent="0.3">
      <c r="Q710" s="214"/>
      <c r="Z710" s="214"/>
    </row>
    <row r="711" spans="17:26" x14ac:dyDescent="0.3">
      <c r="Q711" s="266"/>
      <c r="Z711" s="214"/>
    </row>
    <row r="712" spans="17:26" x14ac:dyDescent="0.3">
      <c r="Q712" s="266"/>
      <c r="Z712" s="214"/>
    </row>
    <row r="713" spans="17:26" x14ac:dyDescent="0.3">
      <c r="Q713" s="214"/>
      <c r="Z713" s="214"/>
    </row>
    <row r="714" spans="17:26" x14ac:dyDescent="0.3">
      <c r="Q714" s="214"/>
      <c r="Z714" s="266"/>
    </row>
    <row r="715" spans="17:26" x14ac:dyDescent="0.3">
      <c r="Q715" s="214"/>
      <c r="Z715" s="266"/>
    </row>
    <row r="716" spans="17:26" x14ac:dyDescent="0.3">
      <c r="Z716" s="214"/>
    </row>
    <row r="717" spans="17:26" x14ac:dyDescent="0.3">
      <c r="Q717" s="214"/>
      <c r="Z717" s="214"/>
    </row>
    <row r="718" spans="17:26" x14ac:dyDescent="0.3">
      <c r="Q718" s="214"/>
      <c r="Z718" s="214"/>
    </row>
    <row r="719" spans="17:26" x14ac:dyDescent="0.3">
      <c r="Q719" s="214"/>
      <c r="Z719" s="214"/>
    </row>
    <row r="720" spans="17:26" x14ac:dyDescent="0.3">
      <c r="Q720" s="214"/>
      <c r="Z720" s="214"/>
    </row>
    <row r="721" spans="17:26" x14ac:dyDescent="0.3">
      <c r="Q721" s="214"/>
      <c r="Z721" s="214"/>
    </row>
    <row r="722" spans="17:26" x14ac:dyDescent="0.3">
      <c r="Q722" s="214"/>
      <c r="Z722" s="214"/>
    </row>
    <row r="723" spans="17:26" x14ac:dyDescent="0.3">
      <c r="Z723" s="214"/>
    </row>
    <row r="724" spans="17:26" ht="15" thickBot="1" x14ac:dyDescent="0.35">
      <c r="R724" s="14" t="s">
        <v>314</v>
      </c>
      <c r="Z724" s="214"/>
    </row>
    <row r="725" spans="17:26" x14ac:dyDescent="0.3">
      <c r="R725" s="5" t="s">
        <v>15</v>
      </c>
      <c r="S725" s="5"/>
      <c r="T725" s="5"/>
      <c r="U725" s="5"/>
      <c r="V725" s="5"/>
      <c r="W725" s="5">
        <v>1.1499999999999999</v>
      </c>
      <c r="X725" s="6">
        <v>1.4</v>
      </c>
      <c r="Z725" s="214"/>
    </row>
    <row r="726" spans="17:26" ht="15" thickBot="1" x14ac:dyDescent="0.35">
      <c r="R726" s="265" t="s">
        <v>16</v>
      </c>
      <c r="S726" s="8">
        <v>0</v>
      </c>
      <c r="T726" s="8">
        <v>0.28999999999999998</v>
      </c>
      <c r="U726" s="9">
        <v>0.3</v>
      </c>
      <c r="V726" s="9">
        <v>0.69</v>
      </c>
      <c r="W726" s="10">
        <v>0.7</v>
      </c>
      <c r="X726" s="11">
        <v>1</v>
      </c>
      <c r="Z726" s="214"/>
    </row>
    <row r="727" spans="17:26" x14ac:dyDescent="0.3">
      <c r="Z727" s="214"/>
    </row>
    <row r="728" spans="17:26" x14ac:dyDescent="0.3">
      <c r="R728" s="13"/>
      <c r="S728" s="135" t="s">
        <v>171</v>
      </c>
      <c r="T728" s="135"/>
    </row>
    <row r="729" spans="17:26" x14ac:dyDescent="0.3">
      <c r="R729" s="107" t="s">
        <v>110</v>
      </c>
      <c r="S729" s="13">
        <v>1.2</v>
      </c>
      <c r="T729" s="13"/>
    </row>
    <row r="730" spans="17:26" x14ac:dyDescent="0.3">
      <c r="R730" s="107" t="s">
        <v>111</v>
      </c>
      <c r="S730" s="13">
        <v>-0.68</v>
      </c>
      <c r="T730" s="13"/>
    </row>
    <row r="731" spans="17:26" x14ac:dyDescent="0.3">
      <c r="R731" s="13"/>
      <c r="S731" s="13"/>
      <c r="T731" s="74"/>
      <c r="Z731" s="214"/>
    </row>
    <row r="732" spans="17:26" x14ac:dyDescent="0.3">
      <c r="S732" s="1"/>
      <c r="T732" s="1"/>
      <c r="U732" s="1"/>
      <c r="V732" s="1"/>
      <c r="W732" s="1"/>
      <c r="X732" s="1"/>
      <c r="Z732" s="214"/>
    </row>
    <row r="733" spans="17:26" x14ac:dyDescent="0.3">
      <c r="S733" s="1"/>
      <c r="T733" s="1"/>
      <c r="U733" s="1"/>
      <c r="V733" s="1"/>
      <c r="W733" s="1"/>
      <c r="X733" s="1"/>
    </row>
    <row r="734" spans="17:26" x14ac:dyDescent="0.3">
      <c r="S734" s="1"/>
      <c r="T734" s="1"/>
      <c r="U734" s="1"/>
      <c r="V734" s="1"/>
      <c r="W734" s="1"/>
      <c r="X734" s="1"/>
      <c r="Z734" s="214"/>
    </row>
    <row r="735" spans="17:26" x14ac:dyDescent="0.3">
      <c r="S735" s="1"/>
      <c r="T735" s="1"/>
      <c r="U735" s="1"/>
      <c r="V735" s="1"/>
      <c r="W735" s="1"/>
      <c r="X735" s="1"/>
      <c r="Z735" s="214"/>
    </row>
    <row r="736" spans="17:26" x14ac:dyDescent="0.3">
      <c r="S736" s="1"/>
      <c r="T736" s="1"/>
      <c r="U736" s="1"/>
      <c r="V736" s="1"/>
      <c r="W736" s="1"/>
      <c r="X736" s="1"/>
    </row>
    <row r="737" spans="19:24" x14ac:dyDescent="0.3">
      <c r="S737" s="1"/>
      <c r="T737" s="1"/>
      <c r="U737" s="1"/>
      <c r="V737" s="1"/>
      <c r="W737" s="1"/>
      <c r="X737" s="1"/>
    </row>
    <row r="738" spans="19:24" x14ac:dyDescent="0.3">
      <c r="S738" s="1"/>
      <c r="T738" s="1"/>
      <c r="U738" s="1"/>
      <c r="V738" s="1"/>
      <c r="W738" s="1"/>
      <c r="X738" s="1"/>
    </row>
    <row r="739" spans="19:24" x14ac:dyDescent="0.3">
      <c r="S739" s="1"/>
      <c r="T739" s="1"/>
      <c r="U739" s="1"/>
      <c r="V739" s="1"/>
      <c r="W739" s="1"/>
      <c r="X739" s="1"/>
    </row>
    <row r="740" spans="19:24" x14ac:dyDescent="0.3">
      <c r="S740" s="1"/>
      <c r="T740" s="1"/>
      <c r="U740" s="1"/>
      <c r="V740" s="1"/>
      <c r="W740" s="1"/>
      <c r="X740" s="1"/>
    </row>
    <row r="741" spans="19:24" x14ac:dyDescent="0.3">
      <c r="S741" s="1"/>
      <c r="T741" s="1"/>
      <c r="U741" s="1"/>
      <c r="V741" s="1"/>
      <c r="W741" s="1"/>
      <c r="X741" s="1"/>
    </row>
    <row r="742" spans="19:24" x14ac:dyDescent="0.3">
      <c r="S742" s="1"/>
      <c r="T742" s="1"/>
      <c r="U742" s="1"/>
      <c r="V742" s="1"/>
      <c r="W742" s="1"/>
      <c r="X742" s="1"/>
    </row>
    <row r="743" spans="19:24" x14ac:dyDescent="0.3">
      <c r="S743" s="1"/>
      <c r="T743" s="1"/>
      <c r="U743" s="1"/>
      <c r="V743" s="1"/>
      <c r="W743" s="1"/>
      <c r="X743" s="1"/>
    </row>
    <row r="744" spans="19:24" x14ac:dyDescent="0.3">
      <c r="S744" s="1"/>
      <c r="T744" s="1"/>
      <c r="U744" s="1"/>
      <c r="V744" s="1"/>
      <c r="W744" s="1"/>
      <c r="X744" s="1"/>
    </row>
    <row r="745" spans="19:24" x14ac:dyDescent="0.3">
      <c r="S745" s="1"/>
      <c r="T745" s="1"/>
      <c r="U745" s="1"/>
      <c r="V745" s="1"/>
      <c r="W745" s="1"/>
      <c r="X745" s="1"/>
    </row>
    <row r="755" spans="18:24" ht="15" thickBot="1" x14ac:dyDescent="0.35">
      <c r="R755" s="14" t="s">
        <v>315</v>
      </c>
    </row>
    <row r="756" spans="18:24" x14ac:dyDescent="0.3">
      <c r="R756" s="5" t="s">
        <v>15</v>
      </c>
      <c r="S756" s="5"/>
      <c r="T756" s="5"/>
      <c r="U756" s="5">
        <v>1.3</v>
      </c>
      <c r="V756" s="5">
        <v>1.21</v>
      </c>
      <c r="W756" s="5"/>
      <c r="X756" s="6"/>
    </row>
    <row r="757" spans="18:24" ht="15" thickBot="1" x14ac:dyDescent="0.35">
      <c r="R757" s="265" t="s">
        <v>16</v>
      </c>
      <c r="S757" s="8">
        <v>0</v>
      </c>
      <c r="T757" s="8">
        <v>0.28999999999999998</v>
      </c>
      <c r="U757" s="9">
        <v>0.3</v>
      </c>
      <c r="V757" s="9">
        <v>0.69</v>
      </c>
      <c r="W757" s="10">
        <v>0.7</v>
      </c>
      <c r="X757" s="11">
        <v>1</v>
      </c>
    </row>
    <row r="759" spans="18:24" x14ac:dyDescent="0.3">
      <c r="R759" s="13"/>
      <c r="S759" s="135" t="s">
        <v>171</v>
      </c>
      <c r="T759" s="135"/>
    </row>
    <row r="760" spans="18:24" x14ac:dyDescent="0.3">
      <c r="R760" s="228" t="s">
        <v>110</v>
      </c>
      <c r="S760" s="13">
        <v>-4.3330000000000002</v>
      </c>
      <c r="T760" s="13"/>
    </row>
    <row r="761" spans="18:24" x14ac:dyDescent="0.3">
      <c r="R761" s="228" t="s">
        <v>111</v>
      </c>
      <c r="S761" s="13">
        <v>5.9333</v>
      </c>
      <c r="T761" s="13"/>
    </row>
    <row r="762" spans="18:24" x14ac:dyDescent="0.3">
      <c r="R762" s="13"/>
      <c r="S762" s="13"/>
      <c r="T762" s="74"/>
    </row>
    <row r="763" spans="18:24" x14ac:dyDescent="0.3">
      <c r="S763" s="1"/>
      <c r="T763" s="1"/>
      <c r="U763" s="1"/>
      <c r="V763" s="1"/>
      <c r="W763" s="1"/>
      <c r="X763" s="1"/>
    </row>
    <row r="764" spans="18:24" x14ac:dyDescent="0.3">
      <c r="S764" s="1"/>
      <c r="T764" s="1"/>
      <c r="U764" s="1"/>
      <c r="V764" s="1"/>
      <c r="W764" s="1"/>
      <c r="X764" s="1"/>
    </row>
    <row r="765" spans="18:24" x14ac:dyDescent="0.3">
      <c r="S765" s="1"/>
      <c r="T765" s="1"/>
      <c r="U765" s="1"/>
      <c r="V765" s="1"/>
      <c r="W765" s="1"/>
      <c r="X765" s="1"/>
    </row>
    <row r="766" spans="18:24" x14ac:dyDescent="0.3">
      <c r="S766" s="1"/>
      <c r="T766" s="1"/>
      <c r="U766" s="1"/>
      <c r="V766" s="1"/>
      <c r="W766" s="1"/>
      <c r="X766" s="1"/>
    </row>
    <row r="767" spans="18:24" x14ac:dyDescent="0.3">
      <c r="S767" s="1"/>
      <c r="T767" s="1"/>
      <c r="U767" s="1"/>
      <c r="V767" s="1"/>
      <c r="W767" s="1"/>
      <c r="X767" s="1"/>
    </row>
    <row r="768" spans="18:24" x14ac:dyDescent="0.3">
      <c r="S768" s="1"/>
      <c r="T768" s="1"/>
      <c r="U768" s="1"/>
      <c r="V768" s="1"/>
      <c r="W768" s="1"/>
      <c r="X768" s="1"/>
    </row>
    <row r="769" spans="19:24" x14ac:dyDescent="0.3">
      <c r="S769" s="1"/>
      <c r="T769" s="1"/>
      <c r="U769" s="1"/>
      <c r="V769" s="1"/>
      <c r="W769" s="1"/>
      <c r="X769" s="1"/>
    </row>
    <row r="770" spans="19:24" x14ac:dyDescent="0.3">
      <c r="S770" s="1"/>
      <c r="T770" s="1"/>
      <c r="U770" s="1"/>
      <c r="V770" s="1"/>
      <c r="W770" s="1"/>
      <c r="X770" s="1"/>
    </row>
    <row r="771" spans="19:24" x14ac:dyDescent="0.3">
      <c r="S771" s="1"/>
      <c r="T771" s="1"/>
      <c r="U771" s="1"/>
      <c r="V771" s="1"/>
      <c r="W771" s="1"/>
      <c r="X771" s="1"/>
    </row>
    <row r="772" spans="19:24" x14ac:dyDescent="0.3">
      <c r="S772" s="1"/>
      <c r="T772" s="1"/>
      <c r="U772" s="1"/>
      <c r="V772" s="1"/>
      <c r="W772" s="1"/>
      <c r="X772" s="1"/>
    </row>
    <row r="773" spans="19:24" x14ac:dyDescent="0.3">
      <c r="S773" s="1"/>
      <c r="T773" s="1"/>
      <c r="U773" s="1"/>
      <c r="V773" s="1"/>
      <c r="W773" s="1"/>
      <c r="X773" s="1"/>
    </row>
    <row r="774" spans="19:24" x14ac:dyDescent="0.3">
      <c r="S774" s="1"/>
      <c r="T774" s="1"/>
      <c r="U774" s="1"/>
      <c r="V774" s="1"/>
      <c r="W774" s="1"/>
      <c r="X774" s="1"/>
    </row>
    <row r="775" spans="19:24" x14ac:dyDescent="0.3">
      <c r="S775" s="1"/>
      <c r="T775" s="1"/>
      <c r="U775" s="1"/>
      <c r="V775" s="1"/>
      <c r="W775" s="1"/>
      <c r="X775" s="1"/>
    </row>
    <row r="776" spans="19:24" x14ac:dyDescent="0.3">
      <c r="S776" s="1"/>
      <c r="T776" s="1"/>
      <c r="U776" s="1"/>
      <c r="V776" s="1"/>
      <c r="W776" s="1"/>
      <c r="X776" s="1"/>
    </row>
    <row r="942" spans="26:26" x14ac:dyDescent="0.3">
      <c r="Z942" s="214"/>
    </row>
    <row r="943" spans="26:26" x14ac:dyDescent="0.3">
      <c r="Z943" s="214"/>
    </row>
    <row r="944" spans="26:26" x14ac:dyDescent="0.3">
      <c r="Z944" s="214"/>
    </row>
    <row r="945" spans="26:26" x14ac:dyDescent="0.3">
      <c r="Z945" s="214"/>
    </row>
    <row r="946" spans="26:26" x14ac:dyDescent="0.3">
      <c r="Z946" s="214"/>
    </row>
    <row r="947" spans="26:26" x14ac:dyDescent="0.3">
      <c r="Z947" s="214"/>
    </row>
    <row r="948" spans="26:26" x14ac:dyDescent="0.3">
      <c r="Z948" s="214"/>
    </row>
    <row r="949" spans="26:26" x14ac:dyDescent="0.3">
      <c r="Z949" s="214"/>
    </row>
    <row r="950" spans="26:26" x14ac:dyDescent="0.3">
      <c r="Z950" s="214"/>
    </row>
    <row r="951" spans="26:26" x14ac:dyDescent="0.3">
      <c r="Z951" s="214"/>
    </row>
    <row r="952" spans="26:26" x14ac:dyDescent="0.3">
      <c r="Z952" s="214"/>
    </row>
    <row r="953" spans="26:26" x14ac:dyDescent="0.3">
      <c r="Z953" s="214"/>
    </row>
    <row r="954" spans="26:26" x14ac:dyDescent="0.3">
      <c r="Z954" s="214"/>
    </row>
  </sheetData>
  <sheetProtection password="9A90" sheet="1" objects="1" scenarios="1" selectLockedCells="1" selectUnlockedCells="1"/>
  <mergeCells count="38">
    <mergeCell ref="R595:R596"/>
    <mergeCell ref="B5:H6"/>
    <mergeCell ref="J5:P6"/>
    <mergeCell ref="K47:L47"/>
    <mergeCell ref="R5:Y6"/>
    <mergeCell ref="K82:L82"/>
    <mergeCell ref="R392:R393"/>
    <mergeCell ref="R253:R254"/>
    <mergeCell ref="C13:D13"/>
    <mergeCell ref="S15:T15"/>
    <mergeCell ref="U15:V15"/>
    <mergeCell ref="S51:T51"/>
    <mergeCell ref="U51:V51"/>
    <mergeCell ref="R291:R292"/>
    <mergeCell ref="AK5:AQ6"/>
    <mergeCell ref="AB51:AE51"/>
    <mergeCell ref="AA5:AH6"/>
    <mergeCell ref="R695:R696"/>
    <mergeCell ref="R492:R493"/>
    <mergeCell ref="R527:R528"/>
    <mergeCell ref="R662:R663"/>
    <mergeCell ref="R561:R562"/>
    <mergeCell ref="AE88:AF88"/>
    <mergeCell ref="AG88:AH88"/>
    <mergeCell ref="AD124:AE124"/>
    <mergeCell ref="AF124:AG124"/>
    <mergeCell ref="AF303:AI303"/>
    <mergeCell ref="AF160:AI160"/>
    <mergeCell ref="AF266:AI266"/>
    <mergeCell ref="AD194:AE194"/>
    <mergeCell ref="AF573:AG573"/>
    <mergeCell ref="AH573:AJ573"/>
    <mergeCell ref="AC573:AD573"/>
    <mergeCell ref="AF423:AI423"/>
    <mergeCell ref="AF461:AH461"/>
    <mergeCell ref="AE498:AF498"/>
    <mergeCell ref="AC498:AD498"/>
    <mergeCell ref="AF535:AI535"/>
  </mergeCells>
  <printOptions gridLines="1"/>
  <pageMargins left="0.7" right="0.7" top="0.75" bottom="0.75" header="0.3" footer="0.3"/>
  <pageSetup fitToWidth="3" fitToHeight="0" orientation="portrait" r:id="rId1"/>
  <headerFooter>
    <oddHeader>&amp;C&amp;"-,Bold"TN SQT v1.0
Reference Standards Not Formatted to Print</oddHeader>
  </headerFooter>
  <rowBreaks count="5" manualBreakCount="5">
    <brk id="166" max="16383" man="1"/>
    <brk id="210" max="16383" man="1"/>
    <brk id="361" max="16383" man="1"/>
    <brk id="518" max="16383" man="1"/>
    <brk id="677" max="16383" man="1"/>
  </rowBreaks>
  <colBreaks count="2" manualBreakCount="2">
    <brk id="16" max="1048575" man="1"/>
    <brk id="3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view="pageBreakPreview" zoomScale="50" zoomScaleNormal="80" zoomScaleSheetLayoutView="50" zoomScalePageLayoutView="70" workbookViewId="0">
      <selection activeCell="A3" sqref="A3:D7"/>
    </sheetView>
  </sheetViews>
  <sheetFormatPr defaultColWidth="9.109375" defaultRowHeight="13.2" x14ac:dyDescent="0.25"/>
  <cols>
    <col min="1" max="2" width="3.6640625" style="25" customWidth="1"/>
    <col min="3" max="3" width="41.33203125" style="25" customWidth="1"/>
    <col min="4" max="6" width="46.33203125" style="25" customWidth="1"/>
    <col min="7" max="7" width="10.5546875" style="25" customWidth="1"/>
    <col min="8" max="8" width="3.6640625" style="25" customWidth="1"/>
    <col min="9" max="16384" width="9.109375" style="25"/>
  </cols>
  <sheetData>
    <row r="1" spans="1:8" ht="30.75" customHeight="1" thickBot="1" x14ac:dyDescent="0.45">
      <c r="A1" s="467" t="s">
        <v>299</v>
      </c>
      <c r="B1" s="468"/>
      <c r="C1" s="468"/>
      <c r="D1" s="468"/>
      <c r="E1" s="468"/>
      <c r="F1" s="468"/>
      <c r="G1" s="468"/>
      <c r="H1" s="469"/>
    </row>
    <row r="2" spans="1:8" ht="34.5" customHeight="1" thickBot="1" x14ac:dyDescent="0.3">
      <c r="A2" s="488" t="s">
        <v>389</v>
      </c>
      <c r="B2" s="489"/>
      <c r="C2" s="490"/>
      <c r="D2" s="392" t="s">
        <v>432</v>
      </c>
      <c r="E2" s="393" t="s">
        <v>507</v>
      </c>
      <c r="F2" s="394"/>
      <c r="G2" s="394"/>
      <c r="H2" s="395"/>
    </row>
    <row r="3" spans="1:8" ht="21" customHeight="1" thickBot="1" x14ac:dyDescent="0.3">
      <c r="A3" s="722" t="s">
        <v>511</v>
      </c>
      <c r="B3" s="493"/>
      <c r="C3" s="493"/>
      <c r="D3" s="494"/>
      <c r="E3" s="470" t="s">
        <v>508</v>
      </c>
      <c r="F3" s="471"/>
      <c r="G3" s="471"/>
      <c r="H3" s="472"/>
    </row>
    <row r="4" spans="1:8" ht="30" customHeight="1" x14ac:dyDescent="0.25">
      <c r="A4" s="495"/>
      <c r="B4" s="496"/>
      <c r="C4" s="496"/>
      <c r="D4" s="497"/>
      <c r="E4" s="473" t="s">
        <v>424</v>
      </c>
      <c r="F4" s="474"/>
      <c r="G4" s="474"/>
      <c r="H4" s="475"/>
    </row>
    <row r="5" spans="1:8" ht="30" customHeight="1" x14ac:dyDescent="0.25">
      <c r="A5" s="495"/>
      <c r="B5" s="496"/>
      <c r="C5" s="496"/>
      <c r="D5" s="497"/>
      <c r="E5" s="476"/>
      <c r="F5" s="477"/>
      <c r="G5" s="477"/>
      <c r="H5" s="478"/>
    </row>
    <row r="6" spans="1:8" ht="30" customHeight="1" x14ac:dyDescent="0.25">
      <c r="A6" s="495"/>
      <c r="B6" s="496"/>
      <c r="C6" s="496"/>
      <c r="D6" s="497"/>
      <c r="E6" s="476"/>
      <c r="F6" s="477"/>
      <c r="G6" s="477"/>
      <c r="H6" s="478"/>
    </row>
    <row r="7" spans="1:8" ht="30" customHeight="1" thickBot="1" x14ac:dyDescent="0.3">
      <c r="A7" s="498"/>
      <c r="B7" s="499"/>
      <c r="C7" s="499"/>
      <c r="D7" s="500"/>
      <c r="E7" s="479"/>
      <c r="F7" s="480"/>
      <c r="G7" s="480"/>
      <c r="H7" s="481"/>
    </row>
    <row r="8" spans="1:8" ht="25.2" customHeight="1" x14ac:dyDescent="0.25">
      <c r="A8" s="491" t="s">
        <v>300</v>
      </c>
      <c r="B8" s="492"/>
      <c r="C8" s="492"/>
      <c r="D8" s="492"/>
      <c r="E8" s="492"/>
      <c r="F8" s="492"/>
      <c r="G8" s="357"/>
      <c r="H8" s="358"/>
    </row>
    <row r="9" spans="1:8" ht="15.75" customHeight="1" x14ac:dyDescent="0.25">
      <c r="A9" s="22"/>
      <c r="B9" s="482" t="s">
        <v>68</v>
      </c>
      <c r="C9" s="483"/>
      <c r="D9" s="501" t="s">
        <v>301</v>
      </c>
      <c r="E9" s="502"/>
      <c r="F9" s="503"/>
      <c r="G9" s="486" t="s">
        <v>123</v>
      </c>
      <c r="H9" s="23"/>
    </row>
    <row r="10" spans="1:8" ht="16.2" thickBot="1" x14ac:dyDescent="0.3">
      <c r="A10" s="22"/>
      <c r="B10" s="484"/>
      <c r="C10" s="485"/>
      <c r="D10" s="34" t="s">
        <v>120</v>
      </c>
      <c r="E10" s="34" t="s">
        <v>121</v>
      </c>
      <c r="F10" s="280" t="s">
        <v>122</v>
      </c>
      <c r="G10" s="487"/>
      <c r="H10" s="23"/>
    </row>
    <row r="11" spans="1:8" ht="23.4" customHeight="1" thickBot="1" x14ac:dyDescent="0.3">
      <c r="A11" s="26"/>
      <c r="B11" s="231">
        <v>1</v>
      </c>
      <c r="C11" s="35" t="s">
        <v>302</v>
      </c>
      <c r="D11" s="28" t="s">
        <v>303</v>
      </c>
      <c r="E11" s="28" t="s">
        <v>304</v>
      </c>
      <c r="F11" s="29" t="s">
        <v>129</v>
      </c>
      <c r="G11" s="396" t="s">
        <v>509</v>
      </c>
      <c r="H11" s="27"/>
    </row>
    <row r="12" spans="1:8" ht="40.200000000000003" thickBot="1" x14ac:dyDescent="0.3">
      <c r="A12" s="26"/>
      <c r="B12" s="231">
        <v>2</v>
      </c>
      <c r="C12" s="35" t="s">
        <v>305</v>
      </c>
      <c r="D12" s="281" t="s">
        <v>406</v>
      </c>
      <c r="E12" s="281" t="s">
        <v>407</v>
      </c>
      <c r="F12" s="282" t="s">
        <v>408</v>
      </c>
      <c r="G12" s="397" t="s">
        <v>509</v>
      </c>
      <c r="H12" s="27"/>
    </row>
    <row r="13" spans="1:8" ht="66.599999999999994" thickBot="1" x14ac:dyDescent="0.3">
      <c r="A13" s="26"/>
      <c r="B13" s="231">
        <v>3</v>
      </c>
      <c r="C13" s="35" t="s">
        <v>306</v>
      </c>
      <c r="D13" s="281" t="s">
        <v>361</v>
      </c>
      <c r="E13" s="281" t="s">
        <v>360</v>
      </c>
      <c r="F13" s="282" t="s">
        <v>409</v>
      </c>
      <c r="G13" s="396" t="s">
        <v>510</v>
      </c>
      <c r="H13" s="27"/>
    </row>
    <row r="14" spans="1:8" ht="22.2" customHeight="1" thickBot="1" x14ac:dyDescent="0.3">
      <c r="A14" s="26"/>
      <c r="B14" s="231">
        <v>4</v>
      </c>
      <c r="C14" s="35" t="s">
        <v>426</v>
      </c>
      <c r="D14" s="28" t="s">
        <v>326</v>
      </c>
      <c r="E14" s="28" t="s">
        <v>328</v>
      </c>
      <c r="F14" s="29" t="s">
        <v>327</v>
      </c>
      <c r="G14" s="397" t="s">
        <v>83</v>
      </c>
      <c r="H14" s="27"/>
    </row>
    <row r="15" spans="1:8" ht="79.8" thickBot="1" x14ac:dyDescent="0.3">
      <c r="A15" s="26"/>
      <c r="B15" s="231">
        <v>5</v>
      </c>
      <c r="C15" s="35" t="s">
        <v>425</v>
      </c>
      <c r="D15" s="28" t="s">
        <v>483</v>
      </c>
      <c r="E15" s="28" t="s">
        <v>410</v>
      </c>
      <c r="F15" s="29" t="s">
        <v>484</v>
      </c>
      <c r="G15" s="396" t="s">
        <v>509</v>
      </c>
      <c r="H15" s="27"/>
    </row>
    <row r="16" spans="1:8" ht="32.4" customHeight="1" thickBot="1" x14ac:dyDescent="0.3">
      <c r="A16" s="26"/>
      <c r="B16" s="278">
        <v>6</v>
      </c>
      <c r="C16" s="230" t="s">
        <v>307</v>
      </c>
      <c r="D16" s="28" t="s">
        <v>480</v>
      </c>
      <c r="E16" s="28" t="s">
        <v>481</v>
      </c>
      <c r="F16" s="28" t="s">
        <v>482</v>
      </c>
      <c r="G16" s="398" t="s">
        <v>510</v>
      </c>
      <c r="H16" s="27"/>
    </row>
    <row r="17" spans="1:8" ht="40.200000000000003" thickBot="1" x14ac:dyDescent="0.3">
      <c r="A17" s="26"/>
      <c r="B17" s="231">
        <v>7</v>
      </c>
      <c r="C17" s="35" t="s">
        <v>490</v>
      </c>
      <c r="D17" s="28" t="s">
        <v>478</v>
      </c>
      <c r="E17" s="28" t="s">
        <v>471</v>
      </c>
      <c r="F17" s="29" t="s">
        <v>308</v>
      </c>
      <c r="G17" s="399" t="s">
        <v>506</v>
      </c>
      <c r="H17" s="27"/>
    </row>
    <row r="18" spans="1:8" ht="30.6" customHeight="1" thickBot="1" x14ac:dyDescent="0.3">
      <c r="A18" s="26"/>
      <c r="B18" s="231">
        <v>8</v>
      </c>
      <c r="C18" s="35" t="s">
        <v>346</v>
      </c>
      <c r="D18" s="281" t="s">
        <v>309</v>
      </c>
      <c r="E18" s="281" t="s">
        <v>479</v>
      </c>
      <c r="F18" s="282" t="s">
        <v>472</v>
      </c>
      <c r="G18" s="399" t="s">
        <v>83</v>
      </c>
      <c r="H18" s="27"/>
    </row>
    <row r="19" spans="1:8" s="30" customFormat="1" ht="57.6" customHeight="1" thickBot="1" x14ac:dyDescent="0.3">
      <c r="A19" s="26"/>
      <c r="B19" s="231">
        <v>9</v>
      </c>
      <c r="C19" s="35" t="s">
        <v>429</v>
      </c>
      <c r="D19" s="281" t="s">
        <v>430</v>
      </c>
      <c r="E19" s="281" t="s">
        <v>330</v>
      </c>
      <c r="F19" s="282" t="s">
        <v>310</v>
      </c>
      <c r="G19" s="399" t="s">
        <v>506</v>
      </c>
      <c r="H19" s="27"/>
    </row>
    <row r="20" spans="1:8" ht="48" customHeight="1" thickBot="1" x14ac:dyDescent="0.3">
      <c r="A20" s="26"/>
      <c r="B20" s="231">
        <v>10</v>
      </c>
      <c r="C20" s="35" t="s">
        <v>311</v>
      </c>
      <c r="D20" s="281" t="s">
        <v>477</v>
      </c>
      <c r="E20" s="281" t="s">
        <v>476</v>
      </c>
      <c r="F20" s="281" t="s">
        <v>473</v>
      </c>
      <c r="G20" s="396" t="s">
        <v>84</v>
      </c>
      <c r="H20" s="27"/>
    </row>
    <row r="21" spans="1:8" ht="56.4" customHeight="1" thickBot="1" x14ac:dyDescent="0.3">
      <c r="A21" s="26"/>
      <c r="B21" s="278">
        <v>11</v>
      </c>
      <c r="C21" s="230" t="s">
        <v>428</v>
      </c>
      <c r="D21" s="28" t="s">
        <v>411</v>
      </c>
      <c r="E21" s="28" t="s">
        <v>475</v>
      </c>
      <c r="F21" s="29" t="s">
        <v>474</v>
      </c>
      <c r="G21" s="397" t="s">
        <v>506</v>
      </c>
      <c r="H21" s="27"/>
    </row>
    <row r="22" spans="1:8" ht="31.95" customHeight="1" thickBot="1" x14ac:dyDescent="0.3">
      <c r="A22" s="26"/>
      <c r="B22" s="231">
        <v>12</v>
      </c>
      <c r="C22" s="35" t="s">
        <v>427</v>
      </c>
      <c r="D22" s="281" t="s">
        <v>412</v>
      </c>
      <c r="E22" s="281" t="s">
        <v>413</v>
      </c>
      <c r="F22" s="282" t="s">
        <v>414</v>
      </c>
      <c r="G22" s="397" t="s">
        <v>506</v>
      </c>
      <c r="H22" s="27"/>
    </row>
    <row r="23" spans="1:8" ht="36" customHeight="1" thickBot="1" x14ac:dyDescent="0.3">
      <c r="A23" s="26"/>
      <c r="B23" s="231">
        <v>13</v>
      </c>
      <c r="C23" s="400" t="s">
        <v>72</v>
      </c>
      <c r="D23" s="401"/>
      <c r="E23" s="401"/>
      <c r="F23" s="401"/>
      <c r="G23" s="397"/>
      <c r="H23" s="27"/>
    </row>
    <row r="24" spans="1:8" ht="14.4" thickBot="1" x14ac:dyDescent="0.3">
      <c r="A24" s="31"/>
      <c r="B24" s="24"/>
      <c r="C24" s="32"/>
      <c r="D24" s="32"/>
      <c r="E24" s="32"/>
      <c r="F24" s="32"/>
      <c r="G24" s="32"/>
      <c r="H24" s="33"/>
    </row>
    <row r="25" spans="1:8" ht="13.8" thickTop="1" x14ac:dyDescent="0.25"/>
  </sheetData>
  <sheetProtection password="9A90" sheet="1" objects="1" scenarios="1" selectLockedCells="1"/>
  <mergeCells count="9">
    <mergeCell ref="A1:H1"/>
    <mergeCell ref="E3:H3"/>
    <mergeCell ref="E4:H7"/>
    <mergeCell ref="B9:C10"/>
    <mergeCell ref="G9:G10"/>
    <mergeCell ref="A2:C2"/>
    <mergeCell ref="A8:F8"/>
    <mergeCell ref="A3:D7"/>
    <mergeCell ref="D9:F9"/>
  </mergeCells>
  <dataValidations count="1">
    <dataValidation type="list" allowBlank="1" showInputMessage="1" showErrorMessage="1" sqref="D2">
      <formula1>CatchmentAssessment</formula1>
    </dataValidation>
  </dataValidations>
  <printOptions horizontalCentered="1" verticalCentered="1"/>
  <pageMargins left="0.7" right="0.7" top="0.75" bottom="0.75" header="0.3" footer="0.3"/>
  <pageSetup scale="5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8"/>
  <sheetViews>
    <sheetView topLeftCell="A67" workbookViewId="0">
      <selection activeCell="L102" sqref="L102"/>
    </sheetView>
  </sheetViews>
  <sheetFormatPr defaultRowHeight="14.4" x14ac:dyDescent="0.3"/>
  <cols>
    <col min="1" max="1" width="8.88671875" style="15"/>
    <col min="2" max="2" width="15.5546875" customWidth="1"/>
  </cols>
  <sheetData>
    <row r="1" spans="1:2" s="14" customFormat="1" x14ac:dyDescent="0.3">
      <c r="A1" s="15" t="s">
        <v>139</v>
      </c>
    </row>
    <row r="2" spans="1:2" x14ac:dyDescent="0.3">
      <c r="B2" s="14" t="s">
        <v>22</v>
      </c>
    </row>
    <row r="3" spans="1:2" x14ac:dyDescent="0.3">
      <c r="B3" t="s">
        <v>12</v>
      </c>
    </row>
    <row r="4" spans="1:2" x14ac:dyDescent="0.3">
      <c r="B4" t="s">
        <v>13</v>
      </c>
    </row>
    <row r="5" spans="1:2" x14ac:dyDescent="0.3">
      <c r="B5" t="s">
        <v>10</v>
      </c>
    </row>
    <row r="6" spans="1:2" x14ac:dyDescent="0.3">
      <c r="B6" t="s">
        <v>11</v>
      </c>
    </row>
    <row r="7" spans="1:2" s="14" customFormat="1" x14ac:dyDescent="0.3">
      <c r="A7" s="15"/>
      <c r="B7" s="14" t="s">
        <v>83</v>
      </c>
    </row>
    <row r="8" spans="1:2" s="14" customFormat="1" x14ac:dyDescent="0.3">
      <c r="A8" s="15"/>
      <c r="B8" s="14" t="s">
        <v>84</v>
      </c>
    </row>
    <row r="9" spans="1:2" s="14" customFormat="1" x14ac:dyDescent="0.3">
      <c r="A9" s="15"/>
      <c r="B9" s="14" t="s">
        <v>89</v>
      </c>
    </row>
    <row r="11" spans="1:2" s="14" customFormat="1" x14ac:dyDescent="0.3">
      <c r="A11" s="15" t="s">
        <v>140</v>
      </c>
    </row>
    <row r="12" spans="1:2" x14ac:dyDescent="0.3">
      <c r="B12" t="s">
        <v>364</v>
      </c>
    </row>
    <row r="13" spans="1:2" s="14" customFormat="1" x14ac:dyDescent="0.3">
      <c r="A13" s="15"/>
      <c r="B13" s="14" t="s">
        <v>365</v>
      </c>
    </row>
    <row r="14" spans="1:2" s="14" customFormat="1" x14ac:dyDescent="0.3">
      <c r="A14" s="15"/>
      <c r="B14" s="14" t="s">
        <v>366</v>
      </c>
    </row>
    <row r="15" spans="1:2" s="14" customFormat="1" x14ac:dyDescent="0.3">
      <c r="A15" s="15"/>
      <c r="B15" s="14" t="s">
        <v>24</v>
      </c>
    </row>
    <row r="16" spans="1:2" s="14" customFormat="1" x14ac:dyDescent="0.3">
      <c r="A16" s="15"/>
      <c r="B16" s="14" t="s">
        <v>23</v>
      </c>
    </row>
    <row r="17" spans="1:2" s="14" customFormat="1" x14ac:dyDescent="0.3">
      <c r="A17" s="15"/>
      <c r="B17" s="14" t="s">
        <v>367</v>
      </c>
    </row>
    <row r="18" spans="1:2" s="14" customFormat="1" x14ac:dyDescent="0.3">
      <c r="A18" s="15"/>
    </row>
    <row r="19" spans="1:2" x14ac:dyDescent="0.3">
      <c r="A19" s="15" t="s">
        <v>141</v>
      </c>
    </row>
    <row r="20" spans="1:2" x14ac:dyDescent="0.3">
      <c r="B20" t="s">
        <v>28</v>
      </c>
    </row>
    <row r="21" spans="1:2" x14ac:dyDescent="0.3">
      <c r="B21" t="s">
        <v>29</v>
      </c>
    </row>
    <row r="22" spans="1:2" x14ac:dyDescent="0.3">
      <c r="B22" t="s">
        <v>30</v>
      </c>
    </row>
    <row r="23" spans="1:2" x14ac:dyDescent="0.3">
      <c r="B23" t="s">
        <v>31</v>
      </c>
    </row>
    <row r="24" spans="1:2" x14ac:dyDescent="0.3">
      <c r="B24" t="s">
        <v>32</v>
      </c>
    </row>
    <row r="25" spans="1:2" x14ac:dyDescent="0.3">
      <c r="B25" t="s">
        <v>37</v>
      </c>
    </row>
    <row r="26" spans="1:2" x14ac:dyDescent="0.3">
      <c r="B26" t="s">
        <v>33</v>
      </c>
    </row>
    <row r="27" spans="1:2" x14ac:dyDescent="0.3">
      <c r="B27" t="s">
        <v>34</v>
      </c>
    </row>
    <row r="28" spans="1:2" x14ac:dyDescent="0.3">
      <c r="B28" t="s">
        <v>35</v>
      </c>
    </row>
    <row r="29" spans="1:2" x14ac:dyDescent="0.3">
      <c r="B29" t="s">
        <v>36</v>
      </c>
    </row>
    <row r="30" spans="1:2" s="14" customFormat="1" x14ac:dyDescent="0.3">
      <c r="A30" s="15"/>
      <c r="B30" s="14" t="s">
        <v>92</v>
      </c>
    </row>
    <row r="31" spans="1:2" s="14" customFormat="1" x14ac:dyDescent="0.3">
      <c r="A31" s="15"/>
      <c r="B31" s="14" t="s">
        <v>91</v>
      </c>
    </row>
    <row r="32" spans="1:2" s="14" customFormat="1" x14ac:dyDescent="0.3">
      <c r="A32" s="15"/>
      <c r="B32" s="14" t="s">
        <v>93</v>
      </c>
    </row>
    <row r="33" spans="1:2" x14ac:dyDescent="0.3">
      <c r="B33" t="s">
        <v>38</v>
      </c>
    </row>
    <row r="34" spans="1:2" x14ac:dyDescent="0.3">
      <c r="B34" t="s">
        <v>39</v>
      </c>
    </row>
    <row r="35" spans="1:2" x14ac:dyDescent="0.3">
      <c r="B35" t="s">
        <v>40</v>
      </c>
    </row>
    <row r="36" spans="1:2" s="14" customFormat="1" x14ac:dyDescent="0.3">
      <c r="A36" s="15"/>
      <c r="B36" s="14" t="s">
        <v>94</v>
      </c>
    </row>
    <row r="37" spans="1:2" x14ac:dyDescent="0.3">
      <c r="B37" t="s">
        <v>43</v>
      </c>
    </row>
    <row r="38" spans="1:2" x14ac:dyDescent="0.3">
      <c r="B38" t="s">
        <v>41</v>
      </c>
    </row>
    <row r="39" spans="1:2" s="14" customFormat="1" x14ac:dyDescent="0.3">
      <c r="A39" s="15"/>
      <c r="B39" s="14" t="s">
        <v>95</v>
      </c>
    </row>
    <row r="40" spans="1:2" s="14" customFormat="1" x14ac:dyDescent="0.3">
      <c r="A40" s="15"/>
      <c r="B40" s="14" t="s">
        <v>96</v>
      </c>
    </row>
    <row r="41" spans="1:2" s="14" customFormat="1" x14ac:dyDescent="0.3">
      <c r="A41" s="15"/>
      <c r="B41" s="14" t="s">
        <v>97</v>
      </c>
    </row>
    <row r="42" spans="1:2" s="14" customFormat="1" x14ac:dyDescent="0.3">
      <c r="A42" s="15"/>
      <c r="B42" s="14" t="s">
        <v>47</v>
      </c>
    </row>
    <row r="43" spans="1:2" x14ac:dyDescent="0.3">
      <c r="B43" t="s">
        <v>98</v>
      </c>
    </row>
    <row r="44" spans="1:2" x14ac:dyDescent="0.3">
      <c r="B44" t="s">
        <v>42</v>
      </c>
    </row>
    <row r="45" spans="1:2" s="14" customFormat="1" x14ac:dyDescent="0.3">
      <c r="A45" s="15"/>
      <c r="B45" s="14" t="s">
        <v>99</v>
      </c>
    </row>
    <row r="46" spans="1:2" x14ac:dyDescent="0.3">
      <c r="B46" t="s">
        <v>44</v>
      </c>
    </row>
    <row r="47" spans="1:2" x14ac:dyDescent="0.3">
      <c r="B47" t="s">
        <v>45</v>
      </c>
    </row>
    <row r="48" spans="1:2" x14ac:dyDescent="0.3">
      <c r="B48" t="s">
        <v>46</v>
      </c>
    </row>
    <row r="49" spans="1:2" x14ac:dyDescent="0.3">
      <c r="B49" t="s">
        <v>48</v>
      </c>
    </row>
    <row r="50" spans="1:2" s="14" customFormat="1" x14ac:dyDescent="0.3">
      <c r="A50" s="15"/>
    </row>
    <row r="51" spans="1:2" x14ac:dyDescent="0.3">
      <c r="A51" s="104" t="s">
        <v>142</v>
      </c>
    </row>
    <row r="52" spans="1:2" x14ac:dyDescent="0.3">
      <c r="B52" t="s">
        <v>146</v>
      </c>
    </row>
    <row r="53" spans="1:2" s="14" customFormat="1" x14ac:dyDescent="0.3">
      <c r="A53" s="15"/>
      <c r="B53" s="13" t="s">
        <v>147</v>
      </c>
    </row>
    <row r="54" spans="1:2" s="14" customFormat="1" x14ac:dyDescent="0.3">
      <c r="A54" s="15"/>
      <c r="B54" s="13" t="s">
        <v>278</v>
      </c>
    </row>
    <row r="55" spans="1:2" s="14" customFormat="1" x14ac:dyDescent="0.3">
      <c r="A55" s="15"/>
      <c r="B55" s="13" t="s">
        <v>279</v>
      </c>
    </row>
    <row r="56" spans="1:2" s="14" customFormat="1" x14ac:dyDescent="0.3">
      <c r="A56" s="15"/>
      <c r="B56" s="13" t="s">
        <v>233</v>
      </c>
    </row>
    <row r="57" spans="1:2" s="14" customFormat="1" x14ac:dyDescent="0.3">
      <c r="A57" s="15"/>
      <c r="B57" s="13" t="s">
        <v>231</v>
      </c>
    </row>
    <row r="58" spans="1:2" s="14" customFormat="1" x14ac:dyDescent="0.3">
      <c r="A58" s="15"/>
      <c r="B58" s="13" t="s">
        <v>230</v>
      </c>
    </row>
    <row r="59" spans="1:2" s="14" customFormat="1" x14ac:dyDescent="0.3">
      <c r="A59" s="15"/>
      <c r="B59" s="13" t="s">
        <v>232</v>
      </c>
    </row>
    <row r="60" spans="1:2" s="14" customFormat="1" x14ac:dyDescent="0.3">
      <c r="A60" s="15"/>
      <c r="B60" s="13" t="s">
        <v>235</v>
      </c>
    </row>
    <row r="61" spans="1:2" s="14" customFormat="1" x14ac:dyDescent="0.3">
      <c r="A61" s="15"/>
      <c r="B61" s="13" t="s">
        <v>234</v>
      </c>
    </row>
    <row r="62" spans="1:2" s="14" customFormat="1" x14ac:dyDescent="0.3">
      <c r="A62" s="15"/>
      <c r="B62" s="13" t="s">
        <v>148</v>
      </c>
    </row>
    <row r="63" spans="1:2" s="14" customFormat="1" x14ac:dyDescent="0.3">
      <c r="A63" s="15"/>
      <c r="B63" s="13" t="s">
        <v>149</v>
      </c>
    </row>
    <row r="64" spans="1:2" s="14" customFormat="1" x14ac:dyDescent="0.3">
      <c r="A64" s="15"/>
      <c r="B64" s="13" t="s">
        <v>237</v>
      </c>
    </row>
    <row r="65" spans="1:2" s="14" customFormat="1" x14ac:dyDescent="0.3">
      <c r="A65" s="15"/>
      <c r="B65" s="13" t="s">
        <v>236</v>
      </c>
    </row>
    <row r="66" spans="1:2" x14ac:dyDescent="0.3">
      <c r="B66" s="13" t="s">
        <v>150</v>
      </c>
    </row>
    <row r="67" spans="1:2" s="14" customFormat="1" x14ac:dyDescent="0.3">
      <c r="A67" s="15"/>
      <c r="B67" s="13" t="s">
        <v>151</v>
      </c>
    </row>
    <row r="68" spans="1:2" s="14" customFormat="1" x14ac:dyDescent="0.3">
      <c r="A68" s="15"/>
      <c r="B68" s="13" t="s">
        <v>276</v>
      </c>
    </row>
    <row r="69" spans="1:2" s="14" customFormat="1" x14ac:dyDescent="0.3">
      <c r="A69" s="15"/>
      <c r="B69" s="13" t="s">
        <v>277</v>
      </c>
    </row>
    <row r="70" spans="1:2" s="14" customFormat="1" x14ac:dyDescent="0.3">
      <c r="A70" s="15"/>
      <c r="B70" s="13" t="s">
        <v>238</v>
      </c>
    </row>
    <row r="71" spans="1:2" s="14" customFormat="1" x14ac:dyDescent="0.3">
      <c r="A71" s="15"/>
      <c r="B71" s="13" t="s">
        <v>152</v>
      </c>
    </row>
    <row r="72" spans="1:2" s="14" customFormat="1" x14ac:dyDescent="0.3">
      <c r="A72" s="15"/>
      <c r="B72" s="13" t="s">
        <v>240</v>
      </c>
    </row>
    <row r="73" spans="1:2" s="14" customFormat="1" x14ac:dyDescent="0.3">
      <c r="A73" s="15"/>
      <c r="B73" s="13" t="s">
        <v>239</v>
      </c>
    </row>
    <row r="74" spans="1:2" s="14" customFormat="1" x14ac:dyDescent="0.3">
      <c r="A74" s="15"/>
      <c r="B74" s="13" t="s">
        <v>154</v>
      </c>
    </row>
    <row r="75" spans="1:2" x14ac:dyDescent="0.3">
      <c r="B75" t="s">
        <v>155</v>
      </c>
    </row>
    <row r="77" spans="1:2" x14ac:dyDescent="0.3">
      <c r="A77" s="15" t="s">
        <v>143</v>
      </c>
    </row>
    <row r="78" spans="1:2" x14ac:dyDescent="0.3">
      <c r="B78" t="s">
        <v>61</v>
      </c>
    </row>
    <row r="79" spans="1:2" x14ac:dyDescent="0.3">
      <c r="B79" t="s">
        <v>62</v>
      </c>
    </row>
    <row r="80" spans="1:2" s="14" customFormat="1" x14ac:dyDescent="0.3">
      <c r="A80" s="15"/>
    </row>
    <row r="81" spans="1:2" x14ac:dyDescent="0.3">
      <c r="A81" s="15" t="s">
        <v>73</v>
      </c>
    </row>
    <row r="82" spans="1:2" x14ac:dyDescent="0.3">
      <c r="B82" t="s">
        <v>69</v>
      </c>
    </row>
    <row r="83" spans="1:2" x14ac:dyDescent="0.3">
      <c r="B83" t="s">
        <v>70</v>
      </c>
    </row>
    <row r="84" spans="1:2" x14ac:dyDescent="0.3">
      <c r="B84" t="s">
        <v>71</v>
      </c>
    </row>
    <row r="85" spans="1:2" x14ac:dyDescent="0.3">
      <c r="B85" t="s">
        <v>72</v>
      </c>
    </row>
    <row r="87" spans="1:2" x14ac:dyDescent="0.3">
      <c r="A87" s="15" t="s">
        <v>144</v>
      </c>
    </row>
    <row r="88" spans="1:2" x14ac:dyDescent="0.3">
      <c r="B88" t="s">
        <v>431</v>
      </c>
    </row>
    <row r="89" spans="1:2" x14ac:dyDescent="0.3">
      <c r="B89" t="s">
        <v>432</v>
      </c>
    </row>
    <row r="90" spans="1:2" x14ac:dyDescent="0.3">
      <c r="B90" t="s">
        <v>433</v>
      </c>
    </row>
    <row r="92" spans="1:2" x14ac:dyDescent="0.3">
      <c r="A92" s="15" t="s">
        <v>145</v>
      </c>
    </row>
    <row r="93" spans="1:2" x14ac:dyDescent="0.3">
      <c r="B93" t="s">
        <v>156</v>
      </c>
    </row>
    <row r="94" spans="1:2" x14ac:dyDescent="0.3">
      <c r="B94" t="s">
        <v>157</v>
      </c>
    </row>
    <row r="95" spans="1:2" s="14" customFormat="1" x14ac:dyDescent="0.3">
      <c r="A95" s="15"/>
    </row>
    <row r="96" spans="1:2" x14ac:dyDescent="0.3">
      <c r="A96" s="15" t="s">
        <v>187</v>
      </c>
    </row>
    <row r="97" spans="1:2" x14ac:dyDescent="0.3">
      <c r="B97" t="s">
        <v>188</v>
      </c>
    </row>
    <row r="98" spans="1:2" x14ac:dyDescent="0.3">
      <c r="B98" t="s">
        <v>189</v>
      </c>
    </row>
    <row r="100" spans="1:2" x14ac:dyDescent="0.3">
      <c r="A100" s="15" t="s">
        <v>317</v>
      </c>
    </row>
    <row r="101" spans="1:2" x14ac:dyDescent="0.3">
      <c r="B101" s="240" t="s">
        <v>318</v>
      </c>
    </row>
    <row r="102" spans="1:2" x14ac:dyDescent="0.3">
      <c r="B102" s="240" t="s">
        <v>319</v>
      </c>
    </row>
    <row r="103" spans="1:2" x14ac:dyDescent="0.3">
      <c r="B103" t="s">
        <v>320</v>
      </c>
    </row>
    <row r="106" spans="1:2" x14ac:dyDescent="0.3">
      <c r="A106" s="15" t="s">
        <v>391</v>
      </c>
      <c r="B106" s="14"/>
    </row>
    <row r="107" spans="1:2" x14ac:dyDescent="0.3">
      <c r="B107" s="240" t="s">
        <v>392</v>
      </c>
    </row>
    <row r="108" spans="1:2" x14ac:dyDescent="0.3">
      <c r="B108" s="240" t="s">
        <v>393</v>
      </c>
    </row>
  </sheetData>
  <sortState ref="B52:B86">
    <sortCondition ref="B86"/>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0"/>
  <sheetViews>
    <sheetView showRuler="0" zoomScale="70" zoomScaleNormal="70" zoomScaleSheetLayoutView="100" workbookViewId="0">
      <selection activeCell="C15" sqref="C15:C23"/>
    </sheetView>
  </sheetViews>
  <sheetFormatPr defaultColWidth="8.88671875" defaultRowHeight="14.4" x14ac:dyDescent="0.3"/>
  <cols>
    <col min="1" max="1" width="14.5546875" style="14" customWidth="1"/>
    <col min="2" max="2" width="19.33203125" style="14" customWidth="1"/>
    <col min="3" max="3" width="43" style="14" customWidth="1"/>
    <col min="4" max="4" width="30.5546875" style="14" customWidth="1"/>
    <col min="5" max="5" width="43" style="14" customWidth="1"/>
    <col min="6" max="16384" width="8.88671875" style="14"/>
  </cols>
  <sheetData>
    <row r="1" spans="1:5" ht="22.95" customHeight="1" x14ac:dyDescent="0.3">
      <c r="A1" s="14" t="s">
        <v>348</v>
      </c>
    </row>
    <row r="2" spans="1:5" x14ac:dyDescent="0.3">
      <c r="A2" s="14" t="s">
        <v>347</v>
      </c>
    </row>
    <row r="3" spans="1:5" x14ac:dyDescent="0.3">
      <c r="A3" s="14" t="s">
        <v>415</v>
      </c>
    </row>
    <row r="4" spans="1:5" ht="28.8" x14ac:dyDescent="0.3">
      <c r="A4" s="312" t="s">
        <v>1</v>
      </c>
      <c r="B4" s="312" t="s">
        <v>2</v>
      </c>
      <c r="C4" s="286" t="s">
        <v>352</v>
      </c>
      <c r="D4" s="286" t="s">
        <v>3</v>
      </c>
      <c r="E4" s="286" t="s">
        <v>352</v>
      </c>
    </row>
    <row r="5" spans="1:5" ht="28.8" x14ac:dyDescent="0.3">
      <c r="A5" s="508" t="s">
        <v>60</v>
      </c>
      <c r="B5" s="353" t="s">
        <v>86</v>
      </c>
      <c r="C5" s="350" t="s">
        <v>355</v>
      </c>
      <c r="D5" s="285" t="s">
        <v>388</v>
      </c>
      <c r="E5" s="285" t="s">
        <v>440</v>
      </c>
    </row>
    <row r="6" spans="1:5" ht="14.4" customHeight="1" x14ac:dyDescent="0.3">
      <c r="A6" s="509"/>
      <c r="B6" s="363" t="s">
        <v>128</v>
      </c>
      <c r="C6" s="364" t="s">
        <v>440</v>
      </c>
      <c r="D6" s="285" t="s">
        <v>161</v>
      </c>
      <c r="E6" s="285" t="s">
        <v>440</v>
      </c>
    </row>
    <row r="7" spans="1:5" ht="14.4" customHeight="1" x14ac:dyDescent="0.3">
      <c r="A7" s="510" t="s">
        <v>6</v>
      </c>
      <c r="B7" s="510" t="s">
        <v>7</v>
      </c>
      <c r="C7" s="511" t="s">
        <v>485</v>
      </c>
      <c r="D7" s="287" t="s">
        <v>8</v>
      </c>
      <c r="E7" s="354" t="s">
        <v>485</v>
      </c>
    </row>
    <row r="8" spans="1:5" x14ac:dyDescent="0.3">
      <c r="A8" s="510"/>
      <c r="B8" s="510"/>
      <c r="C8" s="511"/>
      <c r="D8" s="287" t="s">
        <v>9</v>
      </c>
      <c r="E8" s="354" t="s">
        <v>485</v>
      </c>
    </row>
    <row r="9" spans="1:5" ht="28.8" x14ac:dyDescent="0.3">
      <c r="A9" s="512" t="s">
        <v>26</v>
      </c>
      <c r="B9" s="512" t="s">
        <v>27</v>
      </c>
      <c r="C9" s="505" t="s">
        <v>416</v>
      </c>
      <c r="D9" s="349" t="s">
        <v>359</v>
      </c>
      <c r="E9" s="355" t="s">
        <v>488</v>
      </c>
    </row>
    <row r="10" spans="1:5" ht="28.8" x14ac:dyDescent="0.3">
      <c r="A10" s="512"/>
      <c r="B10" s="512"/>
      <c r="C10" s="505"/>
      <c r="D10" s="349" t="s">
        <v>323</v>
      </c>
      <c r="E10" s="349" t="s">
        <v>353</v>
      </c>
    </row>
    <row r="11" spans="1:5" ht="14.4" customHeight="1" x14ac:dyDescent="0.3">
      <c r="A11" s="512"/>
      <c r="B11" s="513" t="s">
        <v>395</v>
      </c>
      <c r="C11" s="516" t="s">
        <v>440</v>
      </c>
      <c r="D11" s="349" t="s">
        <v>80</v>
      </c>
      <c r="E11" s="505" t="s">
        <v>487</v>
      </c>
    </row>
    <row r="12" spans="1:5" x14ac:dyDescent="0.3">
      <c r="A12" s="512"/>
      <c r="B12" s="514"/>
      <c r="C12" s="517"/>
      <c r="D12" s="349" t="s">
        <v>49</v>
      </c>
      <c r="E12" s="505"/>
    </row>
    <row r="13" spans="1:5" x14ac:dyDescent="0.3">
      <c r="A13" s="512"/>
      <c r="B13" s="514"/>
      <c r="C13" s="517"/>
      <c r="D13" s="349" t="s">
        <v>87</v>
      </c>
      <c r="E13" s="355" t="s">
        <v>440</v>
      </c>
    </row>
    <row r="14" spans="1:5" x14ac:dyDescent="0.3">
      <c r="A14" s="512"/>
      <c r="B14" s="515"/>
      <c r="C14" s="518"/>
      <c r="D14" s="349" t="s">
        <v>417</v>
      </c>
      <c r="E14" s="349" t="s">
        <v>486</v>
      </c>
    </row>
    <row r="15" spans="1:5" ht="28.8" x14ac:dyDescent="0.3">
      <c r="A15" s="512"/>
      <c r="B15" s="513" t="s">
        <v>50</v>
      </c>
      <c r="C15" s="516" t="s">
        <v>440</v>
      </c>
      <c r="D15" s="349" t="s">
        <v>418</v>
      </c>
      <c r="E15" s="355" t="s">
        <v>440</v>
      </c>
    </row>
    <row r="16" spans="1:5" x14ac:dyDescent="0.3">
      <c r="A16" s="512"/>
      <c r="B16" s="514"/>
      <c r="C16" s="517"/>
      <c r="D16" s="349" t="s">
        <v>419</v>
      </c>
      <c r="E16" s="355" t="s">
        <v>440</v>
      </c>
    </row>
    <row r="17" spans="1:5" x14ac:dyDescent="0.3">
      <c r="A17" s="512"/>
      <c r="B17" s="514"/>
      <c r="C17" s="517"/>
      <c r="D17" s="349" t="s">
        <v>420</v>
      </c>
      <c r="E17" s="355" t="s">
        <v>440</v>
      </c>
    </row>
    <row r="18" spans="1:5" x14ac:dyDescent="0.3">
      <c r="A18" s="512"/>
      <c r="B18" s="514"/>
      <c r="C18" s="517"/>
      <c r="D18" s="349" t="s">
        <v>421</v>
      </c>
      <c r="E18" s="355" t="s">
        <v>440</v>
      </c>
    </row>
    <row r="19" spans="1:5" x14ac:dyDescent="0.3">
      <c r="A19" s="512"/>
      <c r="B19" s="514"/>
      <c r="C19" s="517"/>
      <c r="D19" s="349" t="s">
        <v>381</v>
      </c>
      <c r="E19" s="355" t="s">
        <v>440</v>
      </c>
    </row>
    <row r="20" spans="1:5" x14ac:dyDescent="0.3">
      <c r="A20" s="512"/>
      <c r="B20" s="514"/>
      <c r="C20" s="517"/>
      <c r="D20" s="349" t="s">
        <v>382</v>
      </c>
      <c r="E20" s="355" t="s">
        <v>440</v>
      </c>
    </row>
    <row r="21" spans="1:5" x14ac:dyDescent="0.3">
      <c r="A21" s="512"/>
      <c r="B21" s="514"/>
      <c r="C21" s="517"/>
      <c r="D21" s="349" t="s">
        <v>422</v>
      </c>
      <c r="E21" s="355" t="s">
        <v>440</v>
      </c>
    </row>
    <row r="22" spans="1:5" ht="28.8" x14ac:dyDescent="0.3">
      <c r="A22" s="512"/>
      <c r="B22" s="514"/>
      <c r="C22" s="517"/>
      <c r="D22" s="349" t="s">
        <v>423</v>
      </c>
      <c r="E22" s="355" t="s">
        <v>440</v>
      </c>
    </row>
    <row r="23" spans="1:5" ht="14.4" customHeight="1" x14ac:dyDescent="0.3">
      <c r="A23" s="512"/>
      <c r="B23" s="514"/>
      <c r="C23" s="517"/>
      <c r="D23" s="349" t="s">
        <v>385</v>
      </c>
      <c r="E23" s="355" t="s">
        <v>440</v>
      </c>
    </row>
    <row r="24" spans="1:5" x14ac:dyDescent="0.3">
      <c r="A24" s="512"/>
      <c r="B24" s="515"/>
      <c r="C24" s="356"/>
      <c r="D24" s="349" t="s">
        <v>386</v>
      </c>
      <c r="E24" s="355" t="s">
        <v>440</v>
      </c>
    </row>
    <row r="25" spans="1:5" ht="28.8" x14ac:dyDescent="0.3">
      <c r="A25" s="512"/>
      <c r="B25" s="352" t="s">
        <v>108</v>
      </c>
      <c r="C25" s="349" t="s">
        <v>441</v>
      </c>
      <c r="D25" s="349" t="s">
        <v>489</v>
      </c>
      <c r="E25" s="349" t="str">
        <f>C25</f>
        <v xml:space="preserve">Intermittent and perennial streams with gravel beds and sandy banks where fining is occurring. </v>
      </c>
    </row>
    <row r="26" spans="1:5" ht="28.8" x14ac:dyDescent="0.3">
      <c r="A26" s="512"/>
      <c r="B26" s="513" t="s">
        <v>349</v>
      </c>
      <c r="C26" s="516" t="s">
        <v>442</v>
      </c>
      <c r="D26" s="349" t="s">
        <v>350</v>
      </c>
      <c r="E26" s="375" t="s">
        <v>442</v>
      </c>
    </row>
    <row r="27" spans="1:5" ht="45" customHeight="1" x14ac:dyDescent="0.3">
      <c r="A27" s="512"/>
      <c r="B27" s="514"/>
      <c r="C27" s="517"/>
      <c r="D27" s="349" t="s">
        <v>53</v>
      </c>
      <c r="E27" s="375" t="s">
        <v>442</v>
      </c>
    </row>
    <row r="28" spans="1:5" ht="28.5" customHeight="1" x14ac:dyDescent="0.3">
      <c r="A28" s="512"/>
      <c r="B28" s="514"/>
      <c r="C28" s="517"/>
      <c r="D28" s="349" t="s">
        <v>334</v>
      </c>
      <c r="E28" s="375" t="s">
        <v>442</v>
      </c>
    </row>
    <row r="29" spans="1:5" ht="28.8" x14ac:dyDescent="0.3">
      <c r="A29" s="512"/>
      <c r="B29" s="515"/>
      <c r="C29" s="518"/>
      <c r="D29" s="349" t="s">
        <v>210</v>
      </c>
      <c r="E29" s="349" t="s">
        <v>449</v>
      </c>
    </row>
    <row r="30" spans="1:5" ht="28.8" x14ac:dyDescent="0.3">
      <c r="A30" s="512"/>
      <c r="B30" s="352" t="s">
        <v>55</v>
      </c>
      <c r="C30" s="378" t="s">
        <v>485</v>
      </c>
      <c r="D30" s="349" t="s">
        <v>54</v>
      </c>
      <c r="E30" s="349" t="s">
        <v>448</v>
      </c>
    </row>
    <row r="31" spans="1:5" ht="54" customHeight="1" x14ac:dyDescent="0.3">
      <c r="A31" s="506" t="s">
        <v>58</v>
      </c>
      <c r="B31" s="351" t="s">
        <v>88</v>
      </c>
      <c r="C31" s="284" t="s">
        <v>447</v>
      </c>
      <c r="D31" s="288" t="s">
        <v>351</v>
      </c>
      <c r="E31" s="288" t="str">
        <f>C31</f>
        <v>Assessed in intermittent and perennial stream reaches with livestock access and  proposed functional lift to water quality.</v>
      </c>
    </row>
    <row r="32" spans="1:5" ht="110.25" customHeight="1" x14ac:dyDescent="0.3">
      <c r="A32" s="506"/>
      <c r="B32" s="351" t="s">
        <v>362</v>
      </c>
      <c r="C32" s="284" t="s">
        <v>446</v>
      </c>
      <c r="D32" s="288" t="s">
        <v>354</v>
      </c>
      <c r="E32" s="288" t="str">
        <f>C32</f>
        <v xml:space="preserve">Assessed in intermittent and perennial stream reaches with stormwater BMPs or other non-point source mitigation practices proposed in conjunction with the stream restoration project. Project will modestly improve the nitrogen and/or phosphorus parameters. </v>
      </c>
    </row>
    <row r="33" spans="1:5" ht="43.2" x14ac:dyDescent="0.3">
      <c r="A33" s="506"/>
      <c r="B33" s="351" t="s">
        <v>81</v>
      </c>
      <c r="C33" s="284" t="s">
        <v>445</v>
      </c>
      <c r="D33" s="310" t="s">
        <v>281</v>
      </c>
      <c r="E33" s="288" t="str">
        <f>C33</f>
        <v>Assessed in intermittent and perennial stream reaches with proposed  functional lift to water quality.</v>
      </c>
    </row>
    <row r="34" spans="1:5" ht="43.2" x14ac:dyDescent="0.3">
      <c r="A34" s="506"/>
      <c r="B34" s="313" t="s">
        <v>82</v>
      </c>
      <c r="C34" s="284" t="s">
        <v>445</v>
      </c>
      <c r="D34" s="310" t="s">
        <v>280</v>
      </c>
      <c r="E34" s="288" t="str">
        <f>C34</f>
        <v>Assessed in intermittent and perennial stream reaches with proposed  functional lift to water quality.</v>
      </c>
    </row>
    <row r="35" spans="1:5" ht="28.8" x14ac:dyDescent="0.3">
      <c r="A35" s="507" t="s">
        <v>59</v>
      </c>
      <c r="B35" s="507" t="s">
        <v>340</v>
      </c>
      <c r="C35" s="504" t="s">
        <v>444</v>
      </c>
      <c r="D35" s="348" t="s">
        <v>358</v>
      </c>
      <c r="E35" s="504" t="s">
        <v>357</v>
      </c>
    </row>
    <row r="36" spans="1:5" x14ac:dyDescent="0.3">
      <c r="A36" s="507"/>
      <c r="B36" s="507"/>
      <c r="C36" s="504"/>
      <c r="D36" s="348" t="s">
        <v>335</v>
      </c>
      <c r="E36" s="504"/>
    </row>
    <row r="37" spans="1:5" x14ac:dyDescent="0.3">
      <c r="A37" s="507"/>
      <c r="B37" s="507"/>
      <c r="C37" s="504"/>
      <c r="D37" s="348" t="s">
        <v>339</v>
      </c>
      <c r="E37" s="504"/>
    </row>
    <row r="38" spans="1:5" ht="28.8" x14ac:dyDescent="0.3">
      <c r="A38" s="507"/>
      <c r="B38" s="507"/>
      <c r="C38" s="504"/>
      <c r="D38" s="311" t="s">
        <v>336</v>
      </c>
      <c r="E38" s="504"/>
    </row>
    <row r="39" spans="1:5" ht="14.4" customHeight="1" x14ac:dyDescent="0.3">
      <c r="A39" s="507"/>
      <c r="B39" s="507" t="s">
        <v>74</v>
      </c>
      <c r="C39" s="504" t="s">
        <v>443</v>
      </c>
      <c r="D39" s="311" t="s">
        <v>211</v>
      </c>
      <c r="E39" s="504" t="s">
        <v>356</v>
      </c>
    </row>
    <row r="40" spans="1:5" ht="80.400000000000006" customHeight="1" x14ac:dyDescent="0.3">
      <c r="A40" s="507"/>
      <c r="B40" s="507"/>
      <c r="C40" s="504"/>
      <c r="D40" s="311" t="s">
        <v>332</v>
      </c>
      <c r="E40" s="504"/>
    </row>
  </sheetData>
  <mergeCells count="22">
    <mergeCell ref="A5:A6"/>
    <mergeCell ref="A7:A8"/>
    <mergeCell ref="B7:B8"/>
    <mergeCell ref="C7:C8"/>
    <mergeCell ref="C9:C10"/>
    <mergeCell ref="A9:A30"/>
    <mergeCell ref="B9:B10"/>
    <mergeCell ref="B11:B14"/>
    <mergeCell ref="B15:B24"/>
    <mergeCell ref="B26:B29"/>
    <mergeCell ref="C11:C14"/>
    <mergeCell ref="C26:C29"/>
    <mergeCell ref="C15:C23"/>
    <mergeCell ref="E39:E40"/>
    <mergeCell ref="E35:E38"/>
    <mergeCell ref="E11:E12"/>
    <mergeCell ref="A31:A34"/>
    <mergeCell ref="A35:A40"/>
    <mergeCell ref="B35:B38"/>
    <mergeCell ref="B39:B40"/>
    <mergeCell ref="C35:C38"/>
    <mergeCell ref="C39:C40"/>
  </mergeCells>
  <conditionalFormatting sqref="A4:B4 D4:E4">
    <cfRule type="beginsWith" dxfId="11349" priority="19" stopIfTrue="1" operator="beginsWith" text="Functioning At Risk">
      <formula>LEFT(A4,LEN("Functioning At Risk"))="Functioning At Risk"</formula>
    </cfRule>
    <cfRule type="beginsWith" dxfId="11348" priority="20" stopIfTrue="1" operator="beginsWith" text="Not Functioning">
      <formula>LEFT(A4,LEN("Not Functioning"))="Not Functioning"</formula>
    </cfRule>
    <cfRule type="containsText" dxfId="11347" priority="21" operator="containsText" text="Functioning">
      <formula>NOT(ISERROR(SEARCH("Functioning",A4)))</formula>
    </cfRule>
  </conditionalFormatting>
  <conditionalFormatting sqref="A7:B7 D7:D8">
    <cfRule type="beginsWith" dxfId="11346" priority="4" stopIfTrue="1" operator="beginsWith" text="Functioning At Risk">
      <formula>LEFT(A7,LEN("Functioning At Risk"))="Functioning At Risk"</formula>
    </cfRule>
    <cfRule type="beginsWith" dxfId="11345" priority="5" stopIfTrue="1" operator="beginsWith" text="Not Functioning">
      <formula>LEFT(A7,LEN("Not Functioning"))="Not Functioning"</formula>
    </cfRule>
    <cfRule type="containsText" dxfId="11344" priority="6" operator="containsText" text="Functioning">
      <formula>NOT(ISERROR(SEARCH("Functioning",A7)))</formula>
    </cfRule>
  </conditionalFormatting>
  <conditionalFormatting sqref="D33">
    <cfRule type="beginsWith" dxfId="11343" priority="1" stopIfTrue="1" operator="beginsWith" text="Functioning At Risk">
      <formula>LEFT(D33,LEN("Functioning At Risk"))="Functioning At Risk"</formula>
    </cfRule>
    <cfRule type="beginsWith" dxfId="11342" priority="2" stopIfTrue="1" operator="beginsWith" text="Not Functioning">
      <formula>LEFT(D33,LEN("Not Functioning"))="Not Functioning"</formula>
    </cfRule>
    <cfRule type="containsText" dxfId="11341" priority="3" operator="containsText" text="Functioning">
      <formula>NOT(ISERROR(SEARCH("Functioning",D33)))</formula>
    </cfRule>
  </conditionalFormatting>
  <pageMargins left="0.7" right="0.7" top="0.75" bottom="0.75" header="0.55000000000000004" footer="0.3"/>
  <pageSetup scale="81" fitToHeight="0" orientation="landscape" r:id="rId1"/>
  <headerFooter>
    <oddHeader xml:space="preserve">&amp;C&amp;"-,Bold"&amp;16TN SQT Parameter Selection Guide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0"/>
  <sheetViews>
    <sheetView tabSelected="1" topLeftCell="A9" zoomScale="70" zoomScaleNormal="70" zoomScaleSheetLayoutView="70" zoomScalePageLayoutView="70" workbookViewId="0">
      <selection activeCell="B14" sqref="B14"/>
    </sheetView>
  </sheetViews>
  <sheetFormatPr defaultRowHeight="14.4" x14ac:dyDescent="0.3"/>
  <cols>
    <col min="1" max="1" width="30.6640625" customWidth="1"/>
    <col min="2" max="2" width="30.88671875" customWidth="1"/>
    <col min="3" max="3" width="24" customWidth="1"/>
    <col min="4" max="4" width="24" style="14" customWidth="1"/>
    <col min="5" max="5" width="21.6640625" customWidth="1"/>
    <col min="6" max="6" width="14" customWidth="1"/>
    <col min="7" max="7" width="14" style="14" customWidth="1"/>
    <col min="8" max="8" width="13.109375" customWidth="1"/>
    <col min="9" max="9" width="13.33203125" style="14" customWidth="1"/>
    <col min="10" max="10" width="9.6640625" customWidth="1"/>
    <col min="11" max="11" width="12.44140625" customWidth="1"/>
    <col min="12" max="12" width="18.5546875" customWidth="1"/>
    <col min="13" max="13" width="13.6640625" customWidth="1"/>
  </cols>
  <sheetData>
    <row r="1" spans="1:11" s="14" customFormat="1" ht="21" x14ac:dyDescent="0.4">
      <c r="A1" s="612" t="s">
        <v>438</v>
      </c>
      <c r="B1" s="612"/>
      <c r="D1" s="544" t="s">
        <v>64</v>
      </c>
      <c r="E1" s="545"/>
      <c r="F1" s="545"/>
      <c r="G1" s="545"/>
      <c r="H1" s="545"/>
      <c r="I1" s="545"/>
      <c r="J1" s="546"/>
    </row>
    <row r="2" spans="1:11" ht="15.6" x14ac:dyDescent="0.3">
      <c r="A2" s="612"/>
      <c r="B2" s="612"/>
      <c r="D2" s="613" t="s">
        <v>65</v>
      </c>
      <c r="E2" s="614"/>
      <c r="F2" s="614"/>
      <c r="G2" s="614"/>
      <c r="H2" s="614"/>
      <c r="I2" s="614"/>
      <c r="J2" s="615"/>
    </row>
    <row r="3" spans="1:11" s="14" customFormat="1" ht="15.75" customHeight="1" x14ac:dyDescent="0.3">
      <c r="A3" s="612"/>
      <c r="B3" s="612"/>
      <c r="D3" s="619" t="s">
        <v>138</v>
      </c>
      <c r="E3" s="620"/>
      <c r="F3" s="620"/>
      <c r="G3" s="620"/>
      <c r="H3" s="620"/>
      <c r="I3" s="620"/>
      <c r="J3" s="621"/>
    </row>
    <row r="4" spans="1:11" ht="15.6" x14ac:dyDescent="0.3">
      <c r="A4" s="42" t="s">
        <v>109</v>
      </c>
      <c r="B4" s="43" t="s">
        <v>498</v>
      </c>
      <c r="D4" s="622" t="s">
        <v>137</v>
      </c>
      <c r="E4" s="623"/>
      <c r="F4" s="623"/>
      <c r="G4" s="623"/>
      <c r="H4" s="623"/>
      <c r="I4" s="623"/>
      <c r="J4" s="624"/>
    </row>
    <row r="5" spans="1:11" s="14" customFormat="1" ht="15.6" x14ac:dyDescent="0.3">
      <c r="A5" s="42" t="s">
        <v>100</v>
      </c>
      <c r="B5" s="43" t="s">
        <v>499</v>
      </c>
      <c r="D5" s="616" t="s">
        <v>390</v>
      </c>
      <c r="E5" s="617"/>
      <c r="F5" s="617"/>
      <c r="G5" s="617"/>
      <c r="H5" s="617"/>
      <c r="I5" s="617"/>
      <c r="J5" s="618"/>
    </row>
    <row r="6" spans="1:11" s="14" customFormat="1" ht="15.6" x14ac:dyDescent="0.3">
      <c r="A6" s="335" t="s">
        <v>434</v>
      </c>
      <c r="B6" s="43"/>
      <c r="D6" s="362"/>
      <c r="E6" s="362"/>
      <c r="F6" s="362"/>
      <c r="G6" s="362"/>
      <c r="H6" s="362"/>
      <c r="I6" s="362"/>
      <c r="J6" s="362"/>
    </row>
    <row r="7" spans="1:11" s="14" customFormat="1" ht="15.6" x14ac:dyDescent="0.3">
      <c r="A7" s="335" t="s">
        <v>435</v>
      </c>
      <c r="B7" s="43"/>
      <c r="D7" s="362"/>
      <c r="E7" s="362"/>
      <c r="F7" s="362"/>
      <c r="G7" s="362"/>
      <c r="H7" s="362"/>
      <c r="I7" s="362"/>
      <c r="J7" s="362"/>
    </row>
    <row r="8" spans="1:11" s="14" customFormat="1" ht="15.6" x14ac:dyDescent="0.3">
      <c r="A8" s="335" t="s">
        <v>436</v>
      </c>
      <c r="B8" s="43"/>
      <c r="D8" s="362"/>
      <c r="E8" s="362"/>
      <c r="F8" s="362"/>
      <c r="G8" s="362"/>
      <c r="H8" s="362"/>
      <c r="I8" s="362"/>
      <c r="J8" s="362"/>
    </row>
    <row r="9" spans="1:11" s="14" customFormat="1" ht="15.6" x14ac:dyDescent="0.3">
      <c r="A9" s="335" t="s">
        <v>437</v>
      </c>
      <c r="B9" s="43"/>
      <c r="D9" s="362"/>
      <c r="E9" s="362"/>
      <c r="F9" s="362"/>
      <c r="G9" s="362"/>
      <c r="H9" s="362"/>
      <c r="I9" s="362"/>
      <c r="J9" s="362"/>
    </row>
    <row r="10" spans="1:11" s="14" customFormat="1" ht="16.2" thickBot="1" x14ac:dyDescent="0.35">
      <c r="A10" s="42" t="s">
        <v>101</v>
      </c>
      <c r="B10" s="336" t="s">
        <v>83</v>
      </c>
      <c r="C10" s="13"/>
    </row>
    <row r="11" spans="1:11" s="14" customFormat="1" ht="19.95" customHeight="1" x14ac:dyDescent="0.4">
      <c r="A11" s="42" t="s">
        <v>329</v>
      </c>
      <c r="B11" s="336" t="s">
        <v>13</v>
      </c>
      <c r="C11" s="13"/>
      <c r="D11" s="544" t="s">
        <v>63</v>
      </c>
      <c r="E11" s="545"/>
      <c r="F11" s="546"/>
      <c r="H11" s="605" t="s">
        <v>400</v>
      </c>
      <c r="I11" s="606"/>
      <c r="J11" s="607"/>
      <c r="K11" s="114"/>
    </row>
    <row r="12" spans="1:11" ht="21.6" thickBot="1" x14ac:dyDescent="0.45">
      <c r="A12" s="42" t="s">
        <v>363</v>
      </c>
      <c r="B12" s="336" t="s">
        <v>235</v>
      </c>
      <c r="C12" s="40"/>
      <c r="D12" s="88" t="s">
        <v>116</v>
      </c>
      <c r="E12" s="89"/>
      <c r="F12" s="45">
        <f>IFERROR(ROUND(J44,2),"")</f>
        <v>0.21</v>
      </c>
      <c r="G12" s="114"/>
      <c r="H12" s="331">
        <f>F20</f>
        <v>1225</v>
      </c>
      <c r="I12" s="608" t="s">
        <v>401</v>
      </c>
      <c r="J12" s="609"/>
      <c r="K12" s="177"/>
    </row>
    <row r="13" spans="1:11" s="14" customFormat="1" ht="15.6" x14ac:dyDescent="0.3">
      <c r="A13" s="42" t="s">
        <v>17</v>
      </c>
      <c r="B13" s="43">
        <v>1</v>
      </c>
      <c r="C13" s="40"/>
      <c r="D13" s="90" t="s">
        <v>117</v>
      </c>
      <c r="E13" s="91"/>
      <c r="F13" s="45">
        <f>IFERROR(ROUND(J84,2),"")</f>
        <v>0.53</v>
      </c>
      <c r="G13" s="117"/>
      <c r="H13" s="176"/>
      <c r="I13" s="21"/>
      <c r="J13" s="21"/>
      <c r="K13" s="177"/>
    </row>
    <row r="14" spans="1:11" s="14" customFormat="1" ht="15.6" x14ac:dyDescent="0.3">
      <c r="A14" s="42" t="s">
        <v>85</v>
      </c>
      <c r="B14" s="336" t="s">
        <v>24</v>
      </c>
      <c r="C14" s="40"/>
      <c r="D14" s="603" t="s">
        <v>396</v>
      </c>
      <c r="E14" s="604"/>
      <c r="F14" s="113">
        <f>IFERROR(F13-F12,"")</f>
        <v>0.32000000000000006</v>
      </c>
      <c r="G14" s="117"/>
      <c r="H14" s="176"/>
      <c r="I14" s="21"/>
      <c r="J14" s="21"/>
      <c r="K14" s="177"/>
    </row>
    <row r="15" spans="1:11" ht="15.6" x14ac:dyDescent="0.3">
      <c r="A15" s="42" t="s">
        <v>341</v>
      </c>
      <c r="B15" s="43">
        <v>3000</v>
      </c>
      <c r="C15" s="41"/>
      <c r="D15" s="88" t="s">
        <v>343</v>
      </c>
      <c r="E15" s="89"/>
      <c r="F15" s="46">
        <f>IF(B15="","",B15)</f>
        <v>3000</v>
      </c>
      <c r="G15" s="118"/>
      <c r="H15" s="178"/>
      <c r="I15" s="178"/>
      <c r="J15" s="178"/>
      <c r="K15" s="179"/>
    </row>
    <row r="16" spans="1:11" s="14" customFormat="1" ht="15.6" x14ac:dyDescent="0.3">
      <c r="A16" s="42" t="s">
        <v>342</v>
      </c>
      <c r="B16" s="43">
        <v>3500</v>
      </c>
      <c r="C16" s="40"/>
      <c r="D16" s="88" t="s">
        <v>344</v>
      </c>
      <c r="E16" s="89"/>
      <c r="F16" s="46">
        <f>IF(B16="","",B16)</f>
        <v>3500</v>
      </c>
      <c r="G16" s="117"/>
      <c r="H16" s="21"/>
      <c r="I16" s="21"/>
      <c r="J16" s="21"/>
      <c r="K16" s="21"/>
    </row>
    <row r="17" spans="1:12" ht="15.6" x14ac:dyDescent="0.3">
      <c r="A17" s="42" t="s">
        <v>209</v>
      </c>
      <c r="B17" s="43">
        <v>1.2</v>
      </c>
      <c r="C17" s="41"/>
      <c r="D17" s="80" t="s">
        <v>345</v>
      </c>
      <c r="E17" s="81"/>
      <c r="F17" s="46">
        <f>IFERROR(F16-F15,"")</f>
        <v>500</v>
      </c>
      <c r="G17" s="117"/>
      <c r="H17" s="21"/>
      <c r="I17" s="21"/>
      <c r="J17" s="21"/>
      <c r="K17" s="21"/>
    </row>
    <row r="18" spans="1:12" s="14" customFormat="1" ht="16.2" customHeight="1" x14ac:dyDescent="0.4">
      <c r="A18" s="42" t="s">
        <v>403</v>
      </c>
      <c r="B18" s="336" t="s">
        <v>392</v>
      </c>
      <c r="C18" s="41"/>
      <c r="D18" s="80" t="s">
        <v>397</v>
      </c>
      <c r="E18" s="81"/>
      <c r="F18" s="47">
        <f>IFERROR(F12*F15,"")</f>
        <v>630</v>
      </c>
      <c r="G18" s="117"/>
      <c r="H18" s="114"/>
      <c r="I18" s="114"/>
      <c r="J18" s="114"/>
      <c r="K18" s="114"/>
    </row>
    <row r="19" spans="1:12" ht="16.2" thickBot="1" x14ac:dyDescent="0.35">
      <c r="A19" s="44" t="s">
        <v>119</v>
      </c>
      <c r="B19" s="336" t="s">
        <v>156</v>
      </c>
      <c r="C19" s="40"/>
      <c r="D19" s="92" t="s">
        <v>398</v>
      </c>
      <c r="E19" s="93"/>
      <c r="F19" s="328">
        <f>IFERROR(F16*F13,"")</f>
        <v>1855</v>
      </c>
      <c r="G19" s="116"/>
      <c r="H19" s="176"/>
      <c r="I19" s="21"/>
      <c r="J19" s="21"/>
      <c r="K19" s="177"/>
    </row>
    <row r="20" spans="1:12" ht="16.2" thickBot="1" x14ac:dyDescent="0.35">
      <c r="A20" s="181" t="s">
        <v>186</v>
      </c>
      <c r="B20" s="336" t="s">
        <v>188</v>
      </c>
      <c r="C20" s="41"/>
      <c r="D20" s="327" t="s">
        <v>399</v>
      </c>
      <c r="E20" s="329"/>
      <c r="F20" s="330">
        <f>IFERROR(F19-F18,"")</f>
        <v>1225</v>
      </c>
      <c r="G20" s="116"/>
      <c r="H20" s="176"/>
      <c r="I20" s="21"/>
      <c r="J20" s="21"/>
      <c r="K20" s="177"/>
    </row>
    <row r="21" spans="1:12" s="14" customFormat="1" ht="15.6" x14ac:dyDescent="0.3">
      <c r="A21" s="42" t="s">
        <v>316</v>
      </c>
      <c r="B21" s="336" t="s">
        <v>319</v>
      </c>
      <c r="C21" s="41"/>
      <c r="G21" s="116"/>
      <c r="H21" s="118"/>
      <c r="I21" s="21"/>
      <c r="J21" s="21"/>
      <c r="K21" s="177"/>
    </row>
    <row r="22" spans="1:12" s="14" customFormat="1" ht="23.4" x14ac:dyDescent="0.45">
      <c r="C22" s="41"/>
      <c r="D22" s="628" t="str">
        <f>IF(OR(C28="",C30="",C31="",C33="",D28="",D30="",D31="",D33=""),"WARNING: Sufficient data are not provided.","")</f>
        <v/>
      </c>
      <c r="E22" s="628"/>
      <c r="F22" s="628"/>
      <c r="G22" s="628"/>
      <c r="H22" s="628"/>
      <c r="I22" s="628"/>
      <c r="J22" s="628"/>
      <c r="K22" s="628"/>
      <c r="L22" s="21"/>
    </row>
    <row r="23" spans="1:12" ht="30.75" customHeight="1" x14ac:dyDescent="0.3">
      <c r="A23" s="625" t="s">
        <v>118</v>
      </c>
      <c r="B23" s="626"/>
      <c r="C23" s="626"/>
      <c r="D23" s="627"/>
      <c r="E23" s="120"/>
      <c r="F23" s="629" t="s">
        <v>102</v>
      </c>
      <c r="G23" s="629"/>
      <c r="H23" s="629"/>
      <c r="I23" s="629"/>
      <c r="J23" s="629"/>
      <c r="K23" s="629"/>
    </row>
    <row r="24" spans="1:12" ht="15" customHeight="1" x14ac:dyDescent="0.3">
      <c r="A24" s="532" t="s">
        <v>1</v>
      </c>
      <c r="B24" s="532" t="s">
        <v>2</v>
      </c>
      <c r="C24" s="642" t="s">
        <v>66</v>
      </c>
      <c r="D24" s="642" t="s">
        <v>67</v>
      </c>
      <c r="E24" s="121"/>
      <c r="F24" s="527" t="s">
        <v>103</v>
      </c>
      <c r="G24" s="527"/>
      <c r="H24" s="527" t="s">
        <v>104</v>
      </c>
      <c r="I24" s="527" t="s">
        <v>105</v>
      </c>
      <c r="J24" s="527" t="s">
        <v>106</v>
      </c>
      <c r="K24" s="527"/>
      <c r="L24" s="14"/>
    </row>
    <row r="25" spans="1:12" ht="15" customHeight="1" x14ac:dyDescent="0.3">
      <c r="A25" s="533"/>
      <c r="B25" s="533"/>
      <c r="C25" s="643"/>
      <c r="D25" s="643"/>
      <c r="E25" s="121"/>
      <c r="F25" s="527"/>
      <c r="G25" s="527"/>
      <c r="H25" s="527"/>
      <c r="I25" s="527"/>
      <c r="J25" s="527"/>
      <c r="K25" s="527"/>
    </row>
    <row r="26" spans="1:12" ht="15.75" customHeight="1" x14ac:dyDescent="0.3">
      <c r="A26" s="540" t="s">
        <v>60</v>
      </c>
      <c r="B26" s="75" t="s">
        <v>86</v>
      </c>
      <c r="C26" s="48">
        <f>G44</f>
        <v>0.53</v>
      </c>
      <c r="D26" s="48">
        <f>G84</f>
        <v>0.53</v>
      </c>
      <c r="E26" s="122"/>
      <c r="F26" s="601" t="s">
        <v>60</v>
      </c>
      <c r="G26" s="601"/>
      <c r="H26" s="591">
        <f>H44</f>
        <v>0.47</v>
      </c>
      <c r="I26" s="591">
        <f>H84</f>
        <v>0.71</v>
      </c>
      <c r="J26" s="591">
        <f>IFERROR(ROUND(I26-H26,2),"")</f>
        <v>0.24</v>
      </c>
      <c r="K26" s="591"/>
    </row>
    <row r="27" spans="1:12" ht="17.25" customHeight="1" x14ac:dyDescent="0.3">
      <c r="A27" s="571"/>
      <c r="B27" s="75" t="s">
        <v>128</v>
      </c>
      <c r="C27" s="48">
        <f>G45</f>
        <v>0.4</v>
      </c>
      <c r="D27" s="48">
        <f>G85</f>
        <v>0.89</v>
      </c>
      <c r="E27" s="122"/>
      <c r="F27" s="601"/>
      <c r="G27" s="601"/>
      <c r="H27" s="591"/>
      <c r="I27" s="591"/>
      <c r="J27" s="591"/>
      <c r="K27" s="591"/>
    </row>
    <row r="28" spans="1:12" ht="15.75" customHeight="1" x14ac:dyDescent="0.3">
      <c r="A28" s="76" t="s">
        <v>6</v>
      </c>
      <c r="B28" s="76" t="s">
        <v>7</v>
      </c>
      <c r="C28" s="48">
        <f>G46</f>
        <v>0.40500000000000003</v>
      </c>
      <c r="D28" s="48">
        <f>G86</f>
        <v>1</v>
      </c>
      <c r="E28" s="122"/>
      <c r="F28" s="601"/>
      <c r="G28" s="601"/>
      <c r="H28" s="591"/>
      <c r="I28" s="591"/>
      <c r="J28" s="591"/>
      <c r="K28" s="591"/>
    </row>
    <row r="29" spans="1:12" ht="15.75" customHeight="1" x14ac:dyDescent="0.3">
      <c r="A29" s="526" t="s">
        <v>26</v>
      </c>
      <c r="B29" s="77" t="s">
        <v>27</v>
      </c>
      <c r="C29" s="48">
        <f>G48</f>
        <v>0</v>
      </c>
      <c r="D29" s="48">
        <f>G88</f>
        <v>0.96</v>
      </c>
      <c r="E29" s="122"/>
      <c r="F29" s="602" t="s">
        <v>6</v>
      </c>
      <c r="G29" s="602"/>
      <c r="H29" s="591">
        <f>H46</f>
        <v>0.41</v>
      </c>
      <c r="I29" s="591">
        <f>H86</f>
        <v>1</v>
      </c>
      <c r="J29" s="591">
        <f>IFERROR(ROUND(I29-H29,2),"")</f>
        <v>0.59</v>
      </c>
      <c r="K29" s="591"/>
    </row>
    <row r="30" spans="1:12" ht="15.75" customHeight="1" x14ac:dyDescent="0.3">
      <c r="A30" s="520"/>
      <c r="B30" s="77" t="s">
        <v>395</v>
      </c>
      <c r="C30" s="48">
        <f>G50</f>
        <v>0.42</v>
      </c>
      <c r="D30" s="48">
        <f>G90</f>
        <v>1</v>
      </c>
      <c r="E30" s="122"/>
      <c r="F30" s="602"/>
      <c r="G30" s="602"/>
      <c r="H30" s="591"/>
      <c r="I30" s="591"/>
      <c r="J30" s="591"/>
      <c r="K30" s="591"/>
    </row>
    <row r="31" spans="1:12" ht="15.75" customHeight="1" x14ac:dyDescent="0.3">
      <c r="A31" s="520"/>
      <c r="B31" s="77" t="s">
        <v>50</v>
      </c>
      <c r="C31" s="48">
        <f>G54</f>
        <v>0.22</v>
      </c>
      <c r="D31" s="48">
        <f>G94</f>
        <v>0.86</v>
      </c>
      <c r="E31" s="122"/>
      <c r="F31" s="602"/>
      <c r="G31" s="602"/>
      <c r="H31" s="591"/>
      <c r="I31" s="591"/>
      <c r="J31" s="591"/>
      <c r="K31" s="591"/>
    </row>
    <row r="32" spans="1:12" ht="15.75" customHeight="1" x14ac:dyDescent="0.3">
      <c r="A32" s="520"/>
      <c r="B32" s="77" t="s">
        <v>107</v>
      </c>
      <c r="C32" s="48" t="str">
        <f>G64</f>
        <v/>
      </c>
      <c r="D32" s="48" t="str">
        <f>G104</f>
        <v/>
      </c>
      <c r="E32" s="122"/>
      <c r="F32" s="592" t="s">
        <v>26</v>
      </c>
      <c r="G32" s="593"/>
      <c r="H32" s="598">
        <f>H48</f>
        <v>0.16</v>
      </c>
      <c r="I32" s="598">
        <f>H88</f>
        <v>0.96</v>
      </c>
      <c r="J32" s="585">
        <f>IFERROR(ROUND(I32-H32,2),"")</f>
        <v>0.8</v>
      </c>
      <c r="K32" s="586"/>
    </row>
    <row r="33" spans="1:15" s="14" customFormat="1" ht="15.75" customHeight="1" x14ac:dyDescent="0.3">
      <c r="A33" s="520"/>
      <c r="B33" s="77" t="s">
        <v>51</v>
      </c>
      <c r="C33" s="48">
        <f>G65</f>
        <v>0.16</v>
      </c>
      <c r="D33" s="48">
        <f>G105</f>
        <v>1</v>
      </c>
      <c r="E33" s="122"/>
      <c r="F33" s="594"/>
      <c r="G33" s="595"/>
      <c r="H33" s="599"/>
      <c r="I33" s="599"/>
      <c r="J33" s="587"/>
      <c r="K33" s="588"/>
    </row>
    <row r="34" spans="1:15" ht="15.75" customHeight="1" x14ac:dyDescent="0.3">
      <c r="A34" s="521"/>
      <c r="B34" s="77" t="s">
        <v>54</v>
      </c>
      <c r="C34" s="48">
        <f t="shared" ref="C34:C35" si="0">G69</f>
        <v>0</v>
      </c>
      <c r="D34" s="48">
        <f t="shared" ref="D34:D35" si="1">G109</f>
        <v>1</v>
      </c>
      <c r="E34" s="122"/>
      <c r="F34" s="596"/>
      <c r="G34" s="597"/>
      <c r="H34" s="600"/>
      <c r="I34" s="600"/>
      <c r="J34" s="589"/>
      <c r="K34" s="590"/>
    </row>
    <row r="35" spans="1:15" ht="15.75" customHeight="1" x14ac:dyDescent="0.3">
      <c r="A35" s="537" t="s">
        <v>58</v>
      </c>
      <c r="B35" s="290" t="s">
        <v>88</v>
      </c>
      <c r="C35" s="48" t="str">
        <f t="shared" si="0"/>
        <v/>
      </c>
      <c r="D35" s="48" t="str">
        <f t="shared" si="1"/>
        <v/>
      </c>
      <c r="E35" s="122"/>
      <c r="F35" s="630" t="s">
        <v>58</v>
      </c>
      <c r="G35" s="631"/>
      <c r="H35" s="598" t="str">
        <f>H70</f>
        <v/>
      </c>
      <c r="I35" s="598" t="str">
        <f>H110</f>
        <v/>
      </c>
      <c r="J35" s="585" t="str">
        <f>IFERROR(ROUND(I35-H35,2),"")</f>
        <v/>
      </c>
      <c r="K35" s="586"/>
    </row>
    <row r="36" spans="1:15" s="14" customFormat="1" ht="15.75" customHeight="1" x14ac:dyDescent="0.3">
      <c r="A36" s="538"/>
      <c r="B36" s="289" t="s">
        <v>362</v>
      </c>
      <c r="C36" s="48" t="str">
        <f>G71</f>
        <v/>
      </c>
      <c r="D36" s="48" t="str">
        <f>G111</f>
        <v/>
      </c>
      <c r="E36" s="122"/>
      <c r="F36" s="632"/>
      <c r="G36" s="633"/>
      <c r="H36" s="599"/>
      <c r="I36" s="599"/>
      <c r="J36" s="587"/>
      <c r="K36" s="588"/>
    </row>
    <row r="37" spans="1:15" ht="15.75" customHeight="1" x14ac:dyDescent="0.3">
      <c r="A37" s="538"/>
      <c r="B37" s="290" t="s">
        <v>81</v>
      </c>
      <c r="C37" s="48" t="str">
        <f>G72</f>
        <v/>
      </c>
      <c r="D37" s="48" t="str">
        <f>G112</f>
        <v/>
      </c>
      <c r="E37" s="122"/>
      <c r="F37" s="634"/>
      <c r="G37" s="635"/>
      <c r="H37" s="600"/>
      <c r="I37" s="600"/>
      <c r="J37" s="589"/>
      <c r="K37" s="590"/>
      <c r="L37" s="18"/>
    </row>
    <row r="38" spans="1:15" ht="15.75" customHeight="1" x14ac:dyDescent="0.3">
      <c r="A38" s="539"/>
      <c r="B38" s="290" t="s">
        <v>82</v>
      </c>
      <c r="C38" s="48" t="str">
        <f>G73</f>
        <v/>
      </c>
      <c r="D38" s="48" t="str">
        <f>G113</f>
        <v/>
      </c>
      <c r="E38" s="122"/>
      <c r="F38" s="636" t="s">
        <v>59</v>
      </c>
      <c r="G38" s="637"/>
      <c r="H38" s="598" t="str">
        <f>H74</f>
        <v/>
      </c>
      <c r="I38" s="598" t="str">
        <f>H114</f>
        <v/>
      </c>
      <c r="J38" s="585" t="str">
        <f>IFERROR(I38-H38,"")</f>
        <v/>
      </c>
      <c r="K38" s="586"/>
      <c r="L38" s="21"/>
    </row>
    <row r="39" spans="1:15" ht="15.75" customHeight="1" x14ac:dyDescent="0.3">
      <c r="A39" s="550" t="s">
        <v>59</v>
      </c>
      <c r="B39" s="78" t="s">
        <v>340</v>
      </c>
      <c r="C39" s="48" t="str">
        <f>G74</f>
        <v/>
      </c>
      <c r="D39" s="48" t="str">
        <f>G114</f>
        <v/>
      </c>
      <c r="E39" s="122"/>
      <c r="F39" s="638"/>
      <c r="G39" s="639"/>
      <c r="H39" s="599"/>
      <c r="I39" s="599"/>
      <c r="J39" s="587"/>
      <c r="K39" s="588"/>
    </row>
    <row r="40" spans="1:15" ht="15.6" customHeight="1" x14ac:dyDescent="0.3">
      <c r="A40" s="551"/>
      <c r="B40" s="78" t="s">
        <v>74</v>
      </c>
      <c r="C40" s="48" t="str">
        <f>G78</f>
        <v/>
      </c>
      <c r="D40" s="48" t="str">
        <f>G118</f>
        <v/>
      </c>
      <c r="E40" s="122"/>
      <c r="F40" s="640"/>
      <c r="G40" s="641"/>
      <c r="H40" s="600"/>
      <c r="I40" s="600"/>
      <c r="J40" s="589"/>
      <c r="K40" s="590"/>
      <c r="M40" s="14"/>
    </row>
    <row r="41" spans="1:15" s="14" customFormat="1" ht="15" customHeight="1" x14ac:dyDescent="0.3">
      <c r="A41" s="1"/>
      <c r="B41" s="13"/>
      <c r="C41" s="13"/>
      <c r="D41" s="13"/>
      <c r="E41" s="13"/>
      <c r="F41" s="13"/>
      <c r="G41" s="13"/>
      <c r="H41" s="36"/>
      <c r="I41" s="36"/>
      <c r="J41" s="36"/>
      <c r="K41" s="36"/>
      <c r="L41" s="21"/>
    </row>
    <row r="42" spans="1:15" ht="21" x14ac:dyDescent="0.4">
      <c r="A42" s="544" t="s">
        <v>56</v>
      </c>
      <c r="B42" s="545"/>
      <c r="C42" s="545"/>
      <c r="D42" s="545"/>
      <c r="E42" s="545"/>
      <c r="F42" s="546"/>
      <c r="G42" s="544" t="s">
        <v>18</v>
      </c>
      <c r="H42" s="545"/>
      <c r="I42" s="545"/>
      <c r="J42" s="545"/>
      <c r="K42" s="546"/>
      <c r="L42" s="21"/>
      <c r="N42" s="14"/>
      <c r="O42" s="14"/>
    </row>
    <row r="43" spans="1:15" ht="15.6" x14ac:dyDescent="0.3">
      <c r="A43" s="49" t="s">
        <v>1</v>
      </c>
      <c r="B43" s="49" t="s">
        <v>2</v>
      </c>
      <c r="C43" s="542" t="s">
        <v>3</v>
      </c>
      <c r="D43" s="543"/>
      <c r="E43" s="158" t="s">
        <v>15</v>
      </c>
      <c r="F43" s="157" t="s">
        <v>16</v>
      </c>
      <c r="G43" s="49" t="s">
        <v>19</v>
      </c>
      <c r="H43" s="49" t="s">
        <v>20</v>
      </c>
      <c r="I43" s="49" t="s">
        <v>20</v>
      </c>
      <c r="J43" s="49" t="s">
        <v>104</v>
      </c>
      <c r="K43" s="50" t="s">
        <v>104</v>
      </c>
      <c r="L43" s="21"/>
      <c r="N43" s="14"/>
      <c r="O43" s="14"/>
    </row>
    <row r="44" spans="1:15" ht="15.6" x14ac:dyDescent="0.3">
      <c r="A44" s="540" t="s">
        <v>60</v>
      </c>
      <c r="B44" s="366" t="s">
        <v>86</v>
      </c>
      <c r="C44" s="577" t="s">
        <v>388</v>
      </c>
      <c r="D44" s="578"/>
      <c r="E44" s="162">
        <v>0.5</v>
      </c>
      <c r="F44" s="338">
        <f>IF(E44="","",IF(E44&lt;=0,0,IF(E44&gt;=0.95,1,ROUND('Reference Standards'!C$14*E44+'Reference Standards'!C$15,2))))</f>
        <v>0.53</v>
      </c>
      <c r="G44" s="83">
        <f>IFERROR(AVERAGE(F44),"")</f>
        <v>0.53</v>
      </c>
      <c r="H44" s="610">
        <f>IFERROR(ROUND(AVERAGE(G44:G45),2),"")</f>
        <v>0.47</v>
      </c>
      <c r="I44" s="534" t="str">
        <f>IF(H44="","",IF(H44&gt;0.69,"Functioning",IF(H44&gt;0.29,"Functioning At Risk",IF(H44&gt;-1,"Not Functioning"))))</f>
        <v>Functioning At Risk</v>
      </c>
      <c r="J44" s="559">
        <f>IF(AND(H44="",H46="",H48="",H70="",H74=""),"",ROUND((IF(H44="",0,H44)*0.2)+(IF(H46="",0,H46)*0.2)+(IF(H48="",0,H48)*0.2)+(IF(H70="",0,H70)*0.2)+(IF(H74="",0,H74)*0.2),2))</f>
        <v>0.21</v>
      </c>
      <c r="K44" s="555" t="str">
        <f>IF(J44="","",IF(J44&lt;0.3, "Not Functioning",IF(OR(H44&lt;0.7,H46&lt;0.7,H48&lt;0.7,H70&lt;0.7,H74&lt;0.7),"Functioning At Risk",IF(J44&lt;0.7,"Functioning At Risk","Functioning"))))</f>
        <v>Not Functioning</v>
      </c>
      <c r="L44" s="21"/>
      <c r="N44" s="19"/>
      <c r="O44" s="14"/>
    </row>
    <row r="45" spans="1:15" s="14" customFormat="1" ht="15.6" x14ac:dyDescent="0.3">
      <c r="A45" s="571"/>
      <c r="B45" s="371" t="s">
        <v>128</v>
      </c>
      <c r="C45" s="577" t="s">
        <v>161</v>
      </c>
      <c r="D45" s="578"/>
      <c r="E45" s="43">
        <v>0.4</v>
      </c>
      <c r="F45" s="372">
        <f>IF(E45="","",IF(E45&gt;=1,1,IF(E45&lt;=0,0,ROUND(E45,2))))</f>
        <v>0.4</v>
      </c>
      <c r="G45" s="379">
        <f>IFERROR(AVERAGE(F45:F45),"")</f>
        <v>0.4</v>
      </c>
      <c r="H45" s="611"/>
      <c r="I45" s="536"/>
      <c r="J45" s="559"/>
      <c r="K45" s="555"/>
      <c r="L45" s="21"/>
      <c r="N45" s="19"/>
    </row>
    <row r="46" spans="1:15" s="14" customFormat="1" ht="15.6" x14ac:dyDescent="0.3">
      <c r="A46" s="524" t="s">
        <v>6</v>
      </c>
      <c r="B46" s="572" t="s">
        <v>7</v>
      </c>
      <c r="C46" s="575" t="s">
        <v>8</v>
      </c>
      <c r="D46" s="576"/>
      <c r="E46" s="162">
        <v>1.5</v>
      </c>
      <c r="F46" s="339">
        <f>IF(E46="","",ROUND(IF(E46&gt;1.6,0,IF(E46&lt;=1,1,E46^2*'Reference Standards'!K$14+E46*'Reference Standards'!K$15+'Reference Standards'!K$16)),2))</f>
        <v>0.31</v>
      </c>
      <c r="G46" s="579">
        <f>IFERROR(AVERAGE(F46:F47),"")</f>
        <v>0.40500000000000003</v>
      </c>
      <c r="H46" s="579">
        <f>IFERROR(ROUND(AVERAGE(G46),2),"")</f>
        <v>0.41</v>
      </c>
      <c r="I46" s="569" t="str">
        <f>IF(H46="","",IF(H46&gt;0.69,"Functioning",IF(H46&gt;0.29,"Functioning At Risk",IF(H46&gt;-1,"Not Functioning"))))</f>
        <v>Functioning At Risk</v>
      </c>
      <c r="J46" s="559"/>
      <c r="K46" s="555"/>
      <c r="L46" s="21"/>
      <c r="N46" s="19"/>
      <c r="O46" s="19"/>
    </row>
    <row r="47" spans="1:15" s="14" customFormat="1" ht="15.6" x14ac:dyDescent="0.3">
      <c r="A47" s="525"/>
      <c r="B47" s="525"/>
      <c r="C47" s="573" t="s">
        <v>9</v>
      </c>
      <c r="D47" s="574"/>
      <c r="E47" s="162">
        <v>1.3</v>
      </c>
      <c r="F47" s="339">
        <f>IF(E47="","",(IF(OR(B$11="A",B$11="B",$B$11="Bc"),IF(E47&lt;1.2,0,IF(E47&gt;=2.2,1,ROUND(IF(E47&lt;1.4,E47*'Reference Standards'!$K$84+'Reference Standards'!$K$85,E47*'Reference Standards'!$L$84+'Reference Standards'!$L$85),2))),IF(OR(B$11="C",B$11="E"),IF(E47&lt;2,0,IF(E47&gt;=5,1,ROUND(IF(E47&lt;2.4,E47*'Reference Standards'!$L$49+'Reference Standards'!$L$50,E47*'Reference Standards'!$K$49+'Reference Standards'!$K$50),2)))))))</f>
        <v>0.5</v>
      </c>
      <c r="G47" s="580"/>
      <c r="H47" s="580"/>
      <c r="I47" s="570"/>
      <c r="J47" s="559"/>
      <c r="K47" s="555"/>
      <c r="L47" s="21"/>
      <c r="N47" s="19"/>
      <c r="O47" s="19"/>
    </row>
    <row r="48" spans="1:15" s="14" customFormat="1" ht="15.75" customHeight="1" x14ac:dyDescent="0.3">
      <c r="A48" s="526" t="s">
        <v>26</v>
      </c>
      <c r="B48" s="557" t="s">
        <v>27</v>
      </c>
      <c r="C48" s="60" t="s">
        <v>333</v>
      </c>
      <c r="D48" s="244"/>
      <c r="E48" s="61"/>
      <c r="F48" s="340" t="str">
        <f>IF(E48="","",IF(OR(LEFT($B$12,2)="65",LEFT($B$12,2)="66",LEFT($B$12,2)="71"),IF(E48&gt;=850,1,IF(E48&lt;250,ROUND('Reference Standards'!$S$17*(E48)+'Reference Standards'!$S$18,2),ROUND('Reference Standards'!$T$17*E48+'Reference Standards'!$T$18,2))),  IF(E48&gt;=345,1,IF(E48&lt;=180,ROUND('Reference Standards'!$U$17*(E48)+'Reference Standards'!$U$18,2),ROUND('Reference Standards'!$V$17*E48+'Reference Standards'!$V$18,2))))    )</f>
        <v/>
      </c>
      <c r="G48" s="528">
        <f>IFERROR(AVERAGE(F48:F49),"")</f>
        <v>0</v>
      </c>
      <c r="H48" s="566">
        <f>IFERROR(ROUND(AVERAGE(G48:G69),2),"")</f>
        <v>0.16</v>
      </c>
      <c r="I48" s="555" t="str">
        <f>IF(H48="","",IF(H48&gt;0.69,"Functioning",IF(H48&gt;0.29,"Functioning At Risk",IF(H48&gt;-1,"Not Functioning"))))</f>
        <v>Not Functioning</v>
      </c>
      <c r="J48" s="559"/>
      <c r="K48" s="555"/>
      <c r="L48" s="21"/>
      <c r="N48" s="19"/>
      <c r="O48" s="19"/>
    </row>
    <row r="49" spans="1:15" s="14" customFormat="1" ht="15.6" x14ac:dyDescent="0.3">
      <c r="A49" s="520"/>
      <c r="B49" s="558"/>
      <c r="C49" s="63" t="s">
        <v>323</v>
      </c>
      <c r="D49" s="245"/>
      <c r="E49" s="53">
        <v>0</v>
      </c>
      <c r="F49" s="341">
        <f>IF(E49="","",IF(OR(LEFT($B$12,2)="65",LEFT($B$12,2)="66",LEFT($B$12,2)="71"),IF(E49&gt;=30,1,IF(E49&lt;13,ROUND('Reference Standards'!$S$53*(E49)+'Reference Standards'!$S$54,2),ROUND('Reference Standards'!$T$53*E49+'Reference Standards'!$T$54,2))),  IF(E49&gt;=16,1,IF(E49&lt;=9,ROUND('Reference Standards'!$U$53*(E49)+'Reference Standards'!$U$54,2),ROUND('Reference Standards'!$V$53*E49+'Reference Standards'!$V$54,2))))    )</f>
        <v>0</v>
      </c>
      <c r="G49" s="530"/>
      <c r="H49" s="566"/>
      <c r="I49" s="555"/>
      <c r="J49" s="559"/>
      <c r="K49" s="555"/>
      <c r="L49" s="21"/>
      <c r="N49" s="19"/>
      <c r="O49" s="19"/>
    </row>
    <row r="50" spans="1:15" s="14" customFormat="1" ht="15.6" x14ac:dyDescent="0.3">
      <c r="A50" s="520"/>
      <c r="B50" s="520" t="s">
        <v>395</v>
      </c>
      <c r="C50" s="58" t="s">
        <v>80</v>
      </c>
      <c r="D50" s="58"/>
      <c r="E50" s="165"/>
      <c r="F50" s="340" t="str">
        <f>IF(E50="","",ROUND(IF(E50&gt;0.7,0,IF(E50&lt;=0.1,1,E50^3*'Reference Standards'!S$87+E50^2*'Reference Standards'!S$88+E50*'Reference Standards'!S$89+'Reference Standards'!S$90)),2))</f>
        <v/>
      </c>
      <c r="G50" s="528">
        <f>IFERROR(ROUND(AVERAGE(F50:F53),2),"")</f>
        <v>0.42</v>
      </c>
      <c r="H50" s="567"/>
      <c r="I50" s="555"/>
      <c r="J50" s="559"/>
      <c r="K50" s="555"/>
      <c r="L50" s="21"/>
      <c r="N50" s="19"/>
      <c r="O50" s="19"/>
    </row>
    <row r="51" spans="1:15" s="14" customFormat="1" ht="15.6" x14ac:dyDescent="0.3">
      <c r="A51" s="520"/>
      <c r="B51" s="520"/>
      <c r="C51" s="58" t="s">
        <v>49</v>
      </c>
      <c r="D51" s="58"/>
      <c r="E51" s="165" t="s">
        <v>39</v>
      </c>
      <c r="F51" s="84">
        <f>IF(E51="","",IF(OR(E51="Ex/Ex",E51="Ex/VH"),0, IF(OR(E51="Ex/H",E51="VH/Ex",E51="VH/VH", E51="H/Ex",E51="H/VH",E51="M/Ex"),0.1,IF(OR(E51="Ex/M",E51="VH/H",E51="H/H", E51="M/VH"),0.2, IF(OR(E51="Ex/L",E51="VH/M",E51="H/M", E51="M/H",E51="L/Ex"),0.3, IF(OR(E51="Ex/VL",E51="VH/L",E51="H/L"),0.4, IF(OR(E51="VH/VL",E51="H/VL",E51="M/M", E51="L/VH"),0.5, IF(OR(E51="M/L",E51="L/H"),0.6, IF(OR(E51="M/VL",E51="L/M"),0.7, IF(OR(E51="L/L",E51="L/VL"),1))))))))))</f>
        <v>0.3</v>
      </c>
      <c r="G51" s="529"/>
      <c r="H51" s="567"/>
      <c r="I51" s="555"/>
      <c r="J51" s="559"/>
      <c r="K51" s="555"/>
      <c r="L51" s="21"/>
      <c r="N51" s="19"/>
      <c r="O51" s="19"/>
    </row>
    <row r="52" spans="1:15" s="14" customFormat="1" ht="15.6" x14ac:dyDescent="0.3">
      <c r="A52" s="520"/>
      <c r="B52" s="520"/>
      <c r="C52" s="58" t="s">
        <v>87</v>
      </c>
      <c r="D52" s="58"/>
      <c r="E52" s="165">
        <v>27</v>
      </c>
      <c r="F52" s="84">
        <f>IF(E52="","",ROUND(IF(E52&gt;40,0,IF(E52&lt;5,1,E52^3*'Reference Standards'!S$122+E52^2*'Reference Standards'!S$123+E52*'Reference Standards'!S$124+'Reference Standards'!S$125)),2))</f>
        <v>0.28999999999999998</v>
      </c>
      <c r="G52" s="529"/>
      <c r="H52" s="567"/>
      <c r="I52" s="555"/>
      <c r="J52" s="559"/>
      <c r="K52" s="555"/>
      <c r="L52" s="21"/>
      <c r="N52" s="19"/>
      <c r="O52" s="19"/>
    </row>
    <row r="53" spans="1:15" s="14" customFormat="1" ht="15.6" x14ac:dyDescent="0.3">
      <c r="A53" s="520"/>
      <c r="B53" s="521"/>
      <c r="C53" s="59" t="s">
        <v>394</v>
      </c>
      <c r="D53" s="59"/>
      <c r="E53" s="167">
        <v>10</v>
      </c>
      <c r="F53" s="341">
        <f>IF(E53="","",ROUND(IF(E53&gt;=30,0,IF(E53&lt;=0,1,E53*'Reference Standards'!S$156+'Reference Standards'!S$157)),2))</f>
        <v>0.67</v>
      </c>
      <c r="G53" s="530"/>
      <c r="H53" s="567"/>
      <c r="I53" s="555"/>
      <c r="J53" s="559"/>
      <c r="K53" s="555"/>
      <c r="L53" s="21"/>
      <c r="N53" s="19"/>
      <c r="O53" s="19"/>
    </row>
    <row r="54" spans="1:15" s="14" customFormat="1" ht="15.6" x14ac:dyDescent="0.3">
      <c r="A54" s="520"/>
      <c r="B54" s="520" t="s">
        <v>50</v>
      </c>
      <c r="C54" s="60" t="s">
        <v>377</v>
      </c>
      <c r="D54" s="64"/>
      <c r="E54" s="136">
        <v>2</v>
      </c>
      <c r="F54" s="294">
        <f>IF(E54="","",ROUND(IF(E54&gt;9.2,1,E54*'Reference Standards'!$S$189+'Reference Standards'!$S$190),2))</f>
        <v>0.22</v>
      </c>
      <c r="G54" s="552">
        <f>IFERROR(ROUND(AVERAGE(F54:F63),2),"")</f>
        <v>0.22</v>
      </c>
      <c r="H54" s="567"/>
      <c r="I54" s="555"/>
      <c r="J54" s="559"/>
      <c r="K54" s="555"/>
      <c r="L54" s="21"/>
      <c r="N54" s="19"/>
      <c r="O54" s="19"/>
    </row>
    <row r="55" spans="1:15" s="14" customFormat="1" ht="15.6" x14ac:dyDescent="0.3">
      <c r="A55" s="520"/>
      <c r="B55" s="520"/>
      <c r="C55" s="62" t="s">
        <v>378</v>
      </c>
      <c r="D55" s="58"/>
      <c r="E55" s="162">
        <v>2</v>
      </c>
      <c r="F55" s="294">
        <f>IF(E55="","",ROUND(IF(E55&gt;9.2,1,E55*'Reference Standards'!$S$189+'Reference Standards'!$S$190),2))</f>
        <v>0.22</v>
      </c>
      <c r="G55" s="553"/>
      <c r="H55" s="567"/>
      <c r="I55" s="555"/>
      <c r="J55" s="559"/>
      <c r="K55" s="555"/>
      <c r="L55" s="21"/>
      <c r="N55" s="19"/>
      <c r="O55" s="19"/>
    </row>
    <row r="56" spans="1:15" s="14" customFormat="1" ht="15.6" x14ac:dyDescent="0.3">
      <c r="A56" s="520"/>
      <c r="B56" s="520"/>
      <c r="C56" s="62" t="s">
        <v>379</v>
      </c>
      <c r="D56" s="58"/>
      <c r="E56" s="162">
        <v>30</v>
      </c>
      <c r="F56" s="294">
        <f>IF(E56="","",ROUND( IF(E56&gt;=200,1,IF(E56&lt;50, E56^2*'Reference Standards'!S$224+E56*'Reference Standards'!S$225+'Reference Standards'!S$226, E56*'Reference Standards'!T$224+'Reference Standards'!T$225)),2))</f>
        <v>0.3</v>
      </c>
      <c r="G56" s="553"/>
      <c r="H56" s="567"/>
      <c r="I56" s="555"/>
      <c r="J56" s="559"/>
      <c r="K56" s="555"/>
      <c r="L56" s="21"/>
      <c r="N56" s="19"/>
      <c r="O56" s="19"/>
    </row>
    <row r="57" spans="1:15" s="14" customFormat="1" ht="15.6" x14ac:dyDescent="0.3">
      <c r="A57" s="520"/>
      <c r="B57" s="520"/>
      <c r="C57" s="62" t="s">
        <v>380</v>
      </c>
      <c r="D57" s="58"/>
      <c r="E57" s="162">
        <v>40</v>
      </c>
      <c r="F57" s="294">
        <f>IF(E57="","",ROUND( IF(E57&gt;=200,1,IF(E57&lt;50, E57^2*'Reference Standards'!S$224+E57*'Reference Standards'!S$225+'Reference Standards'!S$226, E57*'Reference Standards'!T$224+'Reference Standards'!T$225)),2))</f>
        <v>0.48</v>
      </c>
      <c r="G57" s="553"/>
      <c r="H57" s="567"/>
      <c r="I57" s="555"/>
      <c r="J57" s="559"/>
      <c r="K57" s="555"/>
      <c r="L57" s="21"/>
      <c r="N57" s="19"/>
      <c r="O57" s="19"/>
    </row>
    <row r="58" spans="1:15" s="14" customFormat="1" ht="15.6" x14ac:dyDescent="0.3">
      <c r="A58" s="520"/>
      <c r="B58" s="520"/>
      <c r="C58" s="58" t="s">
        <v>381</v>
      </c>
      <c r="D58" s="58"/>
      <c r="E58" s="162">
        <v>25</v>
      </c>
      <c r="F58" s="294">
        <f>IF(E58="","",ROUND(IF(AND(E58&gt;=135,E58&lt;=262),1,IF(  E58&gt;=366,0.5, IF(E58&lt;135,E58*'Reference Standards'!S$259+'Reference Standards'!S$260, E58*'Reference Standards'!T$259+'Reference Standards'!T$260))),2))</f>
        <v>0.19</v>
      </c>
      <c r="G58" s="553"/>
      <c r="H58" s="567"/>
      <c r="I58" s="555"/>
      <c r="J58" s="559"/>
      <c r="K58" s="555"/>
      <c r="L58" s="21"/>
      <c r="N58" s="19"/>
      <c r="O58" s="19"/>
    </row>
    <row r="59" spans="1:15" s="14" customFormat="1" ht="15.6" x14ac:dyDescent="0.3">
      <c r="A59" s="520"/>
      <c r="B59" s="520"/>
      <c r="C59" s="58" t="s">
        <v>382</v>
      </c>
      <c r="D59" s="58"/>
      <c r="E59" s="162">
        <v>28</v>
      </c>
      <c r="F59" s="294">
        <f>IF(E59="","",ROUND(IF(AND(E59&gt;=135,E59&lt;=262),1,IF(  E59&gt;=366,0.5, IF(E59&lt;135,E59*'Reference Standards'!S$259+'Reference Standards'!S$260, E59*'Reference Standards'!T$259+'Reference Standards'!T$260))),2))</f>
        <v>0.21</v>
      </c>
      <c r="G59" s="553"/>
      <c r="H59" s="567"/>
      <c r="I59" s="555"/>
      <c r="J59" s="559"/>
      <c r="K59" s="555"/>
      <c r="L59" s="21"/>
      <c r="N59" s="19"/>
      <c r="O59" s="19"/>
    </row>
    <row r="60" spans="1:15" s="14" customFormat="1" ht="15.6" x14ac:dyDescent="0.3">
      <c r="A60" s="520"/>
      <c r="B60" s="520"/>
      <c r="C60" s="58" t="s">
        <v>383</v>
      </c>
      <c r="D60" s="58"/>
      <c r="E60" s="162">
        <v>10</v>
      </c>
      <c r="F60" s="84">
        <f>IF(E60="","",ROUND(IF(E60&gt;=75,1,IF(E60&lt;=0,0,E60*'Reference Standards'!S$330)),2))</f>
        <v>0.13</v>
      </c>
      <c r="G60" s="553"/>
      <c r="H60" s="567"/>
      <c r="I60" s="555"/>
      <c r="J60" s="559"/>
      <c r="K60" s="555"/>
      <c r="L60" s="21"/>
      <c r="N60" s="19"/>
      <c r="O60" s="19"/>
    </row>
    <row r="61" spans="1:15" s="14" customFormat="1" ht="15.6" x14ac:dyDescent="0.3">
      <c r="A61" s="520"/>
      <c r="B61" s="520"/>
      <c r="C61" s="58" t="s">
        <v>384</v>
      </c>
      <c r="D61" s="58"/>
      <c r="E61" s="162">
        <v>10</v>
      </c>
      <c r="F61" s="84">
        <f>IF(E61="","",ROUND(IF(E61&gt;=75,1,IF(E61&lt;=0,0,E61*'Reference Standards'!S$330)),2))</f>
        <v>0.13</v>
      </c>
      <c r="G61" s="553"/>
      <c r="H61" s="567"/>
      <c r="I61" s="555"/>
      <c r="J61" s="559"/>
      <c r="K61" s="555"/>
      <c r="L61" s="21"/>
      <c r="N61" s="19"/>
      <c r="O61" s="19"/>
    </row>
    <row r="62" spans="1:15" s="14" customFormat="1" ht="15.6" x14ac:dyDescent="0.3">
      <c r="A62" s="520"/>
      <c r="B62" s="520"/>
      <c r="C62" s="58" t="s">
        <v>385</v>
      </c>
      <c r="D62" s="58"/>
      <c r="E62" s="162">
        <v>10</v>
      </c>
      <c r="F62" s="294">
        <f>IF(E62="","",ROUND(IF(AND(E62&gt;=36.3,E62&lt;=68),1,IF(E62&gt;100,0,IF(E62&lt;36.3,(('Reference Standards'!S$297*(E62^2))+('Reference Standards'!S$298*E62)+'Reference Standards'!S$299),IF(E62&gt;68,(('Reference Standards'!T$297*(E62^2))+('Reference Standards'!T$298*E62)+'Reference Standards'!T$299))))),2))</f>
        <v>0.14000000000000001</v>
      </c>
      <c r="G62" s="553"/>
      <c r="H62" s="567"/>
      <c r="I62" s="555"/>
      <c r="J62" s="559"/>
      <c r="K62" s="555"/>
      <c r="L62" s="21"/>
      <c r="N62" s="19"/>
      <c r="O62" s="19"/>
    </row>
    <row r="63" spans="1:15" s="14" customFormat="1" ht="15.6" x14ac:dyDescent="0.3">
      <c r="A63" s="520"/>
      <c r="B63" s="521"/>
      <c r="C63" s="58" t="s">
        <v>386</v>
      </c>
      <c r="D63" s="65"/>
      <c r="E63" s="162">
        <v>10</v>
      </c>
      <c r="F63" s="294">
        <f>IF(E63="","",ROUND(IF(AND(E63&gt;=36.3,E63&lt;=68),1,IF(E63&gt;100,0,IF(E63&lt;36.3,(('Reference Standards'!S$297*(E63^2))+('Reference Standards'!S$298*E63)+'Reference Standards'!S$299),IF(E63&gt;68,(('Reference Standards'!T$297*(E63^2))+('Reference Standards'!T$298*E63)+'Reference Standards'!T$299))))),2))</f>
        <v>0.14000000000000001</v>
      </c>
      <c r="G63" s="554"/>
      <c r="H63" s="567"/>
      <c r="I63" s="555"/>
      <c r="J63" s="559"/>
      <c r="K63" s="555"/>
      <c r="L63" s="21"/>
      <c r="N63" s="19"/>
      <c r="O63" s="19"/>
    </row>
    <row r="64" spans="1:15" s="14" customFormat="1" ht="15.6" x14ac:dyDescent="0.3">
      <c r="A64" s="520"/>
      <c r="B64" s="56" t="s">
        <v>108</v>
      </c>
      <c r="C64" s="72" t="s">
        <v>130</v>
      </c>
      <c r="D64" s="58"/>
      <c r="E64" s="43"/>
      <c r="F64" s="82" t="str">
        <f>IF(E64="","",IF(OR(B$14="Gravel",B$14="Cobble"),IF(E64&gt;0.1,1,IF(E64&lt;=0.01,0,ROUND(E64*'Reference Standards'!$S$362+'Reference Standards'!$S$363,2)))))</f>
        <v/>
      </c>
      <c r="G64" s="82" t="str">
        <f>IFERROR(AVERAGE(F64),"")</f>
        <v/>
      </c>
      <c r="H64" s="567"/>
      <c r="I64" s="555"/>
      <c r="J64" s="559"/>
      <c r="K64" s="555"/>
      <c r="L64" s="21"/>
      <c r="N64" s="19"/>
      <c r="O64" s="19"/>
    </row>
    <row r="65" spans="1:15" s="14" customFormat="1" ht="15.6" x14ac:dyDescent="0.3">
      <c r="A65" s="520"/>
      <c r="B65" s="526" t="s">
        <v>51</v>
      </c>
      <c r="C65" s="64" t="s">
        <v>52</v>
      </c>
      <c r="D65" s="64"/>
      <c r="E65" s="166">
        <v>6.2</v>
      </c>
      <c r="F65" s="337">
        <f>IF(E65="","", IF(ISNUMBER($B$17), IF($B$17&lt;=2,   IF(AND(E65&gt;=3,E65&lt;=5),1, IF(OR(E65&lt;=1,E65&gt;=7), 0, ROUND( IF(E65&lt;3, E65*'Reference Standards'!S$398+'Reference Standards'!S$399,E65*'Reference Standards'!T$398+'Reference Standards'!T$399),2) ) ),   IF(E65&lt;=2.5,1, IF(E65&gt;=5.8,0, E65*'Reference Standards'!S$430+'Reference Standards'!S$431)))   ))</f>
        <v>0.28000000000000003</v>
      </c>
      <c r="G65" s="528">
        <f>IFERROR(AVERAGE(F65:F68),"")</f>
        <v>0.16</v>
      </c>
      <c r="H65" s="567"/>
      <c r="I65" s="555"/>
      <c r="J65" s="559"/>
      <c r="K65" s="555"/>
      <c r="L65" s="21"/>
      <c r="N65" s="19"/>
      <c r="O65" s="19"/>
    </row>
    <row r="66" spans="1:15" s="14" customFormat="1" ht="15.6" x14ac:dyDescent="0.3">
      <c r="A66" s="520"/>
      <c r="B66" s="520"/>
      <c r="C66" s="58" t="s">
        <v>53</v>
      </c>
      <c r="D66" s="58"/>
      <c r="E66" s="165">
        <v>1</v>
      </c>
      <c r="F66" s="84">
        <f>IF(E66="","", IF( E66&gt;=2.4,1, IF(E66&lt;=1,0,  ROUND(IF(E66&lt;2.4, E66*'Reference Standards'!$S$464+'Reference Standards'!$S$465  ),2))))</f>
        <v>0</v>
      </c>
      <c r="G66" s="529"/>
      <c r="H66" s="567"/>
      <c r="I66" s="555"/>
      <c r="J66" s="559"/>
      <c r="K66" s="555"/>
      <c r="L66" s="21"/>
      <c r="N66" s="19"/>
      <c r="O66" s="19"/>
    </row>
    <row r="67" spans="1:15" s="14" customFormat="1" ht="15.6" x14ac:dyDescent="0.3">
      <c r="A67" s="520"/>
      <c r="B67" s="520"/>
      <c r="C67" s="58" t="s">
        <v>334</v>
      </c>
      <c r="D67" s="58"/>
      <c r="E67" s="165">
        <v>25</v>
      </c>
      <c r="F67" s="390">
        <f>IF(E67="","", IF(LEFT($B$12,2)="67",  IF( AND(E67&gt;=45,E67&lt;=65),1, IF(OR(E67&lt;=20,E67&gt;=90),0, ROUND(  IF(E67&lt;45, E67*'Reference Standards'!$S$498+'Reference Standards'!$S$499,E67*'Reference Standards'!$T$498+'Reference Standards'!$T$499),2))), IF(OR(  LEFT($B$12,2)="68", LEFT($B$12,2)="69",LEFT($B$12,2)="71"),  IF( AND(E67&gt;=30,E67&lt;=50),1, IF(OR(E67&lt;=10,E67&gt;=70),0, ROUND(  IF(E67&lt;30, E67*'Reference Standards'!$S$533+'Reference Standards'!$S$534,E67*'Reference Standards'!$T$533+'Reference Standards'!$T$534),2))), IF(LEFT($B$12,2)="66",  IF( AND(E67&gt;=20,E67&lt;=45),1, IF(OR(E67&lt;=0,E67&gt;=90),0, ROUND(  IF(E67&lt;20, E67*'Reference Standards'!$S$567+'Reference Standards'!$S$568,E67*'Reference Standards'!$T$567+'Reference Standards'!$T$568),2))), IF(OR(  LEFT($B$12,2)="65", LEFT($B$12,2)="74", LEFT($B$12,2)="73"),  IF( AND(E67&gt;=20,E67&lt;=30),1, IF(OR(E67&lt;=0,E67&gt;=50),0, ROUND(  IF(E67&lt;20, E67*'Reference Standards'!$S$601+'Reference Standards'!$S$602,E67*'Reference Standards'!$T$601+'Reference Standards'!$T$602),2))))))))</f>
        <v>0.2</v>
      </c>
      <c r="G67" s="529"/>
      <c r="H67" s="567"/>
      <c r="I67" s="555"/>
      <c r="J67" s="559"/>
      <c r="K67" s="555"/>
      <c r="L67" s="21"/>
      <c r="N67" s="19"/>
      <c r="O67" s="19"/>
    </row>
    <row r="68" spans="1:15" ht="15.6" x14ac:dyDescent="0.3">
      <c r="A68" s="520"/>
      <c r="B68" s="521"/>
      <c r="C68" s="62" t="s">
        <v>210</v>
      </c>
      <c r="D68" s="58"/>
      <c r="E68" s="167"/>
      <c r="F68" s="391" t="str">
        <f>IF(E68="","",IF(E68&gt;=1.6,0,IF(E68&lt;=1,1,ROUND('Reference Standards'!$S$633*E68^3+'Reference Standards'!$S$634*E68^2+'Reference Standards'!$S$635*E68+'Reference Standards'!$S$636,2))))</f>
        <v/>
      </c>
      <c r="G68" s="530"/>
      <c r="H68" s="567"/>
      <c r="I68" s="555"/>
      <c r="J68" s="559"/>
      <c r="K68" s="555"/>
      <c r="L68" s="21"/>
      <c r="N68" s="19"/>
      <c r="O68" s="19"/>
    </row>
    <row r="69" spans="1:15" ht="15.6" x14ac:dyDescent="0.3">
      <c r="A69" s="521"/>
      <c r="B69" s="187" t="s">
        <v>55</v>
      </c>
      <c r="C69" s="242" t="s">
        <v>54</v>
      </c>
      <c r="D69" s="243"/>
      <c r="E69" s="241">
        <v>1</v>
      </c>
      <c r="F69" s="342">
        <f>IF(E69="","",IF(AND(B$11="E",$B$14="Sand",$B$21="Unconfined Alluvial"),ROUND(IF(OR(E69&gt;1.8,E69&lt;1.3),0,IF(E69&lt;=1.6,1,E69*'Reference Standards'!S$667+'Reference Standards'!S$668)),2),    IF($B$21="Unconfined Alluvial",ROUND(IF(OR(E69&lt;1.2, E69&gt;1.5),0,IF(E69&lt;=1.4,1,E69*'Reference Standards'!$S$700+'Reference Standards'!$S$701)),2), IF($B$21="Confined Alluvial",ROUND(IF(E69&lt;1.15,0,IF(E69&lt;=1.4,E69*'Reference Standards'!$S$729+'Reference Standards'!$S$730,1)),2),  IF($B$21="Colluvial",ROUND(IF(E69&gt;1.3,0,IF(E69&gt;1.2,E69*'Reference Standards'!$S$760+'Reference Standards'!$S$761,1)),2) )))))</f>
        <v>0</v>
      </c>
      <c r="G69" s="84">
        <f>IFERROR(AVERAGE(F69),"")</f>
        <v>0</v>
      </c>
      <c r="H69" s="567"/>
      <c r="I69" s="555"/>
      <c r="J69" s="559"/>
      <c r="K69" s="555"/>
      <c r="L69" s="21"/>
      <c r="N69" s="19"/>
      <c r="O69" s="19"/>
    </row>
    <row r="70" spans="1:15" ht="15.6" x14ac:dyDescent="0.3">
      <c r="A70" s="537" t="s">
        <v>58</v>
      </c>
      <c r="B70" s="67" t="s">
        <v>88</v>
      </c>
      <c r="C70" s="70" t="s">
        <v>338</v>
      </c>
      <c r="D70" s="70"/>
      <c r="E70" s="43"/>
      <c r="F70" s="343" t="str">
        <f>IF(E70="","",ROUND(IF(E70&gt;=942,0,IF(E70&lt;=487,E70*'Reference Standards'!AB$15+'Reference Standards'!AB$16,E70*'Reference Standards'!$AC$15+'Reference Standards'!$AC$16)),2))</f>
        <v/>
      </c>
      <c r="G70" s="85" t="str">
        <f>IFERROR(AVERAGE(F70),"")</f>
        <v/>
      </c>
      <c r="H70" s="547" t="str">
        <f>IFERROR(ROUND(AVERAGE(G70:G73),2),"")</f>
        <v/>
      </c>
      <c r="I70" s="534" t="str">
        <f>IF(H70="","",IF(H70&gt;0.69,"Functioning",IF(H70&gt;0.29,"Functioning At Risk",IF(H70&gt;-1,"Not Functioning"))))</f>
        <v/>
      </c>
      <c r="J70" s="559"/>
      <c r="K70" s="555"/>
      <c r="L70" s="21"/>
      <c r="O70" s="19"/>
    </row>
    <row r="71" spans="1:15" s="14" customFormat="1" ht="15.6" x14ac:dyDescent="0.3">
      <c r="A71" s="538"/>
      <c r="B71" s="289" t="s">
        <v>362</v>
      </c>
      <c r="C71" s="66" t="s">
        <v>354</v>
      </c>
      <c r="D71" s="66"/>
      <c r="E71" s="163"/>
      <c r="F71" s="344" t="str">
        <f>IF(E71="","",IF(OR($B$12="65abei", $B$12="65j", $B$12="66d", $B$12="66e", $B$12="66ik", $B$12="66f", $B$12="66g", $B$12="66j", $B$12="68a", $B$12="69de", $B$12="74b",AND(OR($B$12="67fhi", $B$12="67g"),$B$13&lt;=2),AND(OR($B$12="68c", $B$12="68d"),$B$19="January - June")),IF(E71&gt;93,0,IF(E71&lt;13,1,ROUND('Reference Standards'!$AB$53*E71^2+'Reference Standards'!$AB$54*E71+'Reference Standards'!$AB$55,2))),   IF(OR(AND(OR($B$12="67fhi", $B$12="67g",$B$12="71f",$B$12="71g",$B$12="71h"),$B$13&gt;2),AND(OR($B$12="68c", $B$12="68d"),$B$19="July - December"),$B$12="73a",$B$12="73b"),IF(E71&gt;94,0,IF(E71&lt;17,1,ROUND('Reference Standards'!$AC$53*E71^2+'Reference Standards'!$AC$54*E71+'Reference Standards'!$AC$55,2))),    IF(OR(AND(OR($B$12="68b",$B$12="71i"),$B$13&gt;2), $B$12="71e"),IF(E71&gt;91,0,IF(E71&lt;24,1,ROUND('Reference Standards'!$AD$53*E71^2+'Reference Standards'!$AD$54*E71+'Reference Standards'!$AD$55,2))),  IF(OR(AND(OR($B$12="71f",$B$12="71g",$B$12="71h",$B$12="71i"),$B$13&lt;=2), AND($B$12="74a",$B$13&gt;2)),IF(E71&gt;95,0,IF(E71&lt;=36,1,ROUND('Reference Standards'!$AE$53*E71^2+'Reference Standards'!$AE$54*E71+'Reference Standards'!$AE$55,2))))))))</f>
        <v/>
      </c>
      <c r="G71" s="236" t="str">
        <f>IFERROR(AVERAGE(F71:F71),"")</f>
        <v/>
      </c>
      <c r="H71" s="548"/>
      <c r="I71" s="535"/>
      <c r="J71" s="559"/>
      <c r="K71" s="555"/>
      <c r="L71" s="21"/>
      <c r="O71" s="19"/>
    </row>
    <row r="72" spans="1:15" ht="15.6" x14ac:dyDescent="0.3">
      <c r="A72" s="538"/>
      <c r="B72" s="67" t="s">
        <v>81</v>
      </c>
      <c r="C72" s="68" t="s">
        <v>281</v>
      </c>
      <c r="D72" s="68"/>
      <c r="E72" s="162"/>
      <c r="F72" s="344" t="str">
        <f>IF(E72="","",IF(ISNUMBER($B$13), IF(OR($B$12="66e",$B$12="66f",$B$12="66g"), ROUND(IF(E72&gt;=0.61,0,IF(E72&lt;=0.01,1,IF(E72&lt;=0.06,E72*'Reference Standards'!$AD$197+'Reference Standards'!$AD$198,E72^2*'Reference Standards'!$AB$196+E72*'Reference Standards'!$AB$197+'Reference Standards'!$AB$198))),2),  IF($B$12="68b", ROUND(IF(E72&gt;=1.1,0,IF(E72&lt;=0.17,1,IF(E72&lt;=0.22,E72*'Reference Standards'!$AE$197+'Reference Standards'!$AE$198,E72^2*'Reference Standards'!$AC$196+E72*'Reference Standards'!$AC$197+'Reference Standards'!$AC$198))),2),IF($B$13&lt;=2.5,   IF($B$12="69de",ROUND(IF(E72&gt;=0.22,0,IF(E72&lt;=0.01,1,E72^2*'Reference Standards'!$AB$90+E72*'Reference Standards'!$AB$91+'Reference Standards'!$AB$92)),2),   IF($B$12="68c",ROUND(IF(E72&gt;=0.87,0,IF(E72&lt;=0.01,1,E72^2*'Reference Standards'!$AC$90+E72*'Reference Standards'!$AC$91+'Reference Standards'!$AC$92)),2),   IF($B$12="68a",ROUND(IF(E72&gt;=0.81,0,IF(E72&lt;=0.01,1,E72^2*'Reference Standards'!$AD$90+E72*'Reference Standards'!$AD$91+'Reference Standards'!$AD$92)),2),   IF($B$12="65abei",ROUND(IF(E72&gt;=0.67,0,IF(E72&lt;=0.01,1,IF(E72&lt;=0.18,E72*'Reference Standards'!$AG$91+'Reference Standards'!$AG$92,E72*'Reference Standards'!$AE$91+'Reference Standards'!$AE$92))),2),   IF($B$12="65j",ROUND(IF(E72&gt;=0.32,0,IF(E72&lt;=0.01,1,IF(E72&lt;=0.25,E72*'Reference Standards'!$AH$91+'Reference Standards'!$AH$92,E72*'Reference Standards'!$AF$91+'Reference Standards'!$AF$92))),2),   IF($B$12="71f",ROUND(IF(E72&gt;=3,0,IF(E72&lt;=0,1,IF(E72&lt;=0.01,0.7,E72^2*'Reference Standards'!$AB$126+E72*'Reference Standards'!$AB$127+'Reference Standards'!$AB$128))),2),   IF($B$12="74a",ROUND(IF(E72&gt;=0.14,0,IF(E72&lt;=0.01,1,IF(E72&lt;=0.02,0.7,E72^2*'Reference Standards'!$AC$126+E72*'Reference Standards'!$AC$127+'Reference Standards'!$AC$128))),2),   IF(OR($B$12="67fhi",$B$12="67g"),ROUND(IF(E72&gt;=1.9,0,IF(E72&lt;=0.01,1,IF(E72&lt;=0.05,E72*'Reference Standards'!$AF$127+'Reference Standards'!$AF$128,E72^2*'Reference Standards'!$AD$126+E72*'Reference Standards'!$AD$127+'Reference Standards'!$AD$128))),2),   IF($B$12="73a",ROUND(IF(E72&gt;=1.44,0,IF(E72&lt;=0.01,1,IF(E72&lt;=0.12,E72*'Reference Standards'!$AG$127+'Reference Standards'!$AG$128,E72^2*'Reference Standards'!$AE$126+E72*'Reference Standards'!$AE$127+'Reference Standards'!$AE$128))),2),   IF($B$12="66d",ROUND(IF(E72&gt;=0.46,0,IF(E72&lt;=0.02,1,IF(E72&lt;=0.08,E72*'Reference Standards'!$AF$163+'Reference Standards'!$AF$164,E72^2*'Reference Standards'!$AB$162+E72*'Reference Standards'!$AB$163+'Reference Standards'!$AB$164))),2),   IF(OR($B$12="71g",$B$12="71h",$B$12="71i"),ROUND(IF(E72&gt;=3,0,IF(E72&lt;=0.06,1,IF(E72&lt;=0.24,E72*'Reference Standards'!$AG$163+'Reference Standards'!$AG$164, E72^2*'Reference Standards'!$AC$162+E72*'Reference Standards'!$AC$163+'Reference Standards'!$AC$164))),2),   IF($B$12="74b",ROUND(IF(E72&gt;=1.3,0,IF(E72&lt;=0.29,1,IF(E72&lt;=0.48,E72*'Reference Standards'!$AH$163+'Reference Standards'!$AH$164,E72^2*'Reference Standards'!$AD$162+E72*'Reference Standards'!$AD$163+'Reference Standards'!$AD$164))),2),   IF($B$12="71e",ROUND(IF(E72&gt;=4.3,0,IF(E72&lt;=0.53,1,IF(E72&lt;=0.67,E72*'Reference Standards'!$AI$163+'Reference Standards'!$AI$164,E72^2*'Reference Standards'!$AE$162+E72*'Reference Standards'!$AE$163+'Reference Standards'!$AE$164))),2)       ))))))))))))),IF($B$13&gt;2.5,    IF($B$12="73a",ROUND(IF(E72&gt;=0.55,0,IF(E72&lt;=0,1,E72^2*'Reference Standards'!$AB$232+E72*'Reference Standards'!$AB$233+'Reference Standards'!$AB$234)),2),   IF($B$12="68a",ROUND(IF(E72&gt;=0.54,0,IF(E72&lt;=0,1, IF(E72&lt;=0.01,0.85, E72^2*'Reference Standards'!$AC$232+E72*'Reference Standards'!$AC$233+'Reference Standards'!$AC$234))),2),   IF($B$12="74a",ROUND(IF(E72&gt;=0.47,0,IF(E72&lt;=0.01,1, IF(E72&lt;=0.02,0.7, E72^2*'Reference Standards'!$AD$232+E72*'Reference Standards'!$AD$233+'Reference Standards'!$AD$234))),2),    IF($B$12="69de",ROUND(IF(E72&gt;=0.26,0,IF(E72&lt;=0.01,1, IF(E72&lt;=0.02,0.85, E72^2*'Reference Standards'!$AE$232+E72*'Reference Standards'!$AE$233+'Reference Standards'!$AE$234))),2),   IF($B$12="71f",ROUND(IF(E72&gt;=0.87,0,IF(E72&lt;=0.01,1,IF(E72&lt;=0.04,E72*'Reference Standards'!$AF$269+'Reference Standards'!$AF$270,E72^2*'Reference Standards'!$AB$268+E72*'Reference Standards'!$AB$269+'Reference Standards'!$AB$270))),2),  IF($B$12="65abei",ROUND(IF(E72&gt;=0.82,0,IF(E72&lt;=0.01,1,IF(E72&lt;=0.06,E72*'Reference Standards'!$AG$269+'Reference Standards'!$AG$270,E72^2*'Reference Standards'!$AC$268+E72*'Reference Standards'!$AC$269+'Reference Standards'!$AC$270))),2),  IF($B$12="65j",ROUND(IF(E72&gt;=0.33,0,IF(E72&lt;=0.03,1,IF(E72&lt;=0.09,E72*'Reference Standards'!$AH$269+'Reference Standards'!$AH$270,E72^2*'Reference Standards'!$AD$268+E72*'Reference Standards'!$AD$269+'Reference Standards'!$AD$270))),2),  IF($B$12="68c",ROUND(IF(E72&gt;=0.7,0,IF(E72&lt;=0.07,1,IF(E72&lt;=0.12,E72*'Reference Standards'!$AI$269+'Reference Standards'!$AI$270,E72^2*'Reference Standards'!$AE$268+E72*'Reference Standards'!$AE$269+'Reference Standards'!$AE$270))),2),   IF(OR($B$12="67fhi",$B$12="67g"),ROUND(IF(E72&gt;=1.8,0,IF(E72&lt;=0.08,1,IF(E72&lt;=0.2,E72*'Reference Standards'!$AF$306+'Reference Standards'!$AF$307,E72^2*'Reference Standards'!$AB$305+E72*'Reference Standards'!$AB$306+'Reference Standards'!$AB$307))),2),   IF($B$12="74b",ROUND(IF(E72&gt;=0.96,0,IF(E72&lt;=0.12,1,IF(E72&lt;=0.16,E72*'Reference Standards'!$AG$306+'Reference Standards'!$AG$307,E72^2*'Reference Standards'!$AC$305+E72*'Reference Standards'!$AC$306+'Reference Standards'!$AC$307))),2),   IF($B$12="66d",ROUND(IF(E72&gt;=0.75,0,IF(E72&lt;=0.13,1,IF(E72&lt;=0.2,E72*'Reference Standards'!$AH$306+'Reference Standards'!$AH$307,E72^2*'Reference Standards'!$AD$305+E72*'Reference Standards'!$AD$306+'Reference Standards'!$AD$307))),2),    IF(OR($B$12="71g",$B$12="71h",$B$12="71i"),ROUND(IF(E72&gt;=1.68,0,IF(E72&lt;=0.08,1,IF(E72&lt;=0.23,E72*'Reference Standards'!$AI$306+'Reference Standards'!$AI$307,E72^2*'Reference Standards'!$AE$305+E72*'Reference Standards'!$AE$306+'Reference Standards'!$AE$307))),2),   IF($B$12="71e",ROUND(IF(E72&gt;=5.3,0,IF(E72&lt;=0.94,1,IF(E72&lt;=1.4,E72*'Reference Standards'!$AF$310+'Reference Standards'!$AF$311,E72^2*'Reference Standards'!$AB$309+E72*'Reference Standards'!$AB$310+'Reference Standards'!$AB$311))),2))    ))))))))))))))))))</f>
        <v/>
      </c>
      <c r="G72" s="86" t="str">
        <f>IFERROR(AVERAGE(F72),"")</f>
        <v/>
      </c>
      <c r="H72" s="548"/>
      <c r="I72" s="535"/>
      <c r="J72" s="559"/>
      <c r="K72" s="555"/>
      <c r="L72" s="21"/>
      <c r="N72" s="14"/>
      <c r="O72" s="19"/>
    </row>
    <row r="73" spans="1:15" ht="15.6" x14ac:dyDescent="0.3">
      <c r="A73" s="539"/>
      <c r="B73" s="283" t="s">
        <v>82</v>
      </c>
      <c r="C73" s="66" t="s">
        <v>280</v>
      </c>
      <c r="D73" s="66"/>
      <c r="E73" s="136"/>
      <c r="F73" s="343" t="str">
        <f>IF(E73="","", IF(ISNUMBER($B$13), IF($B$13&gt;2.5,IF(OR($B$12="71h",$B$12="71i",$B$12="73a",$B$12="74a"),IF(E73&lt;=0.01,1,IF(OR($B$12="71h",$B$12="71i"),IF(E73&gt;0.37,0,ROUND(IF(E73&gt;0.03,'Reference Standards'!$AB$425*E73^2+'Reference Standards'!$AB$426*E73+'Reference Standards'!$AB$427,'Reference Standards'!$AF$426*E73+'Reference Standards'!$AF$427),2)),  IF($B$12="73a",IF(E73&gt;0.405,0,ROUND(IF(E73&gt;0.046,'Reference Standards'!$AC$425*E73^2+'Reference Standards'!$AC$426*E73+'Reference Standards'!$AC$427,'Reference Standards'!$AG$426*E73+'Reference Standards'!$AG$427),2)),IF($B$12="74a",IF(E73&gt;0.3,0,ROUND(IF(E73&gt;0.052,'Reference Standards'!$AD$425*E73^2+'Reference Standards'!$AD$426*E73+'Reference Standards'!$AD$427,'Reference Standards'!$AH$426*E73+'Reference Standards'!$AH$427),2)))))),   IF(E73&lt;=0.002,1,IF(OR($B$12="66d",$B$12="66e",$B$12="66g"),IF(E73&gt;0.053,0,ROUND(E73^2*'Reference Standards'!$AB$347+E73*'Reference Standards'!$AB$348+'Reference Standards'!$AB$349,2)), IF($B$12="68b",IF(E73&gt;0.05,0,ROUND(E73^2*'Reference Standards'!$AC$347+E73*'Reference Standards'!$AC$348+'Reference Standards'!$AC$349,2)),  IF(OR($B$12="68a",$B$12="68c"),IF(E73&gt;0.07,0,ROUND(E73^2*'Reference Standards'!$AD$347+E73*'Reference Standards'!$AD$348+'Reference Standards'!$AD$349,2)), IF(OR($B$12="71f",$B$12="71g"),IF(E73&gt;0.13,0,ROUND(IF(E73&gt;0.042,E73*'Reference Standards'!$AE$348+'Reference Standards'!$AE$349,E73*'Reference Standards'!$AF$348+'Reference Standards'!$AF$349),2)), IF($B$12="67fhi",IF(E73&gt;0.16,0,ROUND(E73^2*'Reference Standards'!$AG$347+E73*'Reference Standards'!$AG$348+'Reference Standards'!$AG$349,2)),  IF($B$12="65j",IF(E73&gt;0.035,0,ROUND(IF(E73&lt;=0.003,0.7,E73^2*'Reference Standards'!$AB$387+E73*'Reference Standards'!$AB$388+'Reference Standards'!$AB$389),2)),IF($B$12="69de",IF(E73&gt;0.037,0,ROUND(IF(E73&lt;=0.003,0.7,E73^2*'Reference Standards'!$AC$387+E73*'Reference Standards'!$AC$388+'Reference Standards'!$AC$389),2)),IF($B$12="71e",IF(E73&gt;0.23,0,ROUND(IF(E73&lt;=0.003,0.7,E73^2*'Reference Standards'!$AD$387+E73*'Reference Standards'!$AD$388+'Reference Standards'!$AD$389),2)),IF($B$12="66f",IF(E73&gt;0.06,0,ROUND(IF(E73&lt;=0.003,0.85,IF(E73&lt;=0.004,0.7,E73^2*'Reference Standards'!$AE$387+E73*'Reference Standards'!$AE$388+'Reference Standards'!$AE$389)),2)),IF($B$12="67g",IF(E73&gt;0.11,0,ROUND(IF(E73&lt;=0.01,E73*'Reference Standards'!$AH$388+'Reference Standards'!$AH$389, E73^2*'Reference Standards'!$AF$387+E73*'Reference Standards'!$AF$388+'Reference Standards'!$AF$389),2)),IF($B$12="74b",IF(E73&gt;0.49,0,ROUND(IF(E73&lt;=0.01,E73*'Reference Standards'!$AH$388+'Reference Standards'!$AH$389, E73^2*'Reference Standards'!$AG$387+E73*'Reference Standards'!$AG$388+'Reference Standards'!$AG$389),2)),IF($B$12="65abei",IF(E73&gt;0.199,0,ROUND(IF(E73&lt;=0.01,E73*'Reference Standards'!$AI$426+'Reference Standards'!$AI$427, E73^2*'Reference Standards'!$AE$425+E73*'Reference Standards'!$AE$426+'Reference Standards'!$AE$427),2))    )))))))))))))),      IF($B$13&lt;=2.5, IF(OR($B$12="66d",$B$12="66e",$B$12="66g"),IF(E73&gt;0.05,0,ROUND(IF(E73&lt;=0.002,1,IF(E73&lt;=0.005,E73*'Reference Standards'!$AF$464+'Reference Standards'!$AF$465, E73^2*'Reference Standards'!$AB$463+E73*'Reference Standards'!$AB$464+'Reference Standards'!$AB$465)),2)), IF($B$12="67fhi",IF(E73&gt;0.1,0,ROUND(IF(E73&lt;=0.002,1,IF(E73&lt;=0.006,E73*'Reference Standards'!$AG$464+'Reference Standards'!$AG$465, E73^2*'Reference Standards'!$AC$463+E73*'Reference Standards'!$AC$464+'Reference Standards'!$AC$465)),2)), IF($B$12="65abei",IF(E73&gt;0.13,0,ROUND(IF(E73&lt;=0.003,1,IF(E73&lt;=0.008,E73*'Reference Standards'!$AH$464+'Reference Standards'!$AH$465, E73^2*'Reference Standards'!$AD$463+E73*'Reference Standards'!$AD$464+'Reference Standards'!$AD$465)),2)), IF($B$12="68b",IF(E73&gt;0.043,0,ROUND(IF(E73&lt;=0.004,1, IF(E73&lt;=0.005,0.7, E73^2*'Reference Standards'!$AE$463+E73*'Reference Standards'!$AE$464+'Reference Standards'!$AE$465)),2)), IF($B$12="69de",IF(E73&gt;=0.034,0,ROUND(IF(E73&lt;=0.003,1, IF(E73&lt;=0.006,E73*'Reference Standards'!$AG$500+'Reference Standards'!$AG$501, E73*'Reference Standards'!$AB$500+'Reference Standards'!$AB$501)),2)), IF(OR($B$12="68a",$B$12="68c"),IF(E73&gt;0.202,0,ROUND(IF(E73&lt;=0.003,1, IF(E73&lt;=0.006,E73*'Reference Standards'!$AG$500+'Reference Standards'!$AG$501, IF(E73&gt;=0.04,E73*'Reference Standards'!$AC$500+'Reference Standards'!$AC$501,E73*'Reference Standards'!$AE$500+'Reference Standards'!$AE$501))),2)), IF(OR($B$12="71f",$B$12="71g"),IF(E73&gt;0.631,0,ROUND(IF(E73&lt;=0.003,1, IF(E73&lt;=0.006,E73*'Reference Standards'!$AG$500+'Reference Standards'!$AG$501, IF(E73&gt;=0.17,E73*'Reference Standards'!$AD$500+'Reference Standards'!$AD$501,E73*'Reference Standards'!$AF$500+'Reference Standards'!$AF$501))),2)),   IF($B$12="71e",IF(E73&gt;1.23,0,ROUND(IF(E73&lt;=0.004,1,IF(E73&lt;=0.006,E73*'Reference Standards'!$AF$538+'Reference Standards'!$AF$539, E73^2*'Reference Standards'!$AB$537+E73*'Reference Standards'!$AB$538+'Reference Standards'!$AB$539)),2)), IF($B$12="67g",IF(E73&gt;0.11,0,ROUND(IF(E73&lt;=0.006,1,IF(E73&lt;=0.011,E73*'Reference Standards'!$AG$538+'Reference Standards'!$AG$539, E73^2*'Reference Standards'!$AC$537+E73*'Reference Standards'!$AC$538+'Reference Standards'!$AC$539)),2)), IF($B$12="65j",IF(E73&gt;0.046,0,ROUND(IF(E73&lt;=0.007,1,IF(E73&lt;=0.012,E73*'Reference Standards'!$AH$538+'Reference Standards'!$AH$539, E73^2*'Reference Standards'!$AD$537+E73*'Reference Standards'!$AD$538+'Reference Standards'!$AD$539)),2)), IF($B$12="66f",IF(E73&gt;0.081,0,ROUND(IF(E73&lt;=0.008,1,IF(E73&lt;=0.011,E73*'Reference Standards'!$AI$538+'Reference Standards'!$AI$539, E73^2*'Reference Standards'!$AE$537+E73*'Reference Standards'!$AE$538+'Reference Standards'!$AE$539)),2)), IF(OR($B$12="71h",$B$12="71i"),IF(E73&gt;0.37,0,ROUND(IF(E73&lt;=0.013,1,IF(E73&lt;=0.032,E73*'Reference Standards'!$AH$576+'Reference Standards'!$AH$577, IF(E73&lt;=0.3,E73*'Reference Standards'!$AF$576+'Reference Standards'!$AF$577,E73*'Reference Standards'!$AB$576+'Reference Standards'!$AB$577))),2)), IF($B$12="73a",IF(E73&gt;0.448,0,ROUND(IF(E73&lt;=0.071,1,IF(E73&lt;=0.086,E73*'Reference Standards'!$AJ$576+'Reference Standards'!$AJ$577, IF(E73&lt;=0.165,E73*'Reference Standards'!$AG$576+'Reference Standards'!$AG$577,E73*'Reference Standards'!$AE$576+'Reference Standards'!$AE$577))),2)),  IF($B$12="74b",IF(E73&gt;0.43,0,ROUND(IF(E73&lt;=0.018,1,IF(E73&lt;=0.019,0.85, IF(E73&lt;=0.02,0.7, E73^2*'Reference Standards'!$AC$575+E73*'Reference Standards'!$AC$576+'Reference Standards'!$AC$577))),2)), IF($B$12="74a",IF(E73&gt;0.217,0,ROUND(IF(E73&lt;=0.02,1,IF(E73&lt;=0.033,E73*'Reference Standards'!$AI$576+'Reference Standards'!$AI$577, E73^2*'Reference Standards'!$AD$575+E73*'Reference Standards'!$AD$576+'Reference Standards'!$AD$577)),2))     )))))))))))))))))))</f>
        <v/>
      </c>
      <c r="G73" s="87" t="str">
        <f>IFERROR(AVERAGE(F73),"")</f>
        <v/>
      </c>
      <c r="H73" s="549"/>
      <c r="I73" s="536"/>
      <c r="J73" s="559"/>
      <c r="K73" s="555"/>
      <c r="L73" s="21"/>
      <c r="N73" s="14"/>
      <c r="O73" s="19"/>
    </row>
    <row r="74" spans="1:15" ht="15.6" x14ac:dyDescent="0.3">
      <c r="A74" s="550" t="s">
        <v>59</v>
      </c>
      <c r="B74" s="560" t="s">
        <v>340</v>
      </c>
      <c r="C74" s="125" t="s">
        <v>331</v>
      </c>
      <c r="D74" s="126"/>
      <c r="E74" s="166"/>
      <c r="F74" s="345" t="str">
        <f>IF(E74="","",IF(OR(B$12="73a",B$12="73b"),IF(E74&lt;1,0,IF(E74&gt;=30,1,ROUND(IF(E74&lt;22,'Reference Standards'!$AL$16*E74+'Reference Standards'!$AL$17,'Reference Standards'!$AM$16*E74+'Reference Standards'!$AM$17),2))), IF(E74&lt;1,0, IF(E74&gt;=42,1, ROUND(IF(E74&lt;32,'Reference Standards'!$AN$16*E74+'Reference Standards'!$AN$17,'Reference Standards'!$AO$16*E74+'Reference Standards'!$AO$17),2)))))</f>
        <v/>
      </c>
      <c r="G74" s="531" t="str">
        <f>IFERROR(AVERAGE(F74:F77),"")</f>
        <v/>
      </c>
      <c r="H74" s="568" t="str">
        <f>IFERROR(ROUND(AVERAGE(G74:G79),2),"")</f>
        <v/>
      </c>
      <c r="I74" s="519" t="str">
        <f>IF(H74="","",IF(H74&gt;0.69,"Functioning",IF(H74&gt;0.29,"Functioning At Risk",IF(H74&gt;-1,"Not Functioning"))))</f>
        <v/>
      </c>
      <c r="J74" s="559"/>
      <c r="K74" s="555"/>
      <c r="L74" s="21"/>
      <c r="N74" s="14"/>
      <c r="O74" s="19"/>
    </row>
    <row r="75" spans="1:15" s="14" customFormat="1" ht="15.6" x14ac:dyDescent="0.3">
      <c r="A75" s="556"/>
      <c r="B75" s="561"/>
      <c r="C75" s="174" t="s">
        <v>335</v>
      </c>
      <c r="D75" s="175"/>
      <c r="E75" s="165"/>
      <c r="F75" s="346" t="str">
        <f>IF(E75="","",IF(AND($B$12="74b",$B$13&lt;=2),IF(E75&lt;0,0,IF(E75&gt;15.6,0.69,ROUND('Reference Standards'!$AL$54*E75^2+'Reference Standards'!$AL$55*E75+'Reference Standards'!$AL$56,2))),IF(AND($B$12="65abei",$B$13&lt;=2),IF(E75&lt;0,0,IF(E75&gt;=20,0.69,ROUND('Reference Standards'!$AM$54*E75^2+'Reference Standards'!$AM$55*E75+'Reference Standards'!$AM$56,2))),IF(OR(AND($B$12="74a",$B$13&gt;2,$B$19="January - June"),AND($B$12="71i",$B$13&gt;2,$B$20="SQBANK")),IF(E75&lt;0,0,IF(E75&gt;24.7,0.69,ROUND('Reference Standards'!$AN$54*E75^2+'Reference Standards'!$AN$55*E75+'Reference Standards'!$AN$56,2))),IF(OR($B$12="74b",$B$12="65abei"),IF(E75&lt;0,0,IF(E75&gt;32.7,0.69,ROUND('Reference Standards'!$AO$54*E75^2+'Reference Standards'!$AO$55*E75+'Reference Standards'!$AO$56,2))),IF(AND($B$12="68b",$B$13&gt;2),IF(E75&lt;0,0,IF(E75&gt;41.2,0.69,ROUND('Reference Standards'!$AP$54*E75^2+'Reference Standards'!$AP$55*E75+'Reference Standards'!$AP$56,2))),IF(OR(AND($B$12="71i",$B$13&lt;=2),AND(OR($B$12="68c",$B$12="68d"),$B$19="January - June")),IF(E75&lt;0,0,IF(E75&gt;49.2,0.69,ROUND('Reference Standards'!$AL$94*E75^2+'Reference Standards'!$AL$95*E75+'Reference Standards'!$AL$96,2))),IF(OR(AND($B$12="68a",$B$19="January - June"),AND(OR($B$12="68c",$B$12="68d"),$B$19="July - December")),IF(E75&lt;0,0,IF(E75&gt;53.4,0.69,ROUND('Reference Standards'!$AM$94*E75^2+'Reference Standards'!$AM$95*E75+'Reference Standards'!$AM$96,2))),IF(OR(AND($B$12="71i",$B$13&gt;2,$B$20="SQKICK"),AND(OR($B$12="67fhi",$B$12="67g"),$B$13&lt;=2),$B$12="65j"),IF(E75&lt;0,0,IF(E75&gt;57.8,0.69,ROUND('Reference Standards'!$AN$94*E75^2+'Reference Standards'!$AN$95*E75+'Reference Standards'!$AN$96,2))),IF(OR(AND($B$12="74a",$B$13&gt;2,$B$19="July - December"),AND(OR($B$12="67fhi",$B$12="67g"),$B$13&gt;2),$B$12="69de"),IF(E75&lt;0,0,IF(E75&gt;62.5,0.69,ROUND('Reference Standards'!$AO$94*E75^2+'Reference Standards'!$AO$95*E75+'Reference Standards'!$AO$96,2))),  IF(OR($B$12="66d",$B$12="66e",$B$12="66ik",$B$12="71e",$B$12="71f",$B$12="71g",$B$12="71h"),IF(E75&lt;0,0,IF(E75&gt;66.5,0.69,ROUND('Reference Standards'!$AP$94*E75^2+'Reference Standards'!$AP$95*E75+'Reference Standards'!$AP$96,2))),IF(OR($B$12="66f",$B$12="66g",$B$12="66j",AND($B$12="68a",$B$19="July - December")), IF(E75&lt;0,0,IF(E75&gt;69,0.69,ROUND('Reference Standards'!$AQ$94*E75^2+'Reference Standards'!$AQ$95*E75+'Reference Standards'!$AQ$96,2))))   )))))))))))</f>
        <v/>
      </c>
      <c r="G75" s="531"/>
      <c r="H75" s="568"/>
      <c r="I75" s="519"/>
      <c r="J75" s="559"/>
      <c r="K75" s="555"/>
      <c r="L75" s="21"/>
      <c r="O75" s="19"/>
    </row>
    <row r="76" spans="1:15" s="14" customFormat="1" ht="15.6" x14ac:dyDescent="0.3">
      <c r="A76" s="556"/>
      <c r="B76" s="561"/>
      <c r="C76" s="174" t="s">
        <v>339</v>
      </c>
      <c r="D76" s="175"/>
      <c r="E76" s="165"/>
      <c r="F76" s="346" t="str">
        <f>IF(E76="","",IF(AND($B$12="74b",$B$13&lt;=2),IF(E76&lt;0,0,IF(E76&gt;8.1,0.69,ROUND('Reference Standards'!$AL$131*E76^2+'Reference Standards'!$AL$132*E76+'Reference Standards'!$AL$133,2))),IF(OR($B$12="73a",$B$12="73b"),IF(E76&lt;0,0,IF(E76&gt;=28,0.69,ROUND('Reference Standards'!$AM$131*E76^2+'Reference Standards'!$AM$132*E76+'Reference Standards'!$AM$133,2))),IF(AND($B$12="74a",$B$13&gt;2,$B$19="January - June"),IF(E76&lt;0,0,IF(E76&gt;=32.5,0.69,ROUND('Reference Standards'!$AN$131*E76^2+'Reference Standards'!$AN$132*E76+'Reference Standards'!$AN$133,2))),IF(AND($B$12="71i",$B$13&gt;2,$B$20="SQBANK"),IF(E76&lt;0,0,IF(E76&gt;=37,0.69,ROUND('Reference Standards'!$AO$131*E76^2+'Reference Standards'!$AO$132*E76+'Reference Standards'!$AO$133,2))),IF(OR(AND(OR($B$12="65abei",$B$12="74b"),$B$13&gt;2),AND($B$12="71i",$B$13&gt;2,$B$20="SQKICK")),IF(E76&lt;0,0,IF(E76&gt;42.6,0.69,ROUND('Reference Standards'!$AP$131*E76^2+'Reference Standards'!$AP$132*E76+'Reference Standards'!$AP$133,2))),     IF(OR(AND($B$12="65abei",$B$13&lt;=2),AND(OR($B$12="68c",$B$12="68d"),$B$19="July - December"),$B$12="71e"),IF(E76&lt;0,0,IF(E76&gt;=48,0.69,ROUND('Reference Standards'!$AL$171*E76^2+'Reference Standards'!$AL$172*E76+'Reference Standards'!$AL$173,2))),IF(OR($B$12="65j",$B$12="67fhi",$B$12="67g",AND($B$12="74a",$B$19="July - December",$B$13&gt;2),AND($B$12="71i",$B$13&lt;=2)),IF(E76&lt;0,0,IF(E76&gt;=53,0.69,ROUND('Reference Standards'!$AM$171*E76^2+'Reference Standards'!$AM$172*E76+'Reference Standards'!$AM$173,2))),IF(OR(AND(OR($B$12="68b",$B$12="71f",$B$12="71g",$B$12="71h"),$B$13&gt;2),$B$12="68a"),IF(E76&lt;0,0,IF(E76&gt;=57,0.69,ROUND('Reference Standards'!$AN$171*E76^2+'Reference Standards'!$AN$172*E76+'Reference Standards'!$AN$173,2))),IF(OR($B$12="66f",$B$12="66g",$B$12="66j",AND(OR($B$12="71f",$B$12="71g",$B$12="71h"),$B$13&lt;=2)),IF(E76&lt;0,0,IF(E76&gt;=60,0.69,ROUND('Reference Standards'!$AO$171*E76^2+'Reference Standards'!$AO$172*E76+'Reference Standards'!$AO$173,2))),  IF(OR($B$12="66d",$B$12="66e",$B$12="66ik", AND(OR($B$12="68c",$B$12="68d"),$B$19="January - June"),AND($B$12="69de",$B$19="July - December")),IF(E76&lt;0,0,IF(E76&gt;=67.5,0.69,ROUND('Reference Standards'!$AP$171*E76^2+'Reference Standards'!$AP$172*E76+'Reference Standards'!$AP$173,2))),IF(AND($B$12="69de",$B$19="January - June"), IF(E76&lt;0,0,IF(E76&gt;=72,0.69,ROUND('Reference Standards'!$AQ$171*E76^2+'Reference Standards'!$AQ$172*E76+'Reference Standards'!$AQ$173,2))))   )))))))))))</f>
        <v/>
      </c>
      <c r="G76" s="531"/>
      <c r="H76" s="568"/>
      <c r="I76" s="519"/>
      <c r="J76" s="559"/>
      <c r="K76" s="555"/>
      <c r="L76" s="21"/>
      <c r="O76" s="19"/>
    </row>
    <row r="77" spans="1:15" s="14" customFormat="1" ht="15.6" x14ac:dyDescent="0.3">
      <c r="A77" s="556"/>
      <c r="B77" s="562"/>
      <c r="C77" s="127" t="s">
        <v>336</v>
      </c>
      <c r="D77" s="71"/>
      <c r="E77" s="167"/>
      <c r="F77" s="346" t="str">
        <f>IF(E77="","",IF(OR($B$12="67fhi",$B$12="67g",$B$12="71e",$B$12="73a",$B$12="73b",AND(OR($B$12="71f",$B$12="71g",$B$12="71h"),$B$13&gt;2)),IF(E77&gt;100,0,IF(E77&lt;15,0.69,ROUND('Reference Standards'!$AL$208*E77^2+'Reference Standards'!$AL$209*E77+'Reference Standards'!$AL$210,2))),  IF(OR($B$12="66d",$B$12="66e",$B$12="66ik",$B$12="66f",$B$12="66g",$B$12="66j",$B$12="68a",$B$12="68c",$B$12="68d",AND($B$12="69de",$B$19="July - December"), AND($B$12="71i",$B$13&lt;=2), AND($B$12="71i",$B$13&gt;2,$B$20="SQBANK" ), AND($B$12="74a",$B$13&gt;2,$B$19="July - December") ),IF(E77&gt;100,0,IF(E77&lt;19,0.69,ROUND('Reference Standards'!$AM$208*E77^2+'Reference Standards'!$AM$209*E77+'Reference Standards'!$AM$210,2))),    IF(OR(AND($B$12="69de",$B$19="January - June"),AND($B$12="71i",$B$13&gt;2,$B$20="SQKICK" )),IF(E77&gt;100,0,IF(E77&lt;22,0.69,ROUND('Reference Standards'!$AN$208*E77^2+'Reference Standards'!$AN$209*E77+'Reference Standards'!$AN$210,2))),    IF(OR($B$12="65j",AND($B$12="68b",$B$13&gt;2)),IF(E77&gt;100,0,IF(E77&lt;24,0.69,ROUND('Reference Standards'!$AO$208*E77^2+'Reference Standards'!$AO$209*E77+'Reference Standards'!$AO$210,2))),    IF(AND(OR($B$12="65abei",$B$12="71f",$B$12="71g",$B$12="71h"),$B$13&lt;=2),IF(E77&gt;95,0,IF(E77&lt;33,0.69,ROUND('Reference Standards'!$AL$246*E77^2+'Reference Standards'!$AL$247*E77+'Reference Standards'!$AL$248,2))),   IF(AND(OR($B$12="65abei",$B$12="74b"),$B$13&gt;2),IF(E77&gt;97,0,IF(E77&lt;36,0.69,ROUND('Reference Standards'!$AM$246*E77^2+'Reference Standards'!$AM$247*E77+'Reference Standards'!$AM$248,2))),  IF(AND($B$12="74a",$B$19="January - June",$B$13&gt;2),IF(E77&gt;93,0,IF(E77&lt;52,0.69,ROUND('Reference Standards'!$AN$246*E77^2+'Reference Standards'!$AN$247*E77+'Reference Standards'!$AN$248,2))),   IF(AND($B$12="74b",$B$13&lt;=2),IF(E77&gt;97,0,IF(E77&lt;62,0.69,ROUND('Reference Standards'!$AO$246*E77^2+'Reference Standards'!$AO$247*E77+'Reference Standards'!$AO$248,2)))  )))))))))</f>
        <v/>
      </c>
      <c r="G77" s="531"/>
      <c r="H77" s="568"/>
      <c r="I77" s="519"/>
      <c r="J77" s="559"/>
      <c r="K77" s="555"/>
      <c r="L77" s="21"/>
      <c r="O77" s="19"/>
    </row>
    <row r="78" spans="1:15" s="14" customFormat="1" ht="15.6" x14ac:dyDescent="0.3">
      <c r="A78" s="556"/>
      <c r="B78" s="563" t="s">
        <v>74</v>
      </c>
      <c r="C78" s="125" t="s">
        <v>211</v>
      </c>
      <c r="D78" s="126"/>
      <c r="E78" s="136"/>
      <c r="F78" s="345" t="str">
        <f>IF(E78="","",IF(E78=1,0.15,IF(E78=3,0.5,IF(E78=5,0.85,0))))</f>
        <v/>
      </c>
      <c r="G78" s="564" t="str">
        <f>IFERROR(AVERAGE(F78:F79),"")</f>
        <v/>
      </c>
      <c r="H78" s="568"/>
      <c r="I78" s="519"/>
      <c r="J78" s="559"/>
      <c r="K78" s="555"/>
      <c r="L78" s="21"/>
      <c r="O78" s="19"/>
    </row>
    <row r="79" spans="1:15" ht="15.6" x14ac:dyDescent="0.3">
      <c r="A79" s="551"/>
      <c r="B79" s="563"/>
      <c r="C79" s="127" t="s">
        <v>332</v>
      </c>
      <c r="D79" s="71"/>
      <c r="E79" s="163"/>
      <c r="F79" s="347" t="str">
        <f>IF(E79="","",IF(E79=1,0.15,IF(E79=3,0.5,IF(E79=5,0.85,0))))</f>
        <v/>
      </c>
      <c r="G79" s="565"/>
      <c r="H79" s="568"/>
      <c r="I79" s="519"/>
      <c r="J79" s="559"/>
      <c r="K79" s="555"/>
      <c r="L79" s="21"/>
      <c r="N79" s="14"/>
    </row>
    <row r="80" spans="1:15" x14ac:dyDescent="0.3">
      <c r="J80" s="13"/>
      <c r="K80" s="13"/>
      <c r="L80" s="21"/>
    </row>
    <row r="81" spans="1:14" s="14" customFormat="1" x14ac:dyDescent="0.3">
      <c r="J81" s="13"/>
      <c r="K81" s="13"/>
      <c r="L81" s="21"/>
    </row>
    <row r="82" spans="1:14" ht="21" x14ac:dyDescent="0.4">
      <c r="A82" s="544" t="s">
        <v>57</v>
      </c>
      <c r="B82" s="545"/>
      <c r="C82" s="545"/>
      <c r="D82" s="545"/>
      <c r="E82" s="545"/>
      <c r="F82" s="546"/>
      <c r="G82" s="544" t="s">
        <v>18</v>
      </c>
      <c r="H82" s="545"/>
      <c r="I82" s="545"/>
      <c r="J82" s="545"/>
      <c r="K82" s="546"/>
      <c r="L82" s="21"/>
    </row>
    <row r="83" spans="1:14" ht="15.6" x14ac:dyDescent="0.3">
      <c r="A83" s="49" t="s">
        <v>1</v>
      </c>
      <c r="B83" s="49" t="s">
        <v>2</v>
      </c>
      <c r="C83" s="542" t="s">
        <v>3</v>
      </c>
      <c r="D83" s="543"/>
      <c r="E83" s="158" t="s">
        <v>15</v>
      </c>
      <c r="F83" s="157" t="s">
        <v>16</v>
      </c>
      <c r="G83" s="49" t="s">
        <v>19</v>
      </c>
      <c r="H83" s="49" t="s">
        <v>20</v>
      </c>
      <c r="I83" s="49" t="s">
        <v>20</v>
      </c>
      <c r="J83" s="49" t="s">
        <v>105</v>
      </c>
      <c r="K83" s="50" t="s">
        <v>105</v>
      </c>
    </row>
    <row r="84" spans="1:14" ht="15.6" x14ac:dyDescent="0.3">
      <c r="A84" s="540" t="s">
        <v>60</v>
      </c>
      <c r="B84" s="51" t="s">
        <v>86</v>
      </c>
      <c r="C84" s="52" t="s">
        <v>388</v>
      </c>
      <c r="D84" s="52"/>
      <c r="E84" s="162">
        <v>0.5</v>
      </c>
      <c r="F84" s="338">
        <f>IF(E84="","",IF(E84&lt;=0,0,IF(E84&gt;=0.95,1,ROUND('Reference Standards'!C$14*E84+'Reference Standards'!C$15,2))))</f>
        <v>0.53</v>
      </c>
      <c r="G84" s="83">
        <f>IFERROR(AVERAGE(F84),"")</f>
        <v>0.53</v>
      </c>
      <c r="H84" s="522">
        <f>IFERROR(ROUND(AVERAGE(G84:G85),2),"")</f>
        <v>0.71</v>
      </c>
      <c r="I84" s="519" t="str">
        <f>IF(H84="","",IF(H84&gt;0.69,"Functioning",IF(H84&gt;0.29,"Functioning At Risk",IF(H84&gt;-1,"Not Functioning"))))</f>
        <v>Functioning</v>
      </c>
      <c r="J84" s="559">
        <f>IF(AND(H84="",H86="",H88="",H110="",H114=""),"",ROUND((IF(H84="",0,H84)*0.2)+(IF(H86="",0,H86)*0.2)+(IF(H88="",0,H88)*0.2)+(IF(H110="",0,H110)*0.2)+(IF(H114="",0,H114)*0.2),2))</f>
        <v>0.53</v>
      </c>
      <c r="K84" s="555" t="str">
        <f>IF(J84="","",IF(J84&lt;0.3, "Not Functioning",IF(OR(H84&lt;0.7,H86&lt;0.7,H88&lt;0.7,H110&lt;0.7,H114&lt;0.7),"Functioning At Risk",IF(J84&lt;0.7,"Functioning At Risk","Functioning"))))</f>
        <v>Functioning At Risk</v>
      </c>
      <c r="N84" s="14"/>
    </row>
    <row r="85" spans="1:14" s="14" customFormat="1" ht="15.6" x14ac:dyDescent="0.3">
      <c r="A85" s="541"/>
      <c r="B85" s="371" t="s">
        <v>128</v>
      </c>
      <c r="C85" s="373" t="s">
        <v>161</v>
      </c>
      <c r="D85" s="374"/>
      <c r="E85" s="43">
        <v>0.89</v>
      </c>
      <c r="F85" s="372">
        <f>IF(E85="","",IF(E85&gt;=1,1,IF(E85&lt;=0,0,ROUND(E85,2))))</f>
        <v>0.89</v>
      </c>
      <c r="G85" s="365">
        <f>IFERROR(AVERAGE(F85:F85),"")</f>
        <v>0.89</v>
      </c>
      <c r="H85" s="523"/>
      <c r="I85" s="519"/>
      <c r="J85" s="559"/>
      <c r="K85" s="555"/>
    </row>
    <row r="86" spans="1:14" s="14" customFormat="1" ht="15.6" x14ac:dyDescent="0.3">
      <c r="A86" s="524" t="s">
        <v>6</v>
      </c>
      <c r="B86" s="572" t="s">
        <v>7</v>
      </c>
      <c r="C86" s="54" t="s">
        <v>8</v>
      </c>
      <c r="D86" s="54"/>
      <c r="E86" s="162">
        <v>1</v>
      </c>
      <c r="F86" s="339">
        <f>IF(E86="","",ROUND(IF(E86&gt;1.6,0,IF(E86&lt;=1,1,E86^2*'Reference Standards'!K$14+E86*'Reference Standards'!K$15+'Reference Standards'!K$16)),2))</f>
        <v>1</v>
      </c>
      <c r="G86" s="581">
        <f>IFERROR(AVERAGE(F86:F87),"")</f>
        <v>1</v>
      </c>
      <c r="H86" s="579">
        <f>IFERROR(ROUND(AVERAGE(G86),2),"")</f>
        <v>1</v>
      </c>
      <c r="I86" s="569" t="str">
        <f>IF(H86="","",IF(H86&gt;0.69,"Functioning",IF(H86&gt;0.29,"Functioning At Risk",IF(H86&gt;-1,"Not Functioning"))))</f>
        <v>Functioning</v>
      </c>
      <c r="J86" s="559"/>
      <c r="K86" s="555"/>
    </row>
    <row r="87" spans="1:14" s="14" customFormat="1" ht="15.6" x14ac:dyDescent="0.3">
      <c r="A87" s="525"/>
      <c r="B87" s="525"/>
      <c r="C87" s="54" t="s">
        <v>9</v>
      </c>
      <c r="D87" s="55"/>
      <c r="E87" s="162">
        <v>2.2000000000000002</v>
      </c>
      <c r="F87" s="339">
        <f>IF(E87="","",(IF(OR(B$11="A",B$11="B",$B$11="Bc"),IF(E87&lt;1.2,0,IF(E87&gt;=2.2,1,ROUND(IF(E87&lt;1.4,E87*'Reference Standards'!$K$84+'Reference Standards'!$K$85,E87*'Reference Standards'!$L$84+'Reference Standards'!$L$85),2))),IF(OR(B$11="C",B$11="E"),IF(E87&lt;2,0,IF(E87&gt;=5,1,ROUND(IF(E87&lt;2.4,E87*'Reference Standards'!$L$49+'Reference Standards'!$L$50,E87*'Reference Standards'!$K$49+'Reference Standards'!$K$50),2)))))))</f>
        <v>1</v>
      </c>
      <c r="G87" s="580"/>
      <c r="H87" s="580"/>
      <c r="I87" s="570"/>
      <c r="J87" s="559"/>
      <c r="K87" s="555"/>
    </row>
    <row r="88" spans="1:14" s="14" customFormat="1" ht="15.6" x14ac:dyDescent="0.3">
      <c r="A88" s="526" t="s">
        <v>26</v>
      </c>
      <c r="B88" s="557" t="s">
        <v>27</v>
      </c>
      <c r="C88" s="60" t="s">
        <v>333</v>
      </c>
      <c r="D88" s="244"/>
      <c r="E88" s="61"/>
      <c r="F88" s="340" t="str">
        <f>IF(E88="","",IF(OR(LEFT($B$12,2)="65",LEFT($B$12,2)="66",LEFT($B$12,2)="71"),IF(E88&gt;=850,1,IF(E88&lt;250,ROUND('Reference Standards'!$S$17*(E88)+'Reference Standards'!$S$18,2),ROUND('Reference Standards'!$T$17*E88+'Reference Standards'!$T$18,2))),  IF(E88&gt;=345,1,IF(E88&lt;=180,ROUND('Reference Standards'!$U$17*(E88)+'Reference Standards'!$U$18,2),ROUND('Reference Standards'!$V$17*E88+'Reference Standards'!$V$18,2))))    )</f>
        <v/>
      </c>
      <c r="G88" s="552">
        <f>IFERROR(AVERAGE(F88:F89),"")</f>
        <v>0.96</v>
      </c>
      <c r="H88" s="567">
        <f>IFERROR(ROUND(AVERAGE(G88:G109),2),"")</f>
        <v>0.96</v>
      </c>
      <c r="I88" s="555" t="str">
        <f>IF(H88="","",IF(H88&gt;0.69,"Functioning",IF(H88&gt;0.29,"Functioning At Risk",IF(H88&gt;-1,"Not Functioning"))))</f>
        <v>Functioning</v>
      </c>
      <c r="J88" s="559"/>
      <c r="K88" s="555"/>
    </row>
    <row r="89" spans="1:14" s="14" customFormat="1" ht="15.6" x14ac:dyDescent="0.3">
      <c r="A89" s="520"/>
      <c r="B89" s="558"/>
      <c r="C89" s="63" t="s">
        <v>323</v>
      </c>
      <c r="D89" s="245"/>
      <c r="E89" s="53">
        <v>15</v>
      </c>
      <c r="F89" s="341">
        <f>IF(E89="","",IF(OR(LEFT($B$12,2)="65",LEFT($B$12,2)="66",LEFT($B$12,2)="71"),IF(E89&gt;=30,1,IF(E89&lt;13,ROUND('Reference Standards'!$S$53*(E89)+'Reference Standards'!$S$54,2),ROUND('Reference Standards'!$T$53*E89+'Reference Standards'!$T$54,2))),  IF(E89&gt;=16,1,IF(E89&lt;=9,ROUND('Reference Standards'!$U$53*(E89)+'Reference Standards'!$U$54,2),ROUND('Reference Standards'!$V$53*E89+'Reference Standards'!$V$54,2))))    )</f>
        <v>0.96</v>
      </c>
      <c r="G89" s="554"/>
      <c r="H89" s="567"/>
      <c r="I89" s="555"/>
      <c r="J89" s="559"/>
      <c r="K89" s="555"/>
    </row>
    <row r="90" spans="1:14" ht="15.6" x14ac:dyDescent="0.3">
      <c r="A90" s="520"/>
      <c r="B90" s="520" t="s">
        <v>395</v>
      </c>
      <c r="C90" s="58" t="s">
        <v>80</v>
      </c>
      <c r="D90" s="58"/>
      <c r="E90" s="165"/>
      <c r="F90" s="340" t="str">
        <f>IF(E90="","",ROUND(IF(E90&gt;0.7,0,IF(E90&lt;=0.1,1,E90^3*'Reference Standards'!S$87+E90^2*'Reference Standards'!S$88+E90*'Reference Standards'!S$89+'Reference Standards'!S$90)),2))</f>
        <v/>
      </c>
      <c r="G90" s="528">
        <f>IFERROR(ROUND(AVERAGE(F90:F93),2),"")</f>
        <v>1</v>
      </c>
      <c r="H90" s="567"/>
      <c r="I90" s="555"/>
      <c r="J90" s="559"/>
      <c r="K90" s="555"/>
      <c r="N90" s="14"/>
    </row>
    <row r="91" spans="1:14" ht="15.6" x14ac:dyDescent="0.3">
      <c r="A91" s="520"/>
      <c r="B91" s="520"/>
      <c r="C91" s="58" t="s">
        <v>49</v>
      </c>
      <c r="D91" s="58"/>
      <c r="E91" s="165" t="s">
        <v>29</v>
      </c>
      <c r="F91" s="84">
        <f>IF(E91="","",IF(OR(E91="Ex/Ex",E91="Ex/VH"),0, IF(OR(E91="Ex/H",E91="VH/Ex",E91="VH/VH", E91="H/Ex",E91="H/VH",E91="M/Ex"),0.1,IF(OR(E91="Ex/M",E91="VH/H",E91="H/H", E91="M/VH"),0.2, IF(OR(E91="Ex/L",E91="VH/M",E91="H/M", E91="M/H",E91="L/Ex"),0.3, IF(OR(E91="Ex/VL",E91="VH/L",E91="H/L"),0.4, IF(OR(E91="VH/VL",E91="H/VL",E91="M/M", E91="L/VH"),0.5, IF(OR(E91="M/L",E91="L/H"),0.6, IF(OR(E91="M/VL",E91="L/M"),0.7, IF(OR(E91="L/L",E91="L/VL"),1))))))))))</f>
        <v>1</v>
      </c>
      <c r="G91" s="529"/>
      <c r="H91" s="567"/>
      <c r="I91" s="555"/>
      <c r="J91" s="559"/>
      <c r="K91" s="555"/>
      <c r="N91" s="14"/>
    </row>
    <row r="92" spans="1:14" s="14" customFormat="1" ht="15.6" x14ac:dyDescent="0.3">
      <c r="A92" s="520"/>
      <c r="B92" s="520"/>
      <c r="C92" s="58" t="s">
        <v>87</v>
      </c>
      <c r="D92" s="58"/>
      <c r="E92" s="165">
        <v>5</v>
      </c>
      <c r="F92" s="84">
        <f>IF(E92="","",ROUND(IF(E92&gt;40,0,IF(E92&lt;5,1,E92^3*'Reference Standards'!S$122+E92^2*'Reference Standards'!S$123+E92*'Reference Standards'!S$124+'Reference Standards'!S$125)),2))</f>
        <v>1</v>
      </c>
      <c r="G92" s="529"/>
      <c r="H92" s="567"/>
      <c r="I92" s="555"/>
      <c r="J92" s="559"/>
      <c r="K92" s="555"/>
    </row>
    <row r="93" spans="1:14" ht="15.6" x14ac:dyDescent="0.3">
      <c r="A93" s="520"/>
      <c r="B93" s="521"/>
      <c r="C93" s="59" t="s">
        <v>394</v>
      </c>
      <c r="D93" s="59"/>
      <c r="E93" s="167">
        <v>0</v>
      </c>
      <c r="F93" s="341">
        <f>IF(E93="","",ROUND(IF(E93&gt;=30,0,IF(E93&lt;=0,1,E93*'Reference Standards'!S$156+'Reference Standards'!S$157)),2))</f>
        <v>1</v>
      </c>
      <c r="G93" s="530"/>
      <c r="H93" s="567"/>
      <c r="I93" s="555"/>
      <c r="J93" s="559"/>
      <c r="K93" s="555"/>
    </row>
    <row r="94" spans="1:14" s="14" customFormat="1" ht="15.6" x14ac:dyDescent="0.3">
      <c r="A94" s="520"/>
      <c r="B94" s="526" t="s">
        <v>50</v>
      </c>
      <c r="C94" s="60" t="s">
        <v>377</v>
      </c>
      <c r="D94" s="64"/>
      <c r="E94" s="136">
        <v>7</v>
      </c>
      <c r="F94" s="294">
        <f>IF(E94="","",ROUND(IF(E94&gt;9.2,1,E94*'Reference Standards'!$S$189+'Reference Standards'!$S$190),2))</f>
        <v>0.75</v>
      </c>
      <c r="G94" s="552">
        <f>IFERROR(AVERAGE(F94:F103),"")</f>
        <v>0.86</v>
      </c>
      <c r="H94" s="567"/>
      <c r="I94" s="555"/>
      <c r="J94" s="559"/>
      <c r="K94" s="555"/>
      <c r="N94"/>
    </row>
    <row r="95" spans="1:14" s="14" customFormat="1" ht="15.6" x14ac:dyDescent="0.3">
      <c r="A95" s="520"/>
      <c r="B95" s="520"/>
      <c r="C95" s="62" t="s">
        <v>378</v>
      </c>
      <c r="D95" s="58"/>
      <c r="E95" s="162">
        <v>7</v>
      </c>
      <c r="F95" s="294">
        <f>IF(E95="","",ROUND(IF(E95&gt;9.2,1,E95*'Reference Standards'!$S$189+'Reference Standards'!$S$190),2))</f>
        <v>0.75</v>
      </c>
      <c r="G95" s="553"/>
      <c r="H95" s="567"/>
      <c r="I95" s="555"/>
      <c r="J95" s="559"/>
      <c r="K95" s="555"/>
    </row>
    <row r="96" spans="1:14" s="14" customFormat="1" ht="15.6" x14ac:dyDescent="0.3">
      <c r="A96" s="520"/>
      <c r="B96" s="520"/>
      <c r="C96" s="62" t="s">
        <v>379</v>
      </c>
      <c r="D96" s="58"/>
      <c r="E96" s="162">
        <v>75</v>
      </c>
      <c r="F96" s="294">
        <f>IF(E96="","",ROUND( IF(E96&gt;=200,1,IF(E96&lt;50, E96^2*'Reference Standards'!S$224+E96*'Reference Standards'!S$225+'Reference Standards'!S$226, E96*'Reference Standards'!T$224+'Reference Standards'!T$225)),2))</f>
        <v>0.75</v>
      </c>
      <c r="G96" s="553"/>
      <c r="H96" s="567"/>
      <c r="I96" s="555"/>
      <c r="J96" s="559"/>
      <c r="K96" s="555"/>
    </row>
    <row r="97" spans="1:14" s="14" customFormat="1" ht="15.6" x14ac:dyDescent="0.3">
      <c r="A97" s="520"/>
      <c r="B97" s="520"/>
      <c r="C97" s="62" t="s">
        <v>380</v>
      </c>
      <c r="D97" s="58"/>
      <c r="E97" s="162">
        <v>75</v>
      </c>
      <c r="F97" s="294">
        <f>IF(E97="","",ROUND( IF(E97&gt;=200,1,IF(E97&lt;50, E97^2*'Reference Standards'!S$224+E97*'Reference Standards'!S$225+'Reference Standards'!S$226, E97*'Reference Standards'!T$224+'Reference Standards'!T$225)),2))</f>
        <v>0.75</v>
      </c>
      <c r="G97" s="553"/>
      <c r="H97" s="567"/>
      <c r="I97" s="555"/>
      <c r="J97" s="559"/>
      <c r="K97" s="555"/>
      <c r="N97"/>
    </row>
    <row r="98" spans="1:14" s="14" customFormat="1" ht="15.6" x14ac:dyDescent="0.3">
      <c r="A98" s="520"/>
      <c r="B98" s="520"/>
      <c r="C98" s="58" t="s">
        <v>381</v>
      </c>
      <c r="D98" s="58"/>
      <c r="E98" s="162">
        <v>135</v>
      </c>
      <c r="F98" s="294">
        <f>IF(E98="","",ROUND(IF(AND(E98&gt;=135,E98&lt;=262),1,IF(  E98&gt;=366,0.5, IF(E98&lt;135,E98*'Reference Standards'!S$259+'Reference Standards'!S$260, E98*'Reference Standards'!T$259+'Reference Standards'!T$260))),2))</f>
        <v>1</v>
      </c>
      <c r="G98" s="553"/>
      <c r="H98" s="567"/>
      <c r="I98" s="555"/>
      <c r="J98" s="559"/>
      <c r="K98" s="555"/>
    </row>
    <row r="99" spans="1:14" s="14" customFormat="1" ht="15.6" x14ac:dyDescent="0.3">
      <c r="A99" s="520"/>
      <c r="B99" s="520"/>
      <c r="C99" s="58" t="s">
        <v>382</v>
      </c>
      <c r="D99" s="58"/>
      <c r="E99" s="162">
        <v>135</v>
      </c>
      <c r="F99" s="294">
        <f>IF(E99="","",ROUND(IF(AND(E99&gt;=135,E99&lt;=262),1,IF(  E99&gt;=366,0.5, IF(E99&lt;135,E99*'Reference Standards'!S$259+'Reference Standards'!S$260, E99*'Reference Standards'!T$259+'Reference Standards'!T$260))),2))</f>
        <v>1</v>
      </c>
      <c r="G99" s="553"/>
      <c r="H99" s="567"/>
      <c r="I99" s="555"/>
      <c r="J99" s="559"/>
      <c r="K99" s="555"/>
    </row>
    <row r="100" spans="1:14" s="14" customFormat="1" ht="15.6" x14ac:dyDescent="0.3">
      <c r="A100" s="520"/>
      <c r="B100" s="520"/>
      <c r="C100" s="58" t="s">
        <v>383</v>
      </c>
      <c r="D100" s="58"/>
      <c r="E100" s="162">
        <v>60</v>
      </c>
      <c r="F100" s="84">
        <f>IF(E100="","",ROUND(IF(E100&gt;=75,1,IF(E100&lt;=0,0,E100*'Reference Standards'!S$330)),2))</f>
        <v>0.8</v>
      </c>
      <c r="G100" s="553"/>
      <c r="H100" s="567"/>
      <c r="I100" s="555"/>
      <c r="J100" s="559"/>
      <c r="K100" s="555"/>
    </row>
    <row r="101" spans="1:14" s="14" customFormat="1" ht="15.6" x14ac:dyDescent="0.3">
      <c r="A101" s="520"/>
      <c r="B101" s="520"/>
      <c r="C101" s="58" t="s">
        <v>384</v>
      </c>
      <c r="D101" s="58"/>
      <c r="E101" s="162">
        <v>60</v>
      </c>
      <c r="F101" s="84">
        <f>IF(E101="","",ROUND(IF(E101&gt;=75,1,IF(E101&lt;=0,0,E101*'Reference Standards'!S$330)),2))</f>
        <v>0.8</v>
      </c>
      <c r="G101" s="553"/>
      <c r="H101" s="567"/>
      <c r="I101" s="555"/>
      <c r="J101" s="559"/>
      <c r="K101" s="555"/>
    </row>
    <row r="102" spans="1:14" s="14" customFormat="1" ht="15.6" x14ac:dyDescent="0.3">
      <c r="A102" s="520"/>
      <c r="B102" s="520"/>
      <c r="C102" s="58" t="s">
        <v>385</v>
      </c>
      <c r="D102" s="58"/>
      <c r="E102" s="162">
        <v>40</v>
      </c>
      <c r="F102" s="294">
        <f>IF(E102="","",ROUND(IF(AND(E102&gt;=36.3,E102&lt;=68),1,IF(E102&gt;100,0,IF(E102&lt;36.3,(('Reference Standards'!S$297*(E102^2))+('Reference Standards'!S$298*E102)+'Reference Standards'!S$299),IF(E102&gt;68,(('Reference Standards'!T$297*(E102^2))+('Reference Standards'!T$298*E102)+'Reference Standards'!T$299))))),2))</f>
        <v>1</v>
      </c>
      <c r="G102" s="553"/>
      <c r="H102" s="567"/>
      <c r="I102" s="555"/>
      <c r="J102" s="559"/>
      <c r="K102" s="555"/>
      <c r="M102" s="21"/>
      <c r="N102"/>
    </row>
    <row r="103" spans="1:14" s="14" customFormat="1" ht="15.6" x14ac:dyDescent="0.3">
      <c r="A103" s="520"/>
      <c r="B103" s="521"/>
      <c r="C103" s="58" t="s">
        <v>386</v>
      </c>
      <c r="D103" s="65"/>
      <c r="E103" s="162">
        <v>40</v>
      </c>
      <c r="F103" s="294">
        <f>IF(E103="","",ROUND(IF(AND(E103&gt;=36.3,E103&lt;=68),1,IF(E103&gt;100,0,IF(E103&lt;36.3,(('Reference Standards'!S$297*(E103^2))+('Reference Standards'!S$298*E103)+'Reference Standards'!S$299),IF(E103&gt;68,(('Reference Standards'!T$297*(E103^2))+('Reference Standards'!T$298*E103)+'Reference Standards'!T$299))))),2))</f>
        <v>1</v>
      </c>
      <c r="G103" s="554"/>
      <c r="H103" s="567"/>
      <c r="I103" s="555"/>
      <c r="J103" s="559"/>
      <c r="K103" s="555"/>
      <c r="N103"/>
    </row>
    <row r="104" spans="1:14" s="14" customFormat="1" ht="15.6" x14ac:dyDescent="0.3">
      <c r="A104" s="520"/>
      <c r="B104" s="56" t="s">
        <v>108</v>
      </c>
      <c r="C104" s="72" t="s">
        <v>130</v>
      </c>
      <c r="D104" s="57"/>
      <c r="E104" s="43"/>
      <c r="F104" s="82" t="str">
        <f>IF(E104="","",IF(OR(B$14="Gravel",B$14="Cobble"),IF(E104&gt;0.1,1,IF(E104&lt;=0.01,0,ROUND(E104*'Reference Standards'!$S$362+'Reference Standards'!$S$363,2)))))</f>
        <v/>
      </c>
      <c r="G104" s="82" t="str">
        <f>IFERROR(AVERAGE(F104),"")</f>
        <v/>
      </c>
      <c r="H104" s="567"/>
      <c r="I104" s="555"/>
      <c r="J104" s="559"/>
      <c r="K104" s="555"/>
    </row>
    <row r="105" spans="1:14" s="14" customFormat="1" ht="15.6" x14ac:dyDescent="0.3">
      <c r="A105" s="520"/>
      <c r="B105" s="526" t="s">
        <v>51</v>
      </c>
      <c r="C105" s="64" t="s">
        <v>52</v>
      </c>
      <c r="D105" s="64"/>
      <c r="E105" s="166">
        <v>3</v>
      </c>
      <c r="F105" s="337">
        <f>IF(E105="","", IF(ISNUMBER($B$17), IF($B$17&lt;=2,   IF(AND(E105&gt;=3,E105&lt;=5),1, IF(OR(E105&lt;=1,E105&gt;=7), 0, ROUND( IF(E105&lt;3, E105*'Reference Standards'!S$398+'Reference Standards'!S$399,E105*'Reference Standards'!T$398+'Reference Standards'!T$399),2) ) ),   IF(E105&lt;=2.5,1, IF(E105&gt;=5.8,0, E105*'Reference Standards'!S$430+'Reference Standards'!S$431)))   ))</f>
        <v>1</v>
      </c>
      <c r="G105" s="552">
        <f>IFERROR(AVERAGE(F105:F108),"")</f>
        <v>1</v>
      </c>
      <c r="H105" s="567"/>
      <c r="I105" s="555"/>
      <c r="J105" s="559"/>
      <c r="K105" s="555"/>
    </row>
    <row r="106" spans="1:14" s="14" customFormat="1" ht="15.6" x14ac:dyDescent="0.3">
      <c r="A106" s="520"/>
      <c r="B106" s="520"/>
      <c r="C106" s="58" t="s">
        <v>53</v>
      </c>
      <c r="D106" s="58"/>
      <c r="E106" s="165">
        <v>3.2</v>
      </c>
      <c r="F106" s="84">
        <f>IF(E106="","", IF( E106&gt;=2.4,1, IF(E106&lt;=1,0,  ROUND(IF(E106&lt;2.4, E106*'Reference Standards'!$S$464+'Reference Standards'!$S$465  ),2))))</f>
        <v>1</v>
      </c>
      <c r="G106" s="553"/>
      <c r="H106" s="567"/>
      <c r="I106" s="555"/>
      <c r="J106" s="559"/>
      <c r="K106" s="555"/>
    </row>
    <row r="107" spans="1:14" s="14" customFormat="1" ht="15.6" x14ac:dyDescent="0.3">
      <c r="A107" s="520"/>
      <c r="B107" s="520"/>
      <c r="C107" s="58" t="s">
        <v>334</v>
      </c>
      <c r="D107" s="58"/>
      <c r="E107" s="165">
        <v>50</v>
      </c>
      <c r="F107" s="390">
        <f>IF(E107="","", IF(LEFT($B$12,2)="67",  IF( AND(E107&gt;=45,E107&lt;=65),1, IF(OR(E107&lt;=20,E107&gt;=90),0, ROUND(  IF(E107&lt;45, E107*'Reference Standards'!$S$498+'Reference Standards'!$S$499,E107*'Reference Standards'!$T$498+'Reference Standards'!$T$499),2))), IF(OR(  LEFT($B$12,2)="68", LEFT($B$12,2)="69",LEFT($B$12,2)="71"),  IF( AND(E107&gt;=30,E107&lt;=50),1, IF(OR(E107&lt;=10,E107&gt;=70),0, ROUND(  IF(E107&lt;30, E107*'Reference Standards'!$S$533+'Reference Standards'!$S$534,E107*'Reference Standards'!$T$533+'Reference Standards'!$T$534),2))), IF(LEFT($B$12,2)="66",  IF( AND(E107&gt;=20,E107&lt;=45),1, IF(OR(E107&lt;=0,E107&gt;=90),0, ROUND(  IF(E107&lt;20, E107*'Reference Standards'!$S$567+'Reference Standards'!$S$568,E107*'Reference Standards'!$T$567+'Reference Standards'!$T$568),2))), IF(OR(  LEFT($B$12,2)="65", LEFT($B$12,2)="74", LEFT($B$12,2)="73"),  IF( AND(E107&gt;=20,E107&lt;=30),1, IF(OR(E107&lt;=0,E107&gt;=50),0, ROUND(  IF(E107&lt;20, E107*'Reference Standards'!$S$601+'Reference Standards'!$S$602,E107*'Reference Standards'!$T$601+'Reference Standards'!$T$602),2))))))))</f>
        <v>1</v>
      </c>
      <c r="G107" s="553"/>
      <c r="H107" s="567"/>
      <c r="I107" s="555"/>
      <c r="J107" s="559"/>
      <c r="K107" s="555"/>
    </row>
    <row r="108" spans="1:14" s="14" customFormat="1" ht="15.6" x14ac:dyDescent="0.3">
      <c r="A108" s="520"/>
      <c r="B108" s="521"/>
      <c r="C108" s="62" t="s">
        <v>210</v>
      </c>
      <c r="D108" s="65"/>
      <c r="E108" s="167"/>
      <c r="F108" s="391" t="str">
        <f>IF(E108="","",IF(E108&gt;=1.6,0,IF(E108&lt;=1,1,ROUND('Reference Standards'!$S$633*E108^3+'Reference Standards'!$S$634*E108^2+'Reference Standards'!$S$635*E108+'Reference Standards'!$S$636,2))))</f>
        <v/>
      </c>
      <c r="G108" s="554"/>
      <c r="H108" s="567"/>
      <c r="I108" s="555"/>
      <c r="J108" s="559"/>
      <c r="K108" s="555"/>
    </row>
    <row r="109" spans="1:14" ht="15.6" x14ac:dyDescent="0.3">
      <c r="A109" s="521"/>
      <c r="B109" s="227" t="s">
        <v>55</v>
      </c>
      <c r="C109" s="242" t="s">
        <v>54</v>
      </c>
      <c r="D109" s="65"/>
      <c r="E109" s="241">
        <v>1.5</v>
      </c>
      <c r="F109" s="342">
        <f>IF(E109="","",IF(AND(B$11="E",$B$14="Sand",$B$21="Unconfined Alluvial"),ROUND(IF(OR(E109&gt;1.8,E109&lt;1.3),0,IF(E109&lt;=1.6,1,E109*'Reference Standards'!S$667+'Reference Standards'!S$668)),2),    IF($B$21="Unconfined Alluvial",ROUND(IF(OR(E109&lt;1.2, E109&gt;1.5),0,IF(E109&lt;=1.4,1,E109*'Reference Standards'!$S$700+'Reference Standards'!$S$701)),2), IF($B$21="Confined Alluvial",ROUND(IF(E109&lt;1.15,0,IF(E109&lt;=1.4,E109*'Reference Standards'!$S$729+'Reference Standards'!$S$730,1)),2),  IF($B$21="Colluvial",ROUND(IF(E109&gt;1.3,0,IF(E109&gt;1.2,E109*'Reference Standards'!$S$760+'Reference Standards'!$S$761,1)),2) )))))</f>
        <v>1</v>
      </c>
      <c r="G109" s="84">
        <f>IFERROR(AVERAGE(F109),"")</f>
        <v>1</v>
      </c>
      <c r="H109" s="567"/>
      <c r="I109" s="555"/>
      <c r="J109" s="559"/>
      <c r="K109" s="555"/>
      <c r="L109" s="13"/>
    </row>
    <row r="110" spans="1:14" ht="15.6" x14ac:dyDescent="0.3">
      <c r="A110" s="537" t="s">
        <v>58</v>
      </c>
      <c r="B110" s="168" t="s">
        <v>88</v>
      </c>
      <c r="C110" s="70" t="s">
        <v>338</v>
      </c>
      <c r="D110" s="68"/>
      <c r="E110" s="43"/>
      <c r="F110" s="343" t="str">
        <f>IF(E110="","",ROUND(IF(E110&gt;=942,0,IF(E110&lt;=487,E110*'Reference Standards'!AB$15+'Reference Standards'!AB$16,E110*'Reference Standards'!$AC$15+'Reference Standards'!$AC$16)),2))</f>
        <v/>
      </c>
      <c r="G110" s="85" t="str">
        <f>IFERROR(AVERAGE(F110),"")</f>
        <v/>
      </c>
      <c r="H110" s="547" t="str">
        <f>IFERROR(ROUND(AVERAGE(G110:G113),2),"")</f>
        <v/>
      </c>
      <c r="I110" s="534" t="str">
        <f>IF(H110="","",IF(H110&gt;0.69,"Functioning",IF(H110&gt;0.29,"Functioning At Risk",IF(H110&gt;-1,"Not Functioning"))))</f>
        <v/>
      </c>
      <c r="J110" s="559"/>
      <c r="K110" s="555"/>
      <c r="L110" s="13"/>
      <c r="N110" s="14"/>
    </row>
    <row r="111" spans="1:14" s="14" customFormat="1" ht="15.6" x14ac:dyDescent="0.3">
      <c r="A111" s="538"/>
      <c r="B111" s="289" t="s">
        <v>362</v>
      </c>
      <c r="C111" s="66" t="s">
        <v>354</v>
      </c>
      <c r="D111" s="70"/>
      <c r="E111" s="163"/>
      <c r="F111" s="344" t="str">
        <f>IF(E111="","",IF(OR($B$12="65abei", $B$12="65j", $B$12="66d", $B$12="66e", $B$12="66ik", $B$12="66f", $B$12="66g", $B$12="66j", $B$12="68a", $B$12="69de", $B$12="74b",AND(OR($B$12="67fhi", $B$12="67g"),$B$13&lt;=2),AND(OR($B$12="68c", $B$12="68d"),$B$19="January - June")),IF(E111&gt;93,0,IF(E111&lt;13,1,ROUND('Reference Standards'!$AB$53*E111^2+'Reference Standards'!$AB$54*E111+'Reference Standards'!$AB$55,2))),   IF(OR(AND(OR($B$12="67fhi", $B$12="67g",$B$12="71f",$B$12="71g",$B$12="71h"),$B$13&gt;2),AND(OR($B$12="68c", $B$12="68d"),$B$19="July - December"),$B$12="73a",$B$12="73b"),IF(E111&gt;94,0,IF(E111&lt;17,1,ROUND('Reference Standards'!$AC$53*E111^2+'Reference Standards'!$AC$54*E111+'Reference Standards'!$AC$55,2))),    IF(OR(AND(OR($B$12="68b",$B$12="71i"),$B$13&gt;2), $B$12="71e"),IF(E111&gt;91,0,IF(E111&lt;24,1,ROUND('Reference Standards'!$AD$53*E111^2+'Reference Standards'!$AD$54*E111+'Reference Standards'!$AD$55,2))),  IF(OR(AND(OR($B$12="71f",$B$12="71g",$B$12="71h",$B$12="71i"),$B$13&lt;=2), AND($B$12="74a",$B$13&gt;2)),IF(E111&gt;95,0,IF(E111&lt;=36,1,ROUND('Reference Standards'!$AE$53*E111^2+'Reference Standards'!$AE$54*E111+'Reference Standards'!$AE$55,2))))))))</f>
        <v/>
      </c>
      <c r="G111" s="236" t="str">
        <f>IFERROR(AVERAGE(F111:F111),"")</f>
        <v/>
      </c>
      <c r="H111" s="548"/>
      <c r="I111" s="535"/>
      <c r="J111" s="559"/>
      <c r="K111" s="555"/>
      <c r="L111" s="21"/>
    </row>
    <row r="112" spans="1:14" s="14" customFormat="1" ht="15.6" x14ac:dyDescent="0.3">
      <c r="A112" s="538"/>
      <c r="B112" s="67" t="s">
        <v>81</v>
      </c>
      <c r="C112" s="68" t="s">
        <v>281</v>
      </c>
      <c r="D112" s="68"/>
      <c r="E112" s="162"/>
      <c r="F112" s="344" t="str">
        <f>IF(E112="","",IF(ISNUMBER($B$13), IF(OR($B$12="66e",$B$12="66f",$B$12="66g"), ROUND(IF(E112&gt;=0.61,0,IF(E112&lt;=0.01,1,IF(E112&lt;=0.06,E112*'Reference Standards'!$AD$197+'Reference Standards'!$AD$198,E112^2*'Reference Standards'!$AB$196+E112*'Reference Standards'!$AB$197+'Reference Standards'!$AB$198))),2),  IF($B$12="68b", ROUND(IF(E112&gt;=1.1,0,IF(E112&lt;=0.17,1,IF(E112&lt;=0.22,E112*'Reference Standards'!$AE$197+'Reference Standards'!$AE$198,E112^2*'Reference Standards'!$AC$196+E112*'Reference Standards'!$AC$197+'Reference Standards'!$AC$198))),2),IF($B$13&lt;=2.5,   IF($B$12="69de",ROUND(IF(E112&gt;=0.22,0,IF(E112&lt;=0.01,1,E112^2*'Reference Standards'!$AB$90+E112*'Reference Standards'!$AB$91+'Reference Standards'!$AB$92)),2),   IF($B$12="68c",ROUND(IF(E112&gt;=0.87,0,IF(E112&lt;=0.01,1,E112^2*'Reference Standards'!$AC$90+E112*'Reference Standards'!$AC$91+'Reference Standards'!$AC$92)),2),   IF($B$12="68a",ROUND(IF(E112&gt;=0.81,0,IF(E112&lt;=0.01,1,E112^2*'Reference Standards'!$AD$90+E112*'Reference Standards'!$AD$91+'Reference Standards'!$AD$92)),2),   IF($B$12="65abei",ROUND(IF(E112&gt;=0.67,0,IF(E112&lt;=0.01,1,IF(E112&lt;=0.18,E112*'Reference Standards'!$AG$91+'Reference Standards'!$AG$92,E112*'Reference Standards'!$AE$91+'Reference Standards'!$AE$92))),2),   IF($B$12="65j",ROUND(IF(E112&gt;=0.32,0,IF(E112&lt;=0.01,1,IF(E112&lt;=0.25,E112*'Reference Standards'!$AH$91+'Reference Standards'!$AH$92,E112*'Reference Standards'!$AF$91+'Reference Standards'!$AF$92))),2),   IF($B$12="71f",ROUND(IF(E112&gt;=3,0,IF(E112&lt;=0,1,IF(E112&lt;=0.01,0.7,E112^2*'Reference Standards'!$AB$126+E112*'Reference Standards'!$AB$127+'Reference Standards'!$AB$128))),2),   IF($B$12="74a",ROUND(IF(E112&gt;=0.14,0,IF(E112&lt;=0.01,1,IF(E112&lt;=0.02,0.7,E112^2*'Reference Standards'!$AC$126+E112*'Reference Standards'!$AC$127+'Reference Standards'!$AC$128))),2),   IF(OR($B$12="67fhi",$B$12="67g"),ROUND(IF(E112&gt;=1.9,0,IF(E112&lt;=0.01,1,IF(E112&lt;=0.05,E112*'Reference Standards'!$AF$127+'Reference Standards'!$AF$128,E112^2*'Reference Standards'!$AD$126+E112*'Reference Standards'!$AD$127+'Reference Standards'!$AD$128))),2),   IF($B$12="73a",ROUND(IF(E112&gt;=1.44,0,IF(E112&lt;=0.01,1,IF(E112&lt;=0.12,E112*'Reference Standards'!$AG$127+'Reference Standards'!$AG$128,E112^2*'Reference Standards'!$AE$126+E112*'Reference Standards'!$AE$127+'Reference Standards'!$AE$128))),2),   IF($B$12="66d",ROUND(IF(E112&gt;=0.46,0,IF(E112&lt;=0.02,1,IF(E112&lt;=0.08,E112*'Reference Standards'!$AF$163+'Reference Standards'!$AF$164,E112^2*'Reference Standards'!$AB$162+E112*'Reference Standards'!$AB$163+'Reference Standards'!$AB$164))),2),   IF(OR($B$12="71g",$B$12="71h",$B$12="71i"),ROUND(IF(E112&gt;=3,0,IF(E112&lt;=0.06,1,IF(E112&lt;=0.24,E112*'Reference Standards'!$AG$163+'Reference Standards'!$AG$164, E112^2*'Reference Standards'!$AC$162+E112*'Reference Standards'!$AC$163+'Reference Standards'!$AC$164))),2),   IF($B$12="74b",ROUND(IF(E112&gt;=1.3,0,IF(E112&lt;=0.29,1,IF(E112&lt;=0.48,E112*'Reference Standards'!$AH$163+'Reference Standards'!$AH$164,E112^2*'Reference Standards'!$AD$162+E112*'Reference Standards'!$AD$163+'Reference Standards'!$AD$164))),2),   IF($B$12="71e",ROUND(IF(E112&gt;=4.3,0,IF(E112&lt;=0.53,1,IF(E112&lt;=0.67,E112*'Reference Standards'!$AI$163+'Reference Standards'!$AI$164,E112^2*'Reference Standards'!$AE$162+E112*'Reference Standards'!$AE$163+'Reference Standards'!$AE$164))),2)       ))))))))))))),IF($B$13&gt;2.5,    IF($B$12="73a",ROUND(IF(E112&gt;=0.55,0,IF(E112&lt;=0,1,E112^2*'Reference Standards'!$AB$232+E112*'Reference Standards'!$AB$233+'Reference Standards'!$AB$234)),2),   IF($B$12="68a",ROUND(IF(E112&gt;=0.54,0,IF(E112&lt;=0,1, IF(E112&lt;=0.01,0.85, E112^2*'Reference Standards'!$AC$232+E112*'Reference Standards'!$AC$233+'Reference Standards'!$AC$234))),2),   IF($B$12="74a",ROUND(IF(E112&gt;=0.47,0,IF(E112&lt;=0.01,1, IF(E112&lt;=0.02,0.7, E112^2*'Reference Standards'!$AD$232+E112*'Reference Standards'!$AD$233+'Reference Standards'!$AD$234))),2),    IF($B$12="69de",ROUND(IF(E112&gt;=0.26,0,IF(E112&lt;=0.01,1, IF(E112&lt;=0.02,0.85, E112^2*'Reference Standards'!$AE$232+E112*'Reference Standards'!$AE$233+'Reference Standards'!$AE$234))),2),   IF($B$12="71f",ROUND(IF(E112&gt;=0.87,0,IF(E112&lt;=0.01,1,IF(E112&lt;=0.04,E112*'Reference Standards'!$AF$269+'Reference Standards'!$AF$270,E112^2*'Reference Standards'!$AB$268+E112*'Reference Standards'!$AB$269+'Reference Standards'!$AB$270))),2),  IF($B$12="65abei",ROUND(IF(E112&gt;=0.82,0,IF(E112&lt;=0.01,1,IF(E112&lt;=0.06,E112*'Reference Standards'!$AG$269+'Reference Standards'!$AG$270,E112^2*'Reference Standards'!$AC$268+E112*'Reference Standards'!$AC$269+'Reference Standards'!$AC$270))),2),  IF($B$12="65j",ROUND(IF(E112&gt;=0.33,0,IF(E112&lt;=0.03,1,IF(E112&lt;=0.09,E112*'Reference Standards'!$AH$269+'Reference Standards'!$AH$270,E112^2*'Reference Standards'!$AD$268+E112*'Reference Standards'!$AD$269+'Reference Standards'!$AD$270))),2),  IF($B$12="68c",ROUND(IF(E112&gt;=0.7,0,IF(E112&lt;=0.07,1,IF(E112&lt;=0.12,E112*'Reference Standards'!$AI$269+'Reference Standards'!$AI$270,E112^2*'Reference Standards'!$AE$268+E112*'Reference Standards'!$AE$269+'Reference Standards'!$AE$270))),2),   IF(OR($B$12="67fhi",$B$12="67g"),ROUND(IF(E112&gt;=1.8,0,IF(E112&lt;=0.08,1,IF(E112&lt;=0.2,E112*'Reference Standards'!$AF$306+'Reference Standards'!$AF$307,E112^2*'Reference Standards'!$AB$305+E112*'Reference Standards'!$AB$306+'Reference Standards'!$AB$307))),2),   IF($B$12="74b",ROUND(IF(E112&gt;=0.96,0,IF(E112&lt;=0.12,1,IF(E112&lt;=0.16,E112*'Reference Standards'!$AG$306+'Reference Standards'!$AG$307,E112^2*'Reference Standards'!$AC$305+E112*'Reference Standards'!$AC$306+'Reference Standards'!$AC$307))),2),   IF($B$12="66d",ROUND(IF(E112&gt;=0.75,0,IF(E112&lt;=0.13,1,IF(E112&lt;=0.2,E112*'Reference Standards'!$AH$306+'Reference Standards'!$AH$307,E112^2*'Reference Standards'!$AD$305+E112*'Reference Standards'!$AD$306+'Reference Standards'!$AD$307))),2),    IF(OR($B$12="71g",$B$12="71h",$B$12="71i"),ROUND(IF(E112&gt;=1.68,0,IF(E112&lt;=0.08,1,IF(E112&lt;=0.23,E112*'Reference Standards'!$AI$306+'Reference Standards'!$AI$307,E112^2*'Reference Standards'!$AE$305+E112*'Reference Standards'!$AE$306+'Reference Standards'!$AE$307))),2),   IF($B$12="71e",ROUND(IF(E112&gt;=5.3,0,IF(E112&lt;=0.94,1,IF(E112&lt;=1.4,E112*'Reference Standards'!$AF$310+'Reference Standards'!$AF$311,E112^2*'Reference Standards'!$AB$309+E112*'Reference Standards'!$AB$310+'Reference Standards'!$AB$311))),2))    ))))))))))))))))))</f>
        <v/>
      </c>
      <c r="G112" s="87" t="str">
        <f>IFERROR(AVERAGE(F112),"")</f>
        <v/>
      </c>
      <c r="H112" s="548"/>
      <c r="I112" s="535"/>
      <c r="J112" s="559"/>
      <c r="K112" s="555"/>
      <c r="L112" s="21"/>
      <c r="N112"/>
    </row>
    <row r="113" spans="1:14" s="14" customFormat="1" ht="15.6" x14ac:dyDescent="0.3">
      <c r="A113" s="539"/>
      <c r="B113" s="69" t="s">
        <v>82</v>
      </c>
      <c r="C113" s="66" t="s">
        <v>280</v>
      </c>
      <c r="D113" s="66"/>
      <c r="E113" s="136"/>
      <c r="F113" s="343" t="str">
        <f>IF(E113="","", IF(ISNUMBER($B$13), IF($B$13&gt;2.5,IF(OR($B$12="71h",$B$12="71i",$B$12="73a",$B$12="74a"),IF(E113&lt;=0.01,1,IF(OR($B$12="71h",$B$12="71i"),IF(E113&gt;0.37,0,ROUND(IF(E113&gt;0.03,'Reference Standards'!$AB$425*E113^2+'Reference Standards'!$AB$426*E113+'Reference Standards'!$AB$427,'Reference Standards'!$AF$426*E113+'Reference Standards'!$AF$427),2)),  IF($B$12="73a",IF(E113&gt;0.405,0,ROUND(IF(E113&gt;0.046,'Reference Standards'!$AC$425*E113^2+'Reference Standards'!$AC$426*E113+'Reference Standards'!$AC$427,'Reference Standards'!$AG$426*E113+'Reference Standards'!$AG$427),2)),IF($B$12="74a",IF(E113&gt;0.3,0,ROUND(IF(E113&gt;0.052,'Reference Standards'!$AD$425*E113^2+'Reference Standards'!$AD$426*E113+'Reference Standards'!$AD$427,'Reference Standards'!$AH$426*E113+'Reference Standards'!$AH$427),2)))))),   IF(E113&lt;=0.002,1,IF(OR($B$12="66d",$B$12="66e",$B$12="66g"),IF(E113&gt;0.053,0,ROUND(E113^2*'Reference Standards'!$AB$347+E113*'Reference Standards'!$AB$348+'Reference Standards'!$AB$349,2)), IF($B$12="68b",IF(E113&gt;0.05,0,ROUND(E113^2*'Reference Standards'!$AC$347+E113*'Reference Standards'!$AC$348+'Reference Standards'!$AC$349,2)),  IF(OR($B$12="68a",$B$12="68c"),IF(E113&gt;0.07,0,ROUND(E113^2*'Reference Standards'!$AD$347+E113*'Reference Standards'!$AD$348+'Reference Standards'!$AD$349,2)), IF(OR($B$12="71f",$B$12="71g"),IF(E113&gt;0.13,0,ROUND(IF(E113&gt;0.042,E113*'Reference Standards'!$AE$348+'Reference Standards'!$AE$349,E113*'Reference Standards'!$AF$348+'Reference Standards'!$AF$349),2)), IF($B$12="67fhi",IF(E113&gt;0.16,0,ROUND(E113^2*'Reference Standards'!$AG$347+E113*'Reference Standards'!$AG$348+'Reference Standards'!$AG$349,2)),  IF($B$12="65j",IF(E113&gt;0.035,0,ROUND(IF(E113&lt;=0.003,0.7,E113^2*'Reference Standards'!$AB$387+E113*'Reference Standards'!$AB$388+'Reference Standards'!$AB$389),2)),IF($B$12="69de",IF(E113&gt;0.037,0,ROUND(IF(E113&lt;=0.003,0.7,E113^2*'Reference Standards'!$AC$387+E113*'Reference Standards'!$AC$388+'Reference Standards'!$AC$389),2)),IF($B$12="71e",IF(E113&gt;0.23,0,ROUND(IF(E113&lt;=0.003,0.7,E113^2*'Reference Standards'!$AD$387+E113*'Reference Standards'!$AD$388+'Reference Standards'!$AD$389),2)),IF($B$12="66f",IF(E113&gt;0.06,0,ROUND(IF(E113&lt;=0.003,0.85,IF(E113&lt;=0.004,0.7,E113^2*'Reference Standards'!$AE$387+E113*'Reference Standards'!$AE$388+'Reference Standards'!$AE$389)),2)),IF($B$12="67g",IF(E113&gt;0.11,0,ROUND(IF(E113&lt;=0.01,E113*'Reference Standards'!$AH$388+'Reference Standards'!$AH$389, E113^2*'Reference Standards'!$AF$387+E113*'Reference Standards'!$AF$388+'Reference Standards'!$AF$389),2)),IF($B$12="74b",IF(E113&gt;0.49,0,ROUND(IF(E113&lt;=0.01,E113*'Reference Standards'!$AH$388+'Reference Standards'!$AH$389, E113^2*'Reference Standards'!$AG$387+E113*'Reference Standards'!$AG$388+'Reference Standards'!$AG$389),2)),IF($B$12="65abei",IF(E113&gt;0.199,0,ROUND(IF(E113&lt;=0.01,E113*'Reference Standards'!$AI$426+'Reference Standards'!$AI$427, E113^2*'Reference Standards'!$AE$425+E113*'Reference Standards'!$AE$426+'Reference Standards'!$AE$427),2))    )))))))))))))),      IF($B$13&lt;=2.5, IF(OR($B$12="66d",$B$12="66e",$B$12="66g"),IF(E113&gt;0.05,0,ROUND(IF(E113&lt;=0.002,1,IF(E113&lt;=0.005,E113*'Reference Standards'!$AF$464+'Reference Standards'!$AF$465, E113^2*'Reference Standards'!$AB$463+E113*'Reference Standards'!$AB$464+'Reference Standards'!$AB$465)),2)), IF($B$12="67fhi",IF(E113&gt;0.1,0,ROUND(IF(E113&lt;=0.002,1,IF(E113&lt;=0.006,E113*'Reference Standards'!$AG$464+'Reference Standards'!$AG$465, E113^2*'Reference Standards'!$AC$463+E113*'Reference Standards'!$AC$464+'Reference Standards'!$AC$465)),2)), IF($B$12="65abei",IF(E113&gt;0.13,0,ROUND(IF(E113&lt;=0.003,1,IF(E113&lt;=0.008,E113*'Reference Standards'!$AH$464+'Reference Standards'!$AH$465, E113^2*'Reference Standards'!$AD$463+E113*'Reference Standards'!$AD$464+'Reference Standards'!$AD$465)),2)), IF($B$12="68b",IF(E113&gt;0.043,0,ROUND(IF(E113&lt;=0.004,1, IF(E113&lt;=0.005,0.7, E113^2*'Reference Standards'!$AE$463+E113*'Reference Standards'!$AE$464+'Reference Standards'!$AE$465)),2)), IF($B$12="69de",IF(E113&gt;=0.034,0,ROUND(IF(E113&lt;=0.003,1, IF(E113&lt;=0.006,E113*'Reference Standards'!$AG$500+'Reference Standards'!$AG$501, E113*'Reference Standards'!$AB$500+'Reference Standards'!$AB$501)),2)), IF(OR($B$12="68a",$B$12="68c"),IF(E113&gt;0.202,0,ROUND(IF(E113&lt;=0.003,1, IF(E113&lt;=0.006,E113*'Reference Standards'!$AG$500+'Reference Standards'!$AG$501, IF(E113&gt;=0.04,E113*'Reference Standards'!$AC$500+'Reference Standards'!$AC$501,E113*'Reference Standards'!$AE$500+'Reference Standards'!$AE$501))),2)), IF(OR($B$12="71f",$B$12="71g"),IF(E113&gt;0.631,0,ROUND(IF(E113&lt;=0.003,1, IF(E113&lt;=0.006,E113*'Reference Standards'!$AG$500+'Reference Standards'!$AG$501, IF(E113&gt;=0.17,E113*'Reference Standards'!$AD$500+'Reference Standards'!$AD$501,E113*'Reference Standards'!$AF$500+'Reference Standards'!$AF$501))),2)),   IF($B$12="71e",IF(E113&gt;1.23,0,ROUND(IF(E113&lt;=0.004,1,IF(E113&lt;=0.006,E113*'Reference Standards'!$AF$538+'Reference Standards'!$AF$539, E113^2*'Reference Standards'!$AB$537+E113*'Reference Standards'!$AB$538+'Reference Standards'!$AB$539)),2)), IF($B$12="67g",IF(E113&gt;0.11,0,ROUND(IF(E113&lt;=0.006,1,IF(E113&lt;=0.011,E113*'Reference Standards'!$AG$538+'Reference Standards'!$AG$539, E113^2*'Reference Standards'!$AC$537+E113*'Reference Standards'!$AC$538+'Reference Standards'!$AC$539)),2)), IF($B$12="65j",IF(E113&gt;0.046,0,ROUND(IF(E113&lt;=0.007,1,IF(E113&lt;=0.012,E113*'Reference Standards'!$AH$538+'Reference Standards'!$AH$539, E113^2*'Reference Standards'!$AD$537+E113*'Reference Standards'!$AD$538+'Reference Standards'!$AD$539)),2)), IF($B$12="66f",IF(E113&gt;0.081,0,ROUND(IF(E113&lt;=0.008,1,IF(E113&lt;=0.011,E113*'Reference Standards'!$AI$538+'Reference Standards'!$AI$539, E113^2*'Reference Standards'!$AE$537+E113*'Reference Standards'!$AE$538+'Reference Standards'!$AE$539)),2)), IF(OR($B$12="71h",$B$12="71i"),IF(E113&gt;0.37,0,ROUND(IF(E113&lt;=0.013,1,IF(E113&lt;=0.032,E113*'Reference Standards'!$AH$576+'Reference Standards'!$AH$577, IF(E113&lt;=0.3,E113*'Reference Standards'!$AF$576+'Reference Standards'!$AF$577,E113*'Reference Standards'!$AB$576+'Reference Standards'!$AB$577))),2)), IF($B$12="73a",IF(E113&gt;0.448,0,ROUND(IF(E113&lt;=0.071,1,IF(E113&lt;=0.086,E113*'Reference Standards'!$AJ$576+'Reference Standards'!$AJ$577, IF(E113&lt;=0.165,E113*'Reference Standards'!$AG$576+'Reference Standards'!$AG$577,E113*'Reference Standards'!$AE$576+'Reference Standards'!$AE$577))),2)),  IF($B$12="74b",IF(E113&gt;0.43,0,ROUND(IF(E113&lt;=0.018,1,IF(E113&lt;=0.019,0.85, IF(E113&lt;=0.02,0.7, E113^2*'Reference Standards'!$AC$575+E113*'Reference Standards'!$AC$576+'Reference Standards'!$AC$577))),2)), IF($B$12="74a",IF(E113&gt;0.217,0,ROUND(IF(E113&lt;=0.02,1,IF(E113&lt;=0.033,E113*'Reference Standards'!$AI$576+'Reference Standards'!$AI$577, E113^2*'Reference Standards'!$AD$575+E113*'Reference Standards'!$AD$576+'Reference Standards'!$AD$577)),2))     )))))))))))))))))))</f>
        <v/>
      </c>
      <c r="G113" s="85" t="str">
        <f>IFERROR(AVERAGE(F113),"")</f>
        <v/>
      </c>
      <c r="H113" s="549"/>
      <c r="I113" s="536"/>
      <c r="J113" s="559"/>
      <c r="K113" s="555"/>
      <c r="L113" s="21"/>
      <c r="N113"/>
    </row>
    <row r="114" spans="1:14" ht="15.6" x14ac:dyDescent="0.3">
      <c r="A114" s="550" t="s">
        <v>59</v>
      </c>
      <c r="B114" s="560" t="s">
        <v>340</v>
      </c>
      <c r="C114" s="125" t="s">
        <v>331</v>
      </c>
      <c r="D114" s="126"/>
      <c r="E114" s="166"/>
      <c r="F114" s="345" t="str">
        <f>IF(E114="","",IF(OR(B$12="73a",B$12="73b"),IF(E114&lt;1,0,IF(E114&gt;=30,1,ROUND(IF(E114&lt;22,'Reference Standards'!$AL$16*E114+'Reference Standards'!$AL$17,'Reference Standards'!$AM$16*E114+'Reference Standards'!$AM$17),2))), IF(E114&lt;1,0, IF(E114&gt;=42,1, ROUND(IF(E114&lt;32,'Reference Standards'!$AN$16*E114+'Reference Standards'!$AN$17,'Reference Standards'!$AO$16*E114+'Reference Standards'!$AO$17),2)))))</f>
        <v/>
      </c>
      <c r="G114" s="582" t="str">
        <f>IFERROR(AVERAGE(F114:F117),"")</f>
        <v/>
      </c>
      <c r="H114" s="568" t="str">
        <f>IFERROR(ROUND(AVERAGE(G114:G119),2),"")</f>
        <v/>
      </c>
      <c r="I114" s="519" t="str">
        <f>IF(H114="","",IF(H114&gt;0.69,"Functioning",IF(H114&gt;0.29,"Functioning At Risk",IF(H114&gt;-1,"Not Functioning"))))</f>
        <v/>
      </c>
      <c r="J114" s="559"/>
      <c r="K114" s="555"/>
      <c r="L114" s="21"/>
    </row>
    <row r="115" spans="1:14" s="14" customFormat="1" ht="15.6" x14ac:dyDescent="0.3">
      <c r="A115" s="556"/>
      <c r="B115" s="561"/>
      <c r="C115" s="174" t="s">
        <v>335</v>
      </c>
      <c r="D115" s="175"/>
      <c r="E115" s="165"/>
      <c r="F115" s="346" t="str">
        <f>IF(E115="","",IF(AND($B$12="74b",$B$13&lt;=2),IF(E115&lt;0,0,IF(E115&gt;15.6,0.69,ROUND('Reference Standards'!$AL$54*E115^2+'Reference Standards'!$AL$55*E115+'Reference Standards'!$AL$56,2))),IF(AND($B$12="65abei",$B$13&lt;=2),IF(E115&lt;0,0,IF(E115&gt;=20,0.69,ROUND('Reference Standards'!$AM$54*E115^2+'Reference Standards'!$AM$55*E115+'Reference Standards'!$AM$56,2))),IF(OR(AND($B$12="74a",$B$13&gt;2,$B$19="January - June"),AND($B$12="71i",$B$13&gt;2,$B$20="SQBANK")),IF(E115&lt;0,0,IF(E115&gt;24.7,0.69,ROUND('Reference Standards'!$AN$54*E115^2+'Reference Standards'!$AN$55*E115+'Reference Standards'!$AN$56,2))),IF(OR($B$12="74b",$B$12="65abei"),IF(E115&lt;0,0,IF(E115&gt;32.7,0.69,ROUND('Reference Standards'!$AO$54*E115^2+'Reference Standards'!$AO$55*E115+'Reference Standards'!$AO$56,2))),IF(AND($B$12="68b",$B$13&gt;2),IF(E115&lt;0,0,IF(E115&gt;41.2,0.69,ROUND('Reference Standards'!$AP$54*E115^2+'Reference Standards'!$AP$55*E115+'Reference Standards'!$AP$56,2))),IF(OR(AND($B$12="71i",$B$13&lt;=2),AND(OR($B$12="68c",$B$12="68d"),$B$19="January - June")),IF(E115&lt;0,0,IF(E115&gt;49.2,0.69,ROUND('Reference Standards'!$AL$94*E115^2+'Reference Standards'!$AL$95*E115+'Reference Standards'!$AL$96,2))),IF(OR(AND($B$12="68a",$B$19="January - June"),AND(OR($B$12="68c",$B$12="68d"),$B$19="July - December")),IF(E115&lt;0,0,IF(E115&gt;53.4,0.69,ROUND('Reference Standards'!$AM$94*E115^2+'Reference Standards'!$AM$95*E115+'Reference Standards'!$AM$96,2))),IF(OR(AND($B$12="71i",$B$13&gt;2,$B$20="SQKICK"),AND(OR($B$12="67fhi",$B$12="67g"),$B$13&lt;=2),$B$12="65j"),IF(E115&lt;0,0,IF(E115&gt;57.8,0.69,ROUND('Reference Standards'!$AN$94*E115^2+'Reference Standards'!$AN$95*E115+'Reference Standards'!$AN$96,2))),IF(OR(AND($B$12="74a",$B$13&gt;2,$B$19="July - December"),AND(OR($B$12="67fhi",$B$12="67g"),$B$13&gt;2),$B$12="69de"),IF(E115&lt;0,0,IF(E115&gt;62.5,0.69,ROUND('Reference Standards'!$AO$94*E115^2+'Reference Standards'!$AO$95*E115+'Reference Standards'!$AO$96,2))),  IF(OR($B$12="66d",$B$12="66e",$B$12="66ik",$B$12="71e",$B$12="71f",$B$12="71g",$B$12="71h"),IF(E115&lt;0,0,IF(E115&gt;66.5,0.69,ROUND('Reference Standards'!$AP$94*E115^2+'Reference Standards'!$AP$95*E115+'Reference Standards'!$AP$96,2))),IF(OR($B$12="66f",$B$12="66g",$B$12="66j",AND($B$12="68a",$B$19="July - December")), IF(E115&lt;0,0,IF(E115&gt;69,0.69,ROUND('Reference Standards'!$AQ$94*E115^2+'Reference Standards'!$AQ$95*E115+'Reference Standards'!$AQ$96,2))))   )))))))))))</f>
        <v/>
      </c>
      <c r="G115" s="584"/>
      <c r="H115" s="568"/>
      <c r="I115" s="519"/>
      <c r="J115" s="559"/>
      <c r="K115" s="555"/>
      <c r="L115" s="21"/>
    </row>
    <row r="116" spans="1:14" s="14" customFormat="1" ht="15.6" x14ac:dyDescent="0.3">
      <c r="A116" s="556"/>
      <c r="B116" s="561"/>
      <c r="C116" s="174" t="s">
        <v>339</v>
      </c>
      <c r="D116" s="175"/>
      <c r="E116" s="165"/>
      <c r="F116" s="346" t="str">
        <f>IF(E116="","",IF(AND($B$12="74b",$B$13&lt;=2),IF(E116&lt;0,0,IF(E116&gt;8.1,0.69,ROUND('Reference Standards'!$AL$131*E116^2+'Reference Standards'!$AL$132*E116+'Reference Standards'!$AL$133,2))),IF(OR($B$12="73a",$B$12="73b"),IF(E116&lt;0,0,IF(E116&gt;=28,0.69,ROUND('Reference Standards'!$AM$131*E116^2+'Reference Standards'!$AM$132*E116+'Reference Standards'!$AM$133,2))),IF(AND($B$12="74a",$B$13&gt;2,$B$19="January - June"),IF(E116&lt;0,0,IF(E116&gt;=32.5,0.69,ROUND('Reference Standards'!$AN$131*E116^2+'Reference Standards'!$AN$132*E116+'Reference Standards'!$AN$133,2))),IF(AND($B$12="71i",$B$13&gt;2,$B$20="SQBANK"),IF(E116&lt;0,0,IF(E116&gt;=37,0.69,ROUND('Reference Standards'!$AO$131*E116^2+'Reference Standards'!$AO$132*E116+'Reference Standards'!$AO$133,2))),IF(OR(AND(OR($B$12="65abei",$B$12="74b"),$B$13&gt;2),AND($B$12="71i",$B$13&gt;2,$B$20="SQKICK")),IF(E116&lt;0,0,IF(E116&gt;42.6,0.69,ROUND('Reference Standards'!$AP$131*E116^2+'Reference Standards'!$AP$132*E116+'Reference Standards'!$AP$133,2))),     IF(OR(AND($B$12="65abei",$B$13&lt;=2),AND(OR($B$12="68c",$B$12="68d"),$B$19="July - December"),$B$12="71e"),IF(E116&lt;0,0,IF(E116&gt;=48,0.69,ROUND('Reference Standards'!$AL$171*E116^2+'Reference Standards'!$AL$172*E116+'Reference Standards'!$AL$173,2))),IF(OR($B$12="65j",$B$12="67fhi",$B$12="67g",AND($B$12="74a",$B$19="July - December",$B$13&gt;2),AND($B$12="71i",$B$13&lt;=2)),IF(E116&lt;0,0,IF(E116&gt;=53,0.69,ROUND('Reference Standards'!$AM$171*E116^2+'Reference Standards'!$AM$172*E116+'Reference Standards'!$AM$173,2))),IF(OR(AND(OR($B$12="68b",$B$12="71f",$B$12="71g",$B$12="71h"),$B$13&gt;2),$B$12="68a"),IF(E116&lt;0,0,IF(E116&gt;=57,0.69,ROUND('Reference Standards'!$AN$171*E116^2+'Reference Standards'!$AN$172*E116+'Reference Standards'!$AN$173,2))),IF(OR($B$12="66f",$B$12="66g",$B$12="66j",AND(OR($B$12="71f",$B$12="71g",$B$12="71h"),$B$13&lt;=2)),IF(E116&lt;0,0,IF(E116&gt;=60,0.69,ROUND('Reference Standards'!$AO$171*E116^2+'Reference Standards'!$AO$172*E116+'Reference Standards'!$AO$173,2))),  IF(OR($B$12="66d",$B$12="66e",$B$12="66ik", AND(OR($B$12="68c",$B$12="68d"),$B$19="January - June"),AND($B$12="69de",$B$19="July - December")),IF(E116&lt;0,0,IF(E116&gt;=67.5,0.69,ROUND('Reference Standards'!$AP$171*E116^2+'Reference Standards'!$AP$172*E116+'Reference Standards'!$AP$173,2))),IF(AND($B$12="69de",$B$19="January - June"), IF(E116&lt;0,0,IF(E116&gt;=72,0.69,ROUND('Reference Standards'!$AQ$171*E116^2+'Reference Standards'!$AQ$172*E116+'Reference Standards'!$AQ$173,2))))   )))))))))))</f>
        <v/>
      </c>
      <c r="G116" s="584"/>
      <c r="H116" s="568"/>
      <c r="I116" s="519"/>
      <c r="J116" s="559"/>
      <c r="K116" s="555"/>
      <c r="L116" s="21"/>
    </row>
    <row r="117" spans="1:14" s="14" customFormat="1" ht="15.6" x14ac:dyDescent="0.3">
      <c r="A117" s="556"/>
      <c r="B117" s="562"/>
      <c r="C117" s="127" t="s">
        <v>336</v>
      </c>
      <c r="D117" s="175"/>
      <c r="E117" s="167"/>
      <c r="F117" s="346" t="str">
        <f>IF(E117="","",IF(OR($B$12="67fhi",$B$12="67g",$B$12="71e",$B$12="73a",$B$12="73b",AND(OR($B$12="71f",$B$12="71g",$B$12="71h"),$B$13&gt;2)),IF(E117&gt;100,0,IF(E117&lt;15,0.69,ROUND('Reference Standards'!$AL$208*E117^2+'Reference Standards'!$AL$209*E117+'Reference Standards'!$AL$210,2))),  IF(OR($B$12="66d",$B$12="66e",$B$12="66ik",$B$12="66f",$B$12="66g",$B$12="66j",$B$12="68a",$B$12="68c",$B$12="68d",AND($B$12="69de",$B$19="July - December"), AND($B$12="71i",$B$13&lt;=2), AND($B$12="71i",$B$13&gt;2,$B$20="SQBANK" ), AND($B$12="74a",$B$13&gt;2,$B$19="July - December") ),IF(E117&gt;100,0,IF(E117&lt;19,0.69,ROUND('Reference Standards'!$AM$208*E117^2+'Reference Standards'!$AM$209*E117+'Reference Standards'!$AM$210,2))),    IF(OR(AND($B$12="69de",$B$19="January - June"),AND($B$12="71i",$B$13&gt;2,$B$20="SQKICK" )),IF(E117&gt;100,0,IF(E117&lt;22,0.69,ROUND('Reference Standards'!$AN$208*E117^2+'Reference Standards'!$AN$209*E117+'Reference Standards'!$AN$210,2))),    IF(OR($B$12="65j",AND($B$12="68b",$B$13&gt;2)),IF(E117&gt;100,0,IF(E117&lt;24,0.69,ROUND('Reference Standards'!$AO$208*E117^2+'Reference Standards'!$AO$209*E117+'Reference Standards'!$AO$210,2))),    IF(AND(OR($B$12="65abei",$B$12="71f",$B$12="71g",$B$12="71h"),$B$13&lt;=2),IF(E117&gt;95,0,IF(E117&lt;33,0.69,ROUND('Reference Standards'!$AL$246*E117^2+'Reference Standards'!$AL$247*E117+'Reference Standards'!$AL$248,2))),   IF(AND(OR($B$12="65abei",$B$12="74b"),$B$13&gt;2),IF(E117&gt;97,0,IF(E117&lt;36,0.69,ROUND('Reference Standards'!$AM$246*E117^2+'Reference Standards'!$AM$247*E117+'Reference Standards'!$AM$248,2))),  IF(AND($B$12="74a",$B$19="January - June",$B$13&gt;2),IF(E117&gt;93,0,IF(E117&lt;52,0.69,ROUND('Reference Standards'!$AN$246*E117^2+'Reference Standards'!$AN$247*E117+'Reference Standards'!$AN$248,2))),   IF(AND($B$12="74b",$B$13&lt;=2),IF(E117&gt;97,0,IF(E117&lt;62,0.69,ROUND('Reference Standards'!$AO$246*E117^2+'Reference Standards'!$AO$247*E117+'Reference Standards'!$AO$248,2)))  )))))))))</f>
        <v/>
      </c>
      <c r="G117" s="583"/>
      <c r="H117" s="568"/>
      <c r="I117" s="519"/>
      <c r="J117" s="559"/>
      <c r="K117" s="555"/>
      <c r="L117" s="21"/>
    </row>
    <row r="118" spans="1:14" s="14" customFormat="1" ht="15.6" x14ac:dyDescent="0.3">
      <c r="A118" s="556"/>
      <c r="B118" s="563" t="s">
        <v>74</v>
      </c>
      <c r="C118" s="125" t="s">
        <v>211</v>
      </c>
      <c r="D118" s="126"/>
      <c r="E118" s="166"/>
      <c r="F118" s="345" t="str">
        <f>IF(E118="","",IF(E118=1,0.15,IF(E118=3,0.5,IF(E118=5,0.85,0))))</f>
        <v/>
      </c>
      <c r="G118" s="582" t="str">
        <f>IFERROR(AVERAGE(F118:F119),"")</f>
        <v/>
      </c>
      <c r="H118" s="568"/>
      <c r="I118" s="519"/>
      <c r="J118" s="559"/>
      <c r="K118" s="555"/>
      <c r="L118" s="21"/>
    </row>
    <row r="119" spans="1:14" ht="15.6" x14ac:dyDescent="0.3">
      <c r="A119" s="551"/>
      <c r="B119" s="563"/>
      <c r="C119" s="127" t="s">
        <v>332</v>
      </c>
      <c r="D119" s="71"/>
      <c r="E119" s="167"/>
      <c r="F119" s="347" t="str">
        <f>IF(E119="","",IF(E119=1,0.15,IF(E119=3,0.5,IF(E119=5,0.85,0))))</f>
        <v/>
      </c>
      <c r="G119" s="583"/>
      <c r="H119" s="568"/>
      <c r="I119" s="519"/>
      <c r="J119" s="559"/>
      <c r="K119" s="555"/>
      <c r="L119" s="21"/>
    </row>
    <row r="120" spans="1:14" x14ac:dyDescent="0.3">
      <c r="H120" s="14"/>
      <c r="J120" s="14"/>
      <c r="K120" s="14"/>
      <c r="L120" s="21"/>
    </row>
  </sheetData>
  <sheetProtection password="9A90" sheet="1" objects="1" scenarios="1" selectLockedCells="1"/>
  <dataConsolidate/>
  <mergeCells count="117">
    <mergeCell ref="H46:H47"/>
    <mergeCell ref="H44:H45"/>
    <mergeCell ref="A1:B3"/>
    <mergeCell ref="D2:J2"/>
    <mergeCell ref="D5:J5"/>
    <mergeCell ref="D3:J3"/>
    <mergeCell ref="F24:G25"/>
    <mergeCell ref="A42:F42"/>
    <mergeCell ref="A26:A27"/>
    <mergeCell ref="A29:A34"/>
    <mergeCell ref="D4:J4"/>
    <mergeCell ref="A23:D23"/>
    <mergeCell ref="D11:F11"/>
    <mergeCell ref="B24:B25"/>
    <mergeCell ref="D22:K22"/>
    <mergeCell ref="F23:K23"/>
    <mergeCell ref="J32:K34"/>
    <mergeCell ref="F35:G37"/>
    <mergeCell ref="F38:G40"/>
    <mergeCell ref="H35:H37"/>
    <mergeCell ref="C24:C25"/>
    <mergeCell ref="A35:A38"/>
    <mergeCell ref="I35:I37"/>
    <mergeCell ref="D24:D25"/>
    <mergeCell ref="J35:K37"/>
    <mergeCell ref="J26:K28"/>
    <mergeCell ref="J29:K31"/>
    <mergeCell ref="F32:G34"/>
    <mergeCell ref="H32:H34"/>
    <mergeCell ref="I32:I34"/>
    <mergeCell ref="H38:H40"/>
    <mergeCell ref="D1:J1"/>
    <mergeCell ref="I24:I25"/>
    <mergeCell ref="I29:I31"/>
    <mergeCell ref="H24:H25"/>
    <mergeCell ref="I38:I40"/>
    <mergeCell ref="J38:K40"/>
    <mergeCell ref="F26:G28"/>
    <mergeCell ref="H26:H28"/>
    <mergeCell ref="I26:I28"/>
    <mergeCell ref="F29:G31"/>
    <mergeCell ref="H29:H31"/>
    <mergeCell ref="D14:E14"/>
    <mergeCell ref="H11:J11"/>
    <mergeCell ref="I12:J12"/>
    <mergeCell ref="K84:K119"/>
    <mergeCell ref="A110:A113"/>
    <mergeCell ref="H110:H113"/>
    <mergeCell ref="I110:I113"/>
    <mergeCell ref="B94:B103"/>
    <mergeCell ref="B105:B108"/>
    <mergeCell ref="I84:I85"/>
    <mergeCell ref="G94:G103"/>
    <mergeCell ref="G86:G87"/>
    <mergeCell ref="G105:G108"/>
    <mergeCell ref="I86:I87"/>
    <mergeCell ref="B118:B119"/>
    <mergeCell ref="I88:I109"/>
    <mergeCell ref="G88:G89"/>
    <mergeCell ref="H114:H119"/>
    <mergeCell ref="H88:H109"/>
    <mergeCell ref="A114:A119"/>
    <mergeCell ref="G118:G119"/>
    <mergeCell ref="B114:B117"/>
    <mergeCell ref="G114:G117"/>
    <mergeCell ref="B86:B87"/>
    <mergeCell ref="B88:B89"/>
    <mergeCell ref="J84:J119"/>
    <mergeCell ref="H86:H87"/>
    <mergeCell ref="A74:A79"/>
    <mergeCell ref="B48:B49"/>
    <mergeCell ref="J44:J79"/>
    <mergeCell ref="C43:D43"/>
    <mergeCell ref="B74:B77"/>
    <mergeCell ref="B78:B79"/>
    <mergeCell ref="G78:G79"/>
    <mergeCell ref="H48:H69"/>
    <mergeCell ref="I48:I69"/>
    <mergeCell ref="H74:H79"/>
    <mergeCell ref="I74:I79"/>
    <mergeCell ref="A48:A69"/>
    <mergeCell ref="G48:G49"/>
    <mergeCell ref="B65:B68"/>
    <mergeCell ref="I44:I45"/>
    <mergeCell ref="I46:I47"/>
    <mergeCell ref="A44:A45"/>
    <mergeCell ref="A46:A47"/>
    <mergeCell ref="B46:B47"/>
    <mergeCell ref="C47:D47"/>
    <mergeCell ref="C46:D46"/>
    <mergeCell ref="C45:D45"/>
    <mergeCell ref="C44:D44"/>
    <mergeCell ref="G46:G47"/>
    <mergeCell ref="I114:I119"/>
    <mergeCell ref="B90:B93"/>
    <mergeCell ref="H84:H85"/>
    <mergeCell ref="A86:A87"/>
    <mergeCell ref="A88:A109"/>
    <mergeCell ref="B50:B53"/>
    <mergeCell ref="B54:B63"/>
    <mergeCell ref="J24:K25"/>
    <mergeCell ref="G90:G93"/>
    <mergeCell ref="G74:G77"/>
    <mergeCell ref="A24:A25"/>
    <mergeCell ref="I70:I73"/>
    <mergeCell ref="A70:A73"/>
    <mergeCell ref="G65:G68"/>
    <mergeCell ref="A84:A85"/>
    <mergeCell ref="C83:D83"/>
    <mergeCell ref="A82:F82"/>
    <mergeCell ref="G82:K82"/>
    <mergeCell ref="G50:G53"/>
    <mergeCell ref="H70:H73"/>
    <mergeCell ref="A39:A40"/>
    <mergeCell ref="G54:G63"/>
    <mergeCell ref="G42:K42"/>
    <mergeCell ref="K44:K79"/>
  </mergeCells>
  <conditionalFormatting sqref="A43:C43 I74:I78 B72:B73 A39 D62 B65:D65 A46:C46 F69 I110 I88:I89 H48:I49 H46:I46 L42:M45 H43:K44 G42 H80:K81 A83:C83 G82 I114:I118 A48:D48 C47 A1 F18:F19 J24 J26 J29 J32 F15:F16 D18:D19 L2:M9 J17:K17 H12:H15 H19:H21 C22:D22 K12:K15 K19:K21 D15 E43:G43 E83:K83 L40 D86:D87 B70 C54:D56 M93:M108 B94:B96 C16:C21 C71:D72 C66:D66 D67:D68 D114:D118 C77:D77 D105:D110 B69:D69 A49 C49:D49 F46:F47 A74:A78 D76 C74:D75 L109:L120 J35 B35 F35 A4:A21 B4:B15 L46:L79 F54:F57 C2:C14 D1:D3 J45:K45 H84:I86 L80:M92 L22:M22 A41 C41:M41">
    <cfRule type="beginsWith" dxfId="11340" priority="1374" stopIfTrue="1" operator="beginsWith" text="Functioning At Risk">
      <formula>LEFT(A1,LEN("Functioning At Risk"))="Functioning At Risk"</formula>
    </cfRule>
    <cfRule type="beginsWith" dxfId="11339" priority="1375" stopIfTrue="1" operator="beginsWith" text="Not Functioning">
      <formula>LEFT(A1,LEN("Not Functioning"))="Not Functioning"</formula>
    </cfRule>
    <cfRule type="containsText" dxfId="11338" priority="1376" operator="containsText" text="Functioning">
      <formula>NOT(ISERROR(SEARCH("Functioning",A1)))</formula>
    </cfRule>
  </conditionalFormatting>
  <conditionalFormatting sqref="D11">
    <cfRule type="beginsWith" dxfId="11337" priority="1347" stopIfTrue="1" operator="beginsWith" text="Functioning At Risk">
      <formula>LEFT(D11,LEN("Functioning At Risk"))="Functioning At Risk"</formula>
    </cfRule>
    <cfRule type="beginsWith" dxfId="11336" priority="1348" stopIfTrue="1" operator="beginsWith" text="Not Functioning">
      <formula>LEFT(D11,LEN("Not Functioning"))="Not Functioning"</formula>
    </cfRule>
    <cfRule type="containsText" dxfId="11335" priority="1349" operator="containsText" text="Functioning">
      <formula>NOT(ISERROR(SEARCH("Functioning",D11)))</formula>
    </cfRule>
  </conditionalFormatting>
  <conditionalFormatting sqref="B39">
    <cfRule type="beginsWith" dxfId="11334" priority="1266" stopIfTrue="1" operator="beginsWith" text="Functioning At Risk">
      <formula>LEFT(B39,LEN("Functioning At Risk"))="Functioning At Risk"</formula>
    </cfRule>
    <cfRule type="beginsWith" dxfId="11333" priority="1267" stopIfTrue="1" operator="beginsWith" text="Not Functioning">
      <formula>LEFT(B39,LEN("Not Functioning"))="Not Functioning"</formula>
    </cfRule>
    <cfRule type="containsText" dxfId="11332" priority="1268" operator="containsText" text="Functioning">
      <formula>NOT(ISERROR(SEARCH("Functioning",B39)))</formula>
    </cfRule>
  </conditionalFormatting>
  <conditionalFormatting sqref="D119">
    <cfRule type="beginsWith" dxfId="11331" priority="1257" stopIfTrue="1" operator="beginsWith" text="Functioning At Risk">
      <formula>LEFT(D119,LEN("Functioning At Risk"))="Functioning At Risk"</formula>
    </cfRule>
    <cfRule type="beginsWith" dxfId="11330" priority="1258" stopIfTrue="1" operator="beginsWith" text="Not Functioning">
      <formula>LEFT(D119,LEN("Not Functioning"))="Not Functioning"</formula>
    </cfRule>
    <cfRule type="containsText" dxfId="11329" priority="1259" operator="containsText" text="Functioning">
      <formula>NOT(ISERROR(SEARCH("Functioning",D119)))</formula>
    </cfRule>
  </conditionalFormatting>
  <conditionalFormatting sqref="B40">
    <cfRule type="beginsWith" dxfId="11328" priority="1239" stopIfTrue="1" operator="beginsWith" text="Functioning At Risk">
      <formula>LEFT(B40,LEN("Functioning At Risk"))="Functioning At Risk"</formula>
    </cfRule>
    <cfRule type="beginsWith" dxfId="11327" priority="1240" stopIfTrue="1" operator="beginsWith" text="Not Functioning">
      <formula>LEFT(B40,LEN("Not Functioning"))="Not Functioning"</formula>
    </cfRule>
    <cfRule type="containsText" dxfId="11326" priority="1241" operator="containsText" text="Functioning">
      <formula>NOT(ISERROR(SEARCH("Functioning",B40)))</formula>
    </cfRule>
  </conditionalFormatting>
  <conditionalFormatting sqref="D111">
    <cfRule type="beginsWith" dxfId="11325" priority="1182" stopIfTrue="1" operator="beginsWith" text="Functioning At Risk">
      <formula>LEFT(D111,LEN("Functioning At Risk"))="Functioning At Risk"</formula>
    </cfRule>
    <cfRule type="beginsWith" dxfId="11324" priority="1183" stopIfTrue="1" operator="beginsWith" text="Not Functioning">
      <formula>LEFT(D111,LEN("Not Functioning"))="Not Functioning"</formula>
    </cfRule>
    <cfRule type="containsText" dxfId="11323" priority="1184" operator="containsText" text="Functioning">
      <formula>NOT(ISERROR(SEARCH("Functioning",D111)))</formula>
    </cfRule>
  </conditionalFormatting>
  <conditionalFormatting sqref="B38">
    <cfRule type="beginsWith" dxfId="11322" priority="1143" stopIfTrue="1" operator="beginsWith" text="Functioning At Risk">
      <formula>LEFT(B38,LEN("Functioning At Risk"))="Functioning At Risk"</formula>
    </cfRule>
    <cfRule type="beginsWith" dxfId="11321" priority="1144" stopIfTrue="1" operator="beginsWith" text="Not Functioning">
      <formula>LEFT(B38,LEN("Not Functioning"))="Not Functioning"</formula>
    </cfRule>
    <cfRule type="containsText" dxfId="11320" priority="1145" operator="containsText" text="Functioning">
      <formula>NOT(ISERROR(SEARCH("Functioning",B38)))</formula>
    </cfRule>
  </conditionalFormatting>
  <conditionalFormatting sqref="B37">
    <cfRule type="beginsWith" dxfId="11319" priority="1140" stopIfTrue="1" operator="beginsWith" text="Functioning At Risk">
      <formula>LEFT(B37,LEN("Functioning At Risk"))="Functioning At Risk"</formula>
    </cfRule>
    <cfRule type="beginsWith" dxfId="11318" priority="1141" stopIfTrue="1" operator="beginsWith" text="Not Functioning">
      <formula>LEFT(B37,LEN("Not Functioning"))="Not Functioning"</formula>
    </cfRule>
    <cfRule type="containsText" dxfId="11317" priority="1142" operator="containsText" text="Functioning">
      <formula>NOT(ISERROR(SEARCH("Functioning",B37)))</formula>
    </cfRule>
  </conditionalFormatting>
  <conditionalFormatting sqref="D16">
    <cfRule type="beginsWith" dxfId="11316" priority="1106" stopIfTrue="1" operator="beginsWith" text="Functioning At Risk">
      <formula>LEFT(D16,LEN("Functioning At Risk"))="Functioning At Risk"</formula>
    </cfRule>
    <cfRule type="beginsWith" dxfId="11315" priority="1107" stopIfTrue="1" operator="beginsWith" text="Not Functioning">
      <formula>LEFT(D16,LEN("Not Functioning"))="Not Functioning"</formula>
    </cfRule>
    <cfRule type="containsText" dxfId="11314" priority="1108" operator="containsText" text="Functioning">
      <formula>NOT(ISERROR(SEARCH("Functioning",D16)))</formula>
    </cfRule>
  </conditionalFormatting>
  <conditionalFormatting sqref="C57:D57">
    <cfRule type="beginsWith" dxfId="11313" priority="1081" stopIfTrue="1" operator="beginsWith" text="Functioning At Risk">
      <formula>LEFT(C57,LEN("Functioning At Risk"))="Functioning At Risk"</formula>
    </cfRule>
    <cfRule type="beginsWith" dxfId="11312" priority="1082" stopIfTrue="1" operator="beginsWith" text="Not Functioning">
      <formula>LEFT(C57,LEN("Not Functioning"))="Not Functioning"</formula>
    </cfRule>
    <cfRule type="containsText" dxfId="11311" priority="1083" operator="containsText" text="Functioning">
      <formula>NOT(ISERROR(SEARCH("Functioning",C57)))</formula>
    </cfRule>
  </conditionalFormatting>
  <conditionalFormatting sqref="D63">
    <cfRule type="beginsWith" dxfId="11310" priority="1078" stopIfTrue="1" operator="beginsWith" text="Functioning At Risk">
      <formula>LEFT(D63,LEN("Functioning At Risk"))="Functioning At Risk"</formula>
    </cfRule>
    <cfRule type="beginsWith" dxfId="11309" priority="1079" stopIfTrue="1" operator="beginsWith" text="Not Functioning">
      <formula>LEFT(D63,LEN("Not Functioning"))="Not Functioning"</formula>
    </cfRule>
    <cfRule type="containsText" dxfId="11308" priority="1080" operator="containsText" text="Functioning">
      <formula>NOT(ISERROR(SEARCH("Functioning",D63)))</formula>
    </cfRule>
  </conditionalFormatting>
  <conditionalFormatting sqref="B112:B113 B105 A86:B86 A88:A89 B118 A114:A118">
    <cfRule type="beginsWith" dxfId="11307" priority="1035" stopIfTrue="1" operator="beginsWith" text="Functioning At Risk">
      <formula>LEFT(A86,LEN("Functioning At Risk"))="Functioning At Risk"</formula>
    </cfRule>
    <cfRule type="beginsWith" dxfId="11306" priority="1036" stopIfTrue="1" operator="beginsWith" text="Not Functioning">
      <formula>LEFT(A86,LEN("Not Functioning"))="Not Functioning"</formula>
    </cfRule>
    <cfRule type="containsText" dxfId="11305" priority="1037" operator="containsText" text="Functioning">
      <formula>NOT(ISERROR(SEARCH("Functioning",A86)))</formula>
    </cfRule>
  </conditionalFormatting>
  <conditionalFormatting sqref="A110">
    <cfRule type="beginsWith" dxfId="11304" priority="1026" stopIfTrue="1" operator="beginsWith" text="Functioning At Risk">
      <formula>LEFT(A110,LEN("Functioning At Risk"))="Functioning At Risk"</formula>
    </cfRule>
    <cfRule type="beginsWith" dxfId="11303" priority="1027" stopIfTrue="1" operator="beginsWith" text="Not Functioning">
      <formula>LEFT(A110,LEN("Not Functioning"))="Not Functioning"</formula>
    </cfRule>
    <cfRule type="containsText" dxfId="11302" priority="1028" operator="containsText" text="Functioning">
      <formula>NOT(ISERROR(SEARCH("Functioning",A110)))</formula>
    </cfRule>
  </conditionalFormatting>
  <conditionalFormatting sqref="K84:K85">
    <cfRule type="beginsWith" dxfId="11301" priority="1014" stopIfTrue="1" operator="beginsWith" text="Functioning At Risk">
      <formula>LEFT(K84,LEN("Functioning At Risk"))="Functioning At Risk"</formula>
    </cfRule>
    <cfRule type="beginsWith" dxfId="11300" priority="1015" stopIfTrue="1" operator="beginsWith" text="Not Functioning">
      <formula>LEFT(K84,LEN("Not Functioning"))="Not Functioning"</formula>
    </cfRule>
    <cfRule type="containsText" dxfId="11299" priority="1016" operator="containsText" text="Functioning">
      <formula>NOT(ISERROR(SEARCH("Functioning",K84)))</formula>
    </cfRule>
  </conditionalFormatting>
  <conditionalFormatting sqref="F23">
    <cfRule type="beginsWith" dxfId="11298" priority="933" stopIfTrue="1" operator="beginsWith" text="Functioning At Risk">
      <formula>LEFT(F23,LEN("Functioning At Risk"))="Functioning At Risk"</formula>
    </cfRule>
    <cfRule type="beginsWith" dxfId="11297" priority="934" stopIfTrue="1" operator="beginsWith" text="Not Functioning">
      <formula>LEFT(F23,LEN("Not Functioning"))="Not Functioning"</formula>
    </cfRule>
    <cfRule type="containsText" dxfId="11296" priority="935" operator="containsText" text="Functioning">
      <formula>NOT(ISERROR(SEARCH("Functioning",F23)))</formula>
    </cfRule>
  </conditionalFormatting>
  <conditionalFormatting sqref="F32">
    <cfRule type="beginsWith" dxfId="11295" priority="921" stopIfTrue="1" operator="beginsWith" text="Functioning At Risk">
      <formula>LEFT(F32,LEN("Functioning At Risk"))="Functioning At Risk"</formula>
    </cfRule>
    <cfRule type="beginsWith" dxfId="11294" priority="922" stopIfTrue="1" operator="beginsWith" text="Not Functioning">
      <formula>LEFT(F32,LEN("Not Functioning"))="Not Functioning"</formula>
    </cfRule>
    <cfRule type="containsText" dxfId="11293" priority="923" operator="containsText" text="Functioning">
      <formula>NOT(ISERROR(SEARCH("Functioning",F32)))</formula>
    </cfRule>
  </conditionalFormatting>
  <conditionalFormatting sqref="F29">
    <cfRule type="beginsWith" dxfId="11292" priority="918" stopIfTrue="1" operator="beginsWith" text="Functioning At Risk">
      <formula>LEFT(F29,LEN("Functioning At Risk"))="Functioning At Risk"</formula>
    </cfRule>
    <cfRule type="beginsWith" dxfId="11291" priority="919" stopIfTrue="1" operator="beginsWith" text="Not Functioning">
      <formula>LEFT(F29,LEN("Not Functioning"))="Not Functioning"</formula>
    </cfRule>
    <cfRule type="containsText" dxfId="11290" priority="920" operator="containsText" text="Functioning">
      <formula>NOT(ISERROR(SEARCH("Functioning",F29)))</formula>
    </cfRule>
  </conditionalFormatting>
  <conditionalFormatting sqref="C26:D40 H26:I32 H35:I35">
    <cfRule type="cellIs" dxfId="11289" priority="1319" operator="between">
      <formula>0</formula>
      <formula>0.299999</formula>
    </cfRule>
    <cfRule type="cellIs" dxfId="11288" priority="1321" operator="between">
      <formula>0.6999999</formula>
      <formula>0.3</formula>
    </cfRule>
    <cfRule type="cellIs" dxfId="11287" priority="1322" operator="between">
      <formula>0.7</formula>
      <formula>1</formula>
    </cfRule>
  </conditionalFormatting>
  <conditionalFormatting sqref="D104">
    <cfRule type="beginsWith" dxfId="11286" priority="915" stopIfTrue="1" operator="beginsWith" text="Functioning At Risk">
      <formula>LEFT(D104,LEN("Functioning At Risk"))="Functioning At Risk"</formula>
    </cfRule>
    <cfRule type="beginsWith" dxfId="11285" priority="916" stopIfTrue="1" operator="beginsWith" text="Not Functioning">
      <formula>LEFT(D104,LEN("Not Functioning"))="Not Functioning"</formula>
    </cfRule>
    <cfRule type="containsText" dxfId="11284" priority="917" operator="containsText" text="Functioning">
      <formula>NOT(ISERROR(SEARCH("Functioning",D104)))</formula>
    </cfRule>
  </conditionalFormatting>
  <conditionalFormatting sqref="C64:D64">
    <cfRule type="beginsWith" dxfId="11283" priority="912" stopIfTrue="1" operator="beginsWith" text="Functioning At Risk">
      <formula>LEFT(C64,LEN("Functioning At Risk"))="Functioning At Risk"</formula>
    </cfRule>
    <cfRule type="beginsWith" dxfId="11282" priority="913" stopIfTrue="1" operator="beginsWith" text="Not Functioning">
      <formula>LEFT(C64,LEN("Not Functioning"))="Not Functioning"</formula>
    </cfRule>
    <cfRule type="containsText" dxfId="11281" priority="914" operator="containsText" text="Functioning">
      <formula>NOT(ISERROR(SEARCH("Functioning",C64)))</formula>
    </cfRule>
  </conditionalFormatting>
  <conditionalFormatting sqref="D112">
    <cfRule type="beginsWith" dxfId="11280" priority="909" stopIfTrue="1" operator="beginsWith" text="Functioning At Risk">
      <formula>LEFT(D112,LEN("Functioning At Risk"))="Functioning At Risk"</formula>
    </cfRule>
    <cfRule type="beginsWith" dxfId="11279" priority="910" stopIfTrue="1" operator="beginsWith" text="Not Functioning">
      <formula>LEFT(D112,LEN("Not Functioning"))="Not Functioning"</formula>
    </cfRule>
    <cfRule type="containsText" dxfId="11278" priority="911" operator="containsText" text="Functioning">
      <formula>NOT(ISERROR(SEARCH("Functioning",D112)))</formula>
    </cfRule>
  </conditionalFormatting>
  <conditionalFormatting sqref="H18">
    <cfRule type="beginsWith" dxfId="11277" priority="822" stopIfTrue="1" operator="beginsWith" text="Functioning At Risk">
      <formula>LEFT(H18,LEN("Functioning At Risk"))="Functioning At Risk"</formula>
    </cfRule>
    <cfRule type="beginsWith" dxfId="11276" priority="823" stopIfTrue="1" operator="beginsWith" text="Not Functioning">
      <formula>LEFT(H18,LEN("Not Functioning"))="Not Functioning"</formula>
    </cfRule>
    <cfRule type="containsText" dxfId="11275" priority="824" operator="containsText" text="Functioning">
      <formula>NOT(ISERROR(SEARCH("Functioning",H18)))</formula>
    </cfRule>
  </conditionalFormatting>
  <conditionalFormatting sqref="B18">
    <cfRule type="beginsWith" dxfId="11274" priority="717" stopIfTrue="1" operator="beginsWith" text="Functioning At Risk">
      <formula>LEFT(B18,LEN("Functioning At Risk"))="Functioning At Risk"</formula>
    </cfRule>
    <cfRule type="beginsWith" dxfId="11273" priority="718" stopIfTrue="1" operator="beginsWith" text="Not Functioning">
      <formula>LEFT(B18,LEN("Not Functioning"))="Not Functioning"</formula>
    </cfRule>
    <cfRule type="containsText" dxfId="11272" priority="719" operator="containsText" text="Functioning">
      <formula>NOT(ISERROR(SEARCH("Functioning",B18)))</formula>
    </cfRule>
  </conditionalFormatting>
  <conditionalFormatting sqref="B16:B17">
    <cfRule type="beginsWith" dxfId="11271" priority="714" stopIfTrue="1" operator="beginsWith" text="Functioning At Risk">
      <formula>LEFT(B16,LEN("Functioning At Risk"))="Functioning At Risk"</formula>
    </cfRule>
    <cfRule type="beginsWith" dxfId="11270" priority="715" stopIfTrue="1" operator="beginsWith" text="Not Functioning">
      <formula>LEFT(B16,LEN("Not Functioning"))="Not Functioning"</formula>
    </cfRule>
    <cfRule type="containsText" dxfId="11269" priority="716" operator="containsText" text="Functioning">
      <formula>NOT(ISERROR(SEARCH("Functioning",B16)))</formula>
    </cfRule>
  </conditionalFormatting>
  <conditionalFormatting sqref="E118 E110">
    <cfRule type="beginsWith" dxfId="11268" priority="681" stopIfTrue="1" operator="beginsWith" text="Functioning At Risk">
      <formula>LEFT(E110,LEN("Functioning At Risk"))="Functioning At Risk"</formula>
    </cfRule>
    <cfRule type="beginsWith" dxfId="11267" priority="682" stopIfTrue="1" operator="beginsWith" text="Not Functioning">
      <formula>LEFT(E110,LEN("Not Functioning"))="Not Functioning"</formula>
    </cfRule>
    <cfRule type="containsText" dxfId="11266" priority="683" operator="containsText" text="Functioning">
      <formula>NOT(ISERROR(SEARCH("Functioning",E110)))</formula>
    </cfRule>
  </conditionalFormatting>
  <conditionalFormatting sqref="E77">
    <cfRule type="expression" dxfId="11265" priority="674">
      <formula>B1048468="Level 5 - Biology"</formula>
    </cfRule>
  </conditionalFormatting>
  <conditionalFormatting sqref="E119">
    <cfRule type="beginsWith" dxfId="11264" priority="671" stopIfTrue="1" operator="beginsWith" text="Functioning At Risk">
      <formula>LEFT(E119,LEN("Functioning At Risk"))="Functioning At Risk"</formula>
    </cfRule>
    <cfRule type="beginsWith" dxfId="11263" priority="672" stopIfTrue="1" operator="beginsWith" text="Not Functioning">
      <formula>LEFT(E119,LEN("Not Functioning"))="Not Functioning"</formula>
    </cfRule>
    <cfRule type="containsText" dxfId="11262" priority="673" operator="containsText" text="Functioning">
      <formula>NOT(ISERROR(SEARCH("Functioning",E119)))</formula>
    </cfRule>
  </conditionalFormatting>
  <conditionalFormatting sqref="E112">
    <cfRule type="expression" dxfId="11261" priority="662">
      <formula>B10="Level 4 - Physicochemical"</formula>
    </cfRule>
    <cfRule type="expression" dxfId="11260" priority="667">
      <formula>B10="Level 5 - Biology"</formula>
    </cfRule>
  </conditionalFormatting>
  <conditionalFormatting sqref="E74:E77 E46:E47 E65:E69">
    <cfRule type="beginsWith" dxfId="11259" priority="645" stopIfTrue="1" operator="beginsWith" text="Functioning At Risk">
      <formula>LEFT(E46,LEN("Functioning At Risk"))="Functioning At Risk"</formula>
    </cfRule>
    <cfRule type="beginsWith" dxfId="11258" priority="646" stopIfTrue="1" operator="beginsWith" text="Not Functioning">
      <formula>LEFT(E46,LEN("Not Functioning"))="Not Functioning"</formula>
    </cfRule>
    <cfRule type="containsText" dxfId="11257" priority="647" operator="containsText" text="Functioning">
      <formula>NOT(ISERROR(SEARCH("Functioning",E46)))</formula>
    </cfRule>
  </conditionalFormatting>
  <conditionalFormatting sqref="E72">
    <cfRule type="expression" dxfId="11256" priority="627">
      <formula>B1048467="Level 4 - Physicochemical"</formula>
    </cfRule>
    <cfRule type="expression" dxfId="11255" priority="632">
      <formula>B1048467="Level 5 - Biology"</formula>
    </cfRule>
  </conditionalFormatting>
  <conditionalFormatting sqref="E73">
    <cfRule type="expression" dxfId="11254" priority="626">
      <formula>B1048467="Level 4 - Physicochemical"</formula>
    </cfRule>
    <cfRule type="expression" dxfId="11253" priority="631">
      <formula>B1048467="Level 5 - Biology"</formula>
    </cfRule>
  </conditionalFormatting>
  <conditionalFormatting sqref="E70">
    <cfRule type="expression" dxfId="11252" priority="618">
      <formula>B1048467="Level 5 - Biology"</formula>
    </cfRule>
    <cfRule type="expression" dxfId="11251" priority="619">
      <formula>B1048467="Level 4 - Physicochemical"</formula>
    </cfRule>
    <cfRule type="beginsWith" dxfId="11250" priority="620" stopIfTrue="1" operator="beginsWith" text="Functioning At Risk">
      <formula>LEFT(E70,LEN("Functioning At Risk"))="Functioning At Risk"</formula>
    </cfRule>
    <cfRule type="beginsWith" dxfId="11249" priority="621" stopIfTrue="1" operator="beginsWith" text="Not Functioning">
      <formula>LEFT(E70,LEN("Not Functioning"))="Not Functioning"</formula>
    </cfRule>
    <cfRule type="containsText" dxfId="11248" priority="622" operator="containsText" text="Functioning">
      <formula>NOT(ISERROR(SEARCH("Functioning",E70)))</formula>
    </cfRule>
  </conditionalFormatting>
  <conditionalFormatting sqref="J38">
    <cfRule type="beginsWith" dxfId="11247" priority="598" stopIfTrue="1" operator="beginsWith" text="Functioning At Risk">
      <formula>LEFT(J38,LEN("Functioning At Risk"))="Functioning At Risk"</formula>
    </cfRule>
    <cfRule type="beginsWith" dxfId="11246" priority="599" stopIfTrue="1" operator="beginsWith" text="Not Functioning">
      <formula>LEFT(J38,LEN("Not Functioning"))="Not Functioning"</formula>
    </cfRule>
    <cfRule type="containsText" dxfId="11245" priority="600" operator="containsText" text="Functioning">
      <formula>NOT(ISERROR(SEARCH("Functioning",J38)))</formula>
    </cfRule>
  </conditionalFormatting>
  <conditionalFormatting sqref="F38">
    <cfRule type="beginsWith" dxfId="11244" priority="592" stopIfTrue="1" operator="beginsWith" text="Functioning At Risk">
      <formula>LEFT(F38,LEN("Functioning At Risk"))="Functioning At Risk"</formula>
    </cfRule>
    <cfRule type="beginsWith" dxfId="11243" priority="593" stopIfTrue="1" operator="beginsWith" text="Not Functioning">
      <formula>LEFT(F38,LEN("Not Functioning"))="Not Functioning"</formula>
    </cfRule>
    <cfRule type="containsText" dxfId="11242" priority="594" operator="containsText" text="Functioning">
      <formula>NOT(ISERROR(SEARCH("Functioning",F38)))</formula>
    </cfRule>
  </conditionalFormatting>
  <conditionalFormatting sqref="H38:I38">
    <cfRule type="cellIs" dxfId="11241" priority="595" operator="between">
      <formula>0</formula>
      <formula>0.299999</formula>
    </cfRule>
    <cfRule type="cellIs" dxfId="11240" priority="596" operator="between">
      <formula>0.6999999</formula>
      <formula>0.3</formula>
    </cfRule>
    <cfRule type="cellIs" dxfId="11239" priority="597" operator="between">
      <formula>0.7</formula>
      <formula>1</formula>
    </cfRule>
  </conditionalFormatting>
  <conditionalFormatting sqref="D4">
    <cfRule type="beginsWith" dxfId="11238" priority="559" stopIfTrue="1" operator="beginsWith" text="Functioning At Risk">
      <formula>LEFT(D4,LEN("Functioning At Risk"))="Functioning At Risk"</formula>
    </cfRule>
    <cfRule type="beginsWith" dxfId="11237" priority="560" stopIfTrue="1" operator="beginsWith" text="Not Functioning">
      <formula>LEFT(D4,LEN("Not Functioning"))="Not Functioning"</formula>
    </cfRule>
    <cfRule type="containsText" dxfId="11236" priority="561" operator="containsText" text="Functioning">
      <formula>NOT(ISERROR(SEARCH("Functioning",D4)))</formula>
    </cfRule>
  </conditionalFormatting>
  <conditionalFormatting sqref="C58:D61 F58:F59">
    <cfRule type="beginsWith" dxfId="11235" priority="580" stopIfTrue="1" operator="beginsWith" text="Functioning At Risk">
      <formula>LEFT(C58,LEN("Functioning At Risk"))="Functioning At Risk"</formula>
    </cfRule>
    <cfRule type="beginsWith" dxfId="11234" priority="581" stopIfTrue="1" operator="beginsWith" text="Not Functioning">
      <formula>LEFT(C58,LEN("Not Functioning"))="Not Functioning"</formula>
    </cfRule>
    <cfRule type="containsText" dxfId="11233" priority="582" operator="containsText" text="Functioning">
      <formula>NOT(ISERROR(SEARCH("Functioning",C58)))</formula>
    </cfRule>
  </conditionalFormatting>
  <conditionalFormatting sqref="A70">
    <cfRule type="beginsWith" dxfId="11232" priority="538" stopIfTrue="1" operator="beginsWith" text="Functioning At Risk">
      <formula>LEFT(A70,LEN("Functioning At Risk"))="Functioning At Risk"</formula>
    </cfRule>
    <cfRule type="beginsWith" dxfId="11231" priority="539" stopIfTrue="1" operator="beginsWith" text="Not Functioning">
      <formula>LEFT(A70,LEN("Not Functioning"))="Not Functioning"</formula>
    </cfRule>
    <cfRule type="containsText" dxfId="11230" priority="540" operator="containsText" text="Functioning">
      <formula>NOT(ISERROR(SEARCH("Functioning",A70)))</formula>
    </cfRule>
  </conditionalFormatting>
  <conditionalFormatting sqref="H70">
    <cfRule type="beginsWith" dxfId="11229" priority="535" stopIfTrue="1" operator="beginsWith" text="Functioning At Risk">
      <formula>LEFT(H70,LEN("Functioning At Risk"))="Functioning At Risk"</formula>
    </cfRule>
    <cfRule type="beginsWith" dxfId="11228" priority="536" stopIfTrue="1" operator="beginsWith" text="Not Functioning">
      <formula>LEFT(H70,LEN("Not Functioning"))="Not Functioning"</formula>
    </cfRule>
    <cfRule type="containsText" dxfId="11227" priority="537" operator="containsText" text="Functioning">
      <formula>NOT(ISERROR(SEARCH("Functioning",H70)))</formula>
    </cfRule>
  </conditionalFormatting>
  <conditionalFormatting sqref="E71">
    <cfRule type="expression" dxfId="11226" priority="2350">
      <formula>B1048468="Level 4 - Physicochemical"</formula>
    </cfRule>
    <cfRule type="expression" dxfId="11225" priority="2351">
      <formula>B1048468="Level 5 - Biology"</formula>
    </cfRule>
  </conditionalFormatting>
  <conditionalFormatting sqref="C67">
    <cfRule type="beginsWith" dxfId="11224" priority="553" stopIfTrue="1" operator="beginsWith" text="Functioning At Risk">
      <formula>LEFT(C67,LEN("Functioning At Risk"))="Functioning At Risk"</formula>
    </cfRule>
    <cfRule type="beginsWith" dxfId="11223" priority="554" stopIfTrue="1" operator="beginsWith" text="Not Functioning">
      <formula>LEFT(C67,LEN("Not Functioning"))="Not Functioning"</formula>
    </cfRule>
    <cfRule type="containsText" dxfId="11222" priority="555" operator="containsText" text="Functioning">
      <formula>NOT(ISERROR(SEARCH("Functioning",C67)))</formula>
    </cfRule>
  </conditionalFormatting>
  <conditionalFormatting sqref="H110 H88:H89">
    <cfRule type="beginsWith" dxfId="11221" priority="547" stopIfTrue="1" operator="beginsWith" text="Functioning At Risk">
      <formula>LEFT(H88,LEN("Functioning At Risk"))="Functioning At Risk"</formula>
    </cfRule>
    <cfRule type="beginsWith" dxfId="11220" priority="548" stopIfTrue="1" operator="beginsWith" text="Not Functioning">
      <formula>LEFT(H88,LEN("Not Functioning"))="Not Functioning"</formula>
    </cfRule>
    <cfRule type="containsText" dxfId="11219" priority="549" operator="containsText" text="Functioning">
      <formula>NOT(ISERROR(SEARCH("Functioning",H88)))</formula>
    </cfRule>
  </conditionalFormatting>
  <conditionalFormatting sqref="J84:J85">
    <cfRule type="beginsWith" dxfId="11218" priority="544" stopIfTrue="1" operator="beginsWith" text="Functioning At Risk">
      <formula>LEFT(J84,LEN("Functioning At Risk"))="Functioning At Risk"</formula>
    </cfRule>
    <cfRule type="beginsWith" dxfId="11217" priority="545" stopIfTrue="1" operator="beginsWith" text="Not Functioning">
      <formula>LEFT(J84,LEN("Not Functioning"))="Not Functioning"</formula>
    </cfRule>
    <cfRule type="containsText" dxfId="11216" priority="546" operator="containsText" text="Functioning">
      <formula>NOT(ISERROR(SEARCH("Functioning",J84)))</formula>
    </cfRule>
  </conditionalFormatting>
  <conditionalFormatting sqref="E74:E76">
    <cfRule type="expression" dxfId="11215" priority="2352">
      <formula>B1048467="Level 5 - Biology"</formula>
    </cfRule>
  </conditionalFormatting>
  <conditionalFormatting sqref="I70">
    <cfRule type="beginsWith" dxfId="11214" priority="532" stopIfTrue="1" operator="beginsWith" text="Functioning At Risk">
      <formula>LEFT(I70,LEN("Functioning At Risk"))="Functioning At Risk"</formula>
    </cfRule>
    <cfRule type="beginsWith" dxfId="11213" priority="533" stopIfTrue="1" operator="beginsWith" text="Not Functioning">
      <formula>LEFT(I70,LEN("Not Functioning"))="Not Functioning"</formula>
    </cfRule>
    <cfRule type="containsText" dxfId="11212" priority="534" operator="containsText" text="Functioning">
      <formula>NOT(ISERROR(SEARCH("Functioning",I70)))</formula>
    </cfRule>
  </conditionalFormatting>
  <conditionalFormatting sqref="D78">
    <cfRule type="beginsWith" dxfId="11211" priority="528" stopIfTrue="1" operator="beginsWith" text="Functioning At Risk">
      <formula>LEFT(D78,LEN("Functioning At Risk"))="Functioning At Risk"</formula>
    </cfRule>
    <cfRule type="beginsWith" dxfId="11210" priority="529" stopIfTrue="1" operator="beginsWith" text="Not Functioning">
      <formula>LEFT(D78,LEN("Not Functioning"))="Not Functioning"</formula>
    </cfRule>
    <cfRule type="containsText" dxfId="11209" priority="530" operator="containsText" text="Functioning">
      <formula>NOT(ISERROR(SEARCH("Functioning",D78)))</formula>
    </cfRule>
  </conditionalFormatting>
  <conditionalFormatting sqref="D79">
    <cfRule type="beginsWith" dxfId="11208" priority="525" stopIfTrue="1" operator="beginsWith" text="Functioning At Risk">
      <formula>LEFT(D79,LEN("Functioning At Risk"))="Functioning At Risk"</formula>
    </cfRule>
    <cfRule type="beginsWith" dxfId="11207" priority="526" stopIfTrue="1" operator="beginsWith" text="Not Functioning">
      <formula>LEFT(D79,LEN("Not Functioning"))="Not Functioning"</formula>
    </cfRule>
    <cfRule type="containsText" dxfId="11206" priority="527" operator="containsText" text="Functioning">
      <formula>NOT(ISERROR(SEARCH("Functioning",D79)))</formula>
    </cfRule>
  </conditionalFormatting>
  <conditionalFormatting sqref="B78">
    <cfRule type="beginsWith" dxfId="11205" priority="522" stopIfTrue="1" operator="beginsWith" text="Functioning At Risk">
      <formula>LEFT(B78,LEN("Functioning At Risk"))="Functioning At Risk"</formula>
    </cfRule>
    <cfRule type="beginsWith" dxfId="11204" priority="523" stopIfTrue="1" operator="beginsWith" text="Not Functioning">
      <formula>LEFT(B78,LEN("Not Functioning"))="Not Functioning"</formula>
    </cfRule>
    <cfRule type="containsText" dxfId="11203" priority="524" operator="containsText" text="Functioning">
      <formula>NOT(ISERROR(SEARCH("Functioning",B78)))</formula>
    </cfRule>
  </conditionalFormatting>
  <conditionalFormatting sqref="E78">
    <cfRule type="beginsWith" dxfId="11202" priority="519" stopIfTrue="1" operator="beginsWith" text="Functioning At Risk">
      <formula>LEFT(E78,LEN("Functioning At Risk"))="Functioning At Risk"</formula>
    </cfRule>
    <cfRule type="beginsWith" dxfId="11201" priority="520" stopIfTrue="1" operator="beginsWith" text="Not Functioning">
      <formula>LEFT(E78,LEN("Not Functioning"))="Not Functioning"</formula>
    </cfRule>
    <cfRule type="containsText" dxfId="11200" priority="521" operator="containsText" text="Functioning">
      <formula>NOT(ISERROR(SEARCH("Functioning",E78)))</formula>
    </cfRule>
  </conditionalFormatting>
  <conditionalFormatting sqref="E79">
    <cfRule type="beginsWith" dxfId="11199" priority="516" stopIfTrue="1" operator="beginsWith" text="Functioning At Risk">
      <formula>LEFT(E79,LEN("Functioning At Risk"))="Functioning At Risk"</formula>
    </cfRule>
    <cfRule type="beginsWith" dxfId="11198" priority="517" stopIfTrue="1" operator="beginsWith" text="Not Functioning">
      <formula>LEFT(E79,LEN("Not Functioning"))="Not Functioning"</formula>
    </cfRule>
    <cfRule type="containsText" dxfId="11197" priority="518" operator="containsText" text="Functioning">
      <formula>NOT(ISERROR(SEARCH("Functioning",E79)))</formula>
    </cfRule>
  </conditionalFormatting>
  <conditionalFormatting sqref="E79">
    <cfRule type="expression" dxfId="11196" priority="515">
      <formula>B1048461="Level 5 - Biology"</formula>
    </cfRule>
  </conditionalFormatting>
  <conditionalFormatting sqref="E78">
    <cfRule type="expression" dxfId="11195" priority="531">
      <formula>B1048463="Level 5 - Biology"</formula>
    </cfRule>
  </conditionalFormatting>
  <conditionalFormatting sqref="B110">
    <cfRule type="beginsWith" dxfId="11194" priority="509" stopIfTrue="1" operator="beginsWith" text="Functioning At Risk">
      <formula>LEFT(B110,LEN("Functioning At Risk"))="Functioning At Risk"</formula>
    </cfRule>
    <cfRule type="beginsWith" dxfId="11193" priority="510" stopIfTrue="1" operator="beginsWith" text="Not Functioning">
      <formula>LEFT(B110,LEN("Not Functioning"))="Not Functioning"</formula>
    </cfRule>
    <cfRule type="containsText" dxfId="11192" priority="511" operator="containsText" text="Functioning">
      <formula>NOT(ISERROR(SEARCH("Functioning",B110)))</formula>
    </cfRule>
  </conditionalFormatting>
  <conditionalFormatting sqref="F78:F79">
    <cfRule type="beginsWith" dxfId="11191" priority="506" stopIfTrue="1" operator="beginsWith" text="Functioning At Risk">
      <formula>LEFT(F78,LEN("Functioning At Risk"))="Functioning At Risk"</formula>
    </cfRule>
    <cfRule type="beginsWith" dxfId="11190" priority="507" stopIfTrue="1" operator="beginsWith" text="Not Functioning">
      <formula>LEFT(F78,LEN("Not Functioning"))="Not Functioning"</formula>
    </cfRule>
    <cfRule type="containsText" dxfId="11189" priority="508" operator="containsText" text="Functioning">
      <formula>NOT(ISERROR(SEARCH("Functioning",F78)))</formula>
    </cfRule>
  </conditionalFormatting>
  <conditionalFormatting sqref="A35">
    <cfRule type="beginsWith" dxfId="11188" priority="503" stopIfTrue="1" operator="beginsWith" text="Functioning At Risk">
      <formula>LEFT(A35,LEN("Functioning At Risk"))="Functioning At Risk"</formula>
    </cfRule>
    <cfRule type="beginsWith" dxfId="11187" priority="504" stopIfTrue="1" operator="beginsWith" text="Not Functioning">
      <formula>LEFT(A35,LEN("Not Functioning"))="Not Functioning"</formula>
    </cfRule>
    <cfRule type="containsText" dxfId="11186" priority="505" operator="containsText" text="Functioning">
      <formula>NOT(ISERROR(SEARCH("Functioning",A35)))</formula>
    </cfRule>
  </conditionalFormatting>
  <conditionalFormatting sqref="C68">
    <cfRule type="beginsWith" dxfId="11185" priority="500" stopIfTrue="1" operator="beginsWith" text="Functioning At Risk">
      <formula>LEFT(C68,LEN("Functioning At Risk"))="Functioning At Risk"</formula>
    </cfRule>
    <cfRule type="beginsWith" dxfId="11184" priority="501" stopIfTrue="1" operator="beginsWith" text="Not Functioning">
      <formula>LEFT(C68,LEN("Not Functioning"))="Not Functioning"</formula>
    </cfRule>
    <cfRule type="containsText" dxfId="11183" priority="502" operator="containsText" text="Functioning">
      <formula>NOT(ISERROR(SEARCH("Functioning",C68)))</formula>
    </cfRule>
  </conditionalFormatting>
  <conditionalFormatting sqref="C79">
    <cfRule type="beginsWith" dxfId="11182" priority="470" stopIfTrue="1" operator="beginsWith" text="Functioning At Risk">
      <formula>LEFT(C79,LEN("Functioning At Risk"))="Functioning At Risk"</formula>
    </cfRule>
    <cfRule type="beginsWith" dxfId="11181" priority="471" stopIfTrue="1" operator="beginsWith" text="Not Functioning">
      <formula>LEFT(C79,LEN("Not Functioning"))="Not Functioning"</formula>
    </cfRule>
    <cfRule type="containsText" dxfId="11180" priority="472" operator="containsText" text="Functioning">
      <formula>NOT(ISERROR(SEARCH("Functioning",C79)))</formula>
    </cfRule>
  </conditionalFormatting>
  <conditionalFormatting sqref="C78">
    <cfRule type="beginsWith" dxfId="11179" priority="494" stopIfTrue="1" operator="beginsWith" text="Functioning At Risk">
      <formula>LEFT(C78,LEN("Functioning At Risk"))="Functioning At Risk"</formula>
    </cfRule>
    <cfRule type="beginsWith" dxfId="11178" priority="495" stopIfTrue="1" operator="beginsWith" text="Not Functioning">
      <formula>LEFT(C78,LEN("Not Functioning"))="Not Functioning"</formula>
    </cfRule>
    <cfRule type="containsText" dxfId="11177" priority="496" operator="containsText" text="Functioning">
      <formula>NOT(ISERROR(SEARCH("Functioning",C78)))</formula>
    </cfRule>
  </conditionalFormatting>
  <conditionalFormatting sqref="B54">
    <cfRule type="beginsWith" dxfId="11176" priority="491" stopIfTrue="1" operator="beginsWith" text="Functioning At Risk">
      <formula>LEFT(B54,LEN("Functioning At Risk"))="Functioning At Risk"</formula>
    </cfRule>
    <cfRule type="beginsWith" dxfId="11175" priority="492" stopIfTrue="1" operator="beginsWith" text="Not Functioning">
      <formula>LEFT(B54,LEN("Not Functioning"))="Not Functioning"</formula>
    </cfRule>
    <cfRule type="containsText" dxfId="11174" priority="493" operator="containsText" text="Functioning">
      <formula>NOT(ISERROR(SEARCH("Functioning",B54)))</formula>
    </cfRule>
  </conditionalFormatting>
  <conditionalFormatting sqref="F74:F77">
    <cfRule type="beginsWith" dxfId="11173" priority="488" stopIfTrue="1" operator="beginsWith" text="Functioning At Risk">
      <formula>LEFT(F74,LEN("Functioning At Risk"))="Functioning At Risk"</formula>
    </cfRule>
    <cfRule type="beginsWith" dxfId="11172" priority="489" stopIfTrue="1" operator="beginsWith" text="Not Functioning">
      <formula>LEFT(F74,LEN("Not Functioning"))="Not Functioning"</formula>
    </cfRule>
    <cfRule type="containsText" dxfId="11171" priority="490" operator="containsText" text="Functioning">
      <formula>NOT(ISERROR(SEARCH("Functioning",F74)))</formula>
    </cfRule>
  </conditionalFormatting>
  <conditionalFormatting sqref="B109">
    <cfRule type="beginsWith" dxfId="11167" priority="479" stopIfTrue="1" operator="beginsWith" text="Functioning At Risk">
      <formula>LEFT(B109,LEN("Functioning At Risk"))="Functioning At Risk"</formula>
    </cfRule>
    <cfRule type="beginsWith" dxfId="11166" priority="480" stopIfTrue="1" operator="beginsWith" text="Not Functioning">
      <formula>LEFT(B109,LEN("Not Functioning"))="Not Functioning"</formula>
    </cfRule>
    <cfRule type="containsText" dxfId="11165" priority="481" operator="containsText" text="Functioning">
      <formula>NOT(ISERROR(SEARCH("Functioning",B109)))</formula>
    </cfRule>
  </conditionalFormatting>
  <conditionalFormatting sqref="B88 D88:D89">
    <cfRule type="beginsWith" dxfId="11164" priority="476" stopIfTrue="1" operator="beginsWith" text="Functioning At Risk">
      <formula>LEFT(B88,LEN("Functioning At Risk"))="Functioning At Risk"</formula>
    </cfRule>
    <cfRule type="beginsWith" dxfId="11163" priority="477" stopIfTrue="1" operator="beginsWith" text="Not Functioning">
      <formula>LEFT(B88,LEN("Not Functioning"))="Not Functioning"</formula>
    </cfRule>
    <cfRule type="containsText" dxfId="11162" priority="478" operator="containsText" text="Functioning">
      <formula>NOT(ISERROR(SEARCH("Functioning",B88)))</formula>
    </cfRule>
  </conditionalFormatting>
  <conditionalFormatting sqref="E117">
    <cfRule type="expression" dxfId="11161" priority="468">
      <formula>B1048509="Level 5 - Biology"</formula>
    </cfRule>
  </conditionalFormatting>
  <conditionalFormatting sqref="E114:E117">
    <cfRule type="beginsWith" dxfId="11160" priority="465" stopIfTrue="1" operator="beginsWith" text="Functioning At Risk">
      <formula>LEFT(E114,LEN("Functioning At Risk"))="Functioning At Risk"</formula>
    </cfRule>
    <cfRule type="beginsWith" dxfId="11159" priority="466" stopIfTrue="1" operator="beginsWith" text="Not Functioning">
      <formula>LEFT(E114,LEN("Not Functioning"))="Not Functioning"</formula>
    </cfRule>
    <cfRule type="containsText" dxfId="11158" priority="467" operator="containsText" text="Functioning">
      <formula>NOT(ISERROR(SEARCH("Functioning",E114)))</formula>
    </cfRule>
  </conditionalFormatting>
  <conditionalFormatting sqref="E114:E116">
    <cfRule type="expression" dxfId="11157" priority="469">
      <formula>B1048508="Level 5 - Biology"</formula>
    </cfRule>
  </conditionalFormatting>
  <conditionalFormatting sqref="C76">
    <cfRule type="beginsWith" dxfId="11156" priority="435" stopIfTrue="1" operator="beginsWith" text="Functioning At Risk">
      <formula>LEFT(C76,LEN("Functioning At Risk"))="Functioning At Risk"</formula>
    </cfRule>
    <cfRule type="beginsWith" dxfId="11155" priority="436" stopIfTrue="1" operator="beginsWith" text="Not Functioning">
      <formula>LEFT(C76,LEN("Not Functioning"))="Not Functioning"</formula>
    </cfRule>
    <cfRule type="containsText" dxfId="11154" priority="437" operator="containsText" text="Functioning">
      <formula>NOT(ISERROR(SEARCH("Functioning",C76)))</formula>
    </cfRule>
  </conditionalFormatting>
  <conditionalFormatting sqref="B114:B116">
    <cfRule type="beginsWith" dxfId="11153" priority="402" stopIfTrue="1" operator="beginsWith" text="Functioning At Risk">
      <formula>LEFT(B114,LEN("Functioning At Risk"))="Functioning At Risk"</formula>
    </cfRule>
    <cfRule type="beginsWith" dxfId="11152" priority="403" stopIfTrue="1" operator="beginsWith" text="Not Functioning">
      <formula>LEFT(B114,LEN("Not Functioning"))="Not Functioning"</formula>
    </cfRule>
    <cfRule type="containsText" dxfId="11151" priority="404" operator="containsText" text="Functioning">
      <formula>NOT(ISERROR(SEARCH("Functioning",B114)))</formula>
    </cfRule>
  </conditionalFormatting>
  <conditionalFormatting sqref="B74:B76">
    <cfRule type="beginsWith" dxfId="11150" priority="399" stopIfTrue="1" operator="beginsWith" text="Functioning At Risk">
      <formula>LEFT(B74,LEN("Functioning At Risk"))="Functioning At Risk"</formula>
    </cfRule>
    <cfRule type="beginsWith" dxfId="11149" priority="400" stopIfTrue="1" operator="beginsWith" text="Not Functioning">
      <formula>LEFT(B74,LEN("Not Functioning"))="Not Functioning"</formula>
    </cfRule>
    <cfRule type="containsText" dxfId="11148" priority="401" operator="containsText" text="Functioning">
      <formula>NOT(ISERROR(SEARCH("Functioning",B74)))</formula>
    </cfRule>
  </conditionalFormatting>
  <conditionalFormatting sqref="E110:E111">
    <cfRule type="expression" dxfId="11147" priority="4161">
      <formula>B10="Level 4 - Physicochemical"</formula>
    </cfRule>
    <cfRule type="expression" dxfId="11146" priority="4162">
      <formula>B10="Level 5 - Biology"</formula>
    </cfRule>
  </conditionalFormatting>
  <conditionalFormatting sqref="E113">
    <cfRule type="expression" dxfId="11145" priority="4165">
      <formula>B10="Level 4 - Physicochemical"</formula>
    </cfRule>
    <cfRule type="expression" dxfId="11144" priority="4166">
      <formula>B10="Level 5 - Biology"</formula>
    </cfRule>
  </conditionalFormatting>
  <conditionalFormatting sqref="E119">
    <cfRule type="expression" dxfId="11143" priority="4167">
      <formula>B10="Level 5 - Biology"</formula>
    </cfRule>
  </conditionalFormatting>
  <conditionalFormatting sqref="E118">
    <cfRule type="expression" dxfId="11142" priority="4170">
      <formula>B12="Level 5 - Biology"</formula>
    </cfRule>
  </conditionalFormatting>
  <conditionalFormatting sqref="C62:C63">
    <cfRule type="beginsWith" dxfId="11141" priority="378" stopIfTrue="1" operator="beginsWith" text="Functioning At Risk">
      <formula>LEFT(C62,LEN("Functioning At Risk"))="Functioning At Risk"</formula>
    </cfRule>
    <cfRule type="beginsWith" dxfId="11140" priority="379" stopIfTrue="1" operator="beginsWith" text="Not Functioning">
      <formula>LEFT(C62,LEN("Not Functioning"))="Not Functioning"</formula>
    </cfRule>
    <cfRule type="containsText" dxfId="11139" priority="380" operator="containsText" text="Functioning">
      <formula>NOT(ISERROR(SEARCH("Functioning",C62)))</formula>
    </cfRule>
  </conditionalFormatting>
  <conditionalFormatting sqref="F62">
    <cfRule type="beginsWith" dxfId="11138" priority="375" stopIfTrue="1" operator="beginsWith" text="Functioning At Risk">
      <formula>LEFT(F62,LEN("Functioning At Risk"))="Functioning At Risk"</formula>
    </cfRule>
    <cfRule type="beginsWith" dxfId="11137" priority="376" stopIfTrue="1" operator="beginsWith" text="Not Functioning">
      <formula>LEFT(F62,LEN("Not Functioning"))="Not Functioning"</formula>
    </cfRule>
    <cfRule type="containsText" dxfId="11136" priority="377" operator="containsText" text="Functioning">
      <formula>NOT(ISERROR(SEARCH("Functioning",F62)))</formula>
    </cfRule>
  </conditionalFormatting>
  <conditionalFormatting sqref="D102 D94:D96">
    <cfRule type="beginsWith" dxfId="11135" priority="345" stopIfTrue="1" operator="beginsWith" text="Functioning At Risk">
      <formula>LEFT(D94,LEN("Functioning At Risk"))="Functioning At Risk"</formula>
    </cfRule>
    <cfRule type="beginsWith" dxfId="11134" priority="346" stopIfTrue="1" operator="beginsWith" text="Not Functioning">
      <formula>LEFT(D94,LEN("Not Functioning"))="Not Functioning"</formula>
    </cfRule>
    <cfRule type="containsText" dxfId="11133" priority="347" operator="containsText" text="Functioning">
      <formula>NOT(ISERROR(SEARCH("Functioning",D94)))</formula>
    </cfRule>
  </conditionalFormatting>
  <conditionalFormatting sqref="D97">
    <cfRule type="beginsWith" dxfId="11132" priority="342" stopIfTrue="1" operator="beginsWith" text="Functioning At Risk">
      <formula>LEFT(D97,LEN("Functioning At Risk"))="Functioning At Risk"</formula>
    </cfRule>
    <cfRule type="beginsWith" dxfId="11131" priority="343" stopIfTrue="1" operator="beginsWith" text="Not Functioning">
      <formula>LEFT(D97,LEN("Not Functioning"))="Not Functioning"</formula>
    </cfRule>
    <cfRule type="containsText" dxfId="11130" priority="344" operator="containsText" text="Functioning">
      <formula>NOT(ISERROR(SEARCH("Functioning",D97)))</formula>
    </cfRule>
  </conditionalFormatting>
  <conditionalFormatting sqref="D103">
    <cfRule type="beginsWith" dxfId="11129" priority="339" stopIfTrue="1" operator="beginsWith" text="Functioning At Risk">
      <formula>LEFT(D103,LEN("Functioning At Risk"))="Functioning At Risk"</formula>
    </cfRule>
    <cfRule type="beginsWith" dxfId="11128" priority="340" stopIfTrue="1" operator="beginsWith" text="Not Functioning">
      <formula>LEFT(D103,LEN("Not Functioning"))="Not Functioning"</formula>
    </cfRule>
    <cfRule type="containsText" dxfId="11127" priority="341" operator="containsText" text="Functioning">
      <formula>NOT(ISERROR(SEARCH("Functioning",D103)))</formula>
    </cfRule>
  </conditionalFormatting>
  <conditionalFormatting sqref="D98:D101">
    <cfRule type="beginsWith" dxfId="11126" priority="336" stopIfTrue="1" operator="beginsWith" text="Functioning At Risk">
      <formula>LEFT(D98,LEN("Functioning At Risk"))="Functioning At Risk"</formula>
    </cfRule>
    <cfRule type="beginsWith" dxfId="11125" priority="337" stopIfTrue="1" operator="beginsWith" text="Not Functioning">
      <formula>LEFT(D98,LEN("Not Functioning"))="Not Functioning"</formula>
    </cfRule>
    <cfRule type="containsText" dxfId="11124" priority="338" operator="containsText" text="Functioning">
      <formula>NOT(ISERROR(SEARCH("Functioning",D98)))</formula>
    </cfRule>
  </conditionalFormatting>
  <conditionalFormatting sqref="C97">
    <cfRule type="beginsWith" dxfId="11123" priority="318" stopIfTrue="1" operator="beginsWith" text="Functioning At Risk">
      <formula>LEFT(C97,LEN("Functioning At Risk"))="Functioning At Risk"</formula>
    </cfRule>
    <cfRule type="beginsWith" dxfId="11122" priority="319" stopIfTrue="1" operator="beginsWith" text="Not Functioning">
      <formula>LEFT(C97,LEN("Not Functioning"))="Not Functioning"</formula>
    </cfRule>
    <cfRule type="containsText" dxfId="11121" priority="320" operator="containsText" text="Functioning">
      <formula>NOT(ISERROR(SEARCH("Functioning",C97)))</formula>
    </cfRule>
  </conditionalFormatting>
  <conditionalFormatting sqref="C94:C96 C111:C112 C105:C106 C117 C109 C86:C89 C114:C115">
    <cfRule type="beginsWith" dxfId="11117" priority="321" stopIfTrue="1" operator="beginsWith" text="Functioning At Risk">
      <formula>LEFT(C86,LEN("Functioning At Risk"))="Functioning At Risk"</formula>
    </cfRule>
    <cfRule type="beginsWith" dxfId="11116" priority="322" stopIfTrue="1" operator="beginsWith" text="Not Functioning">
      <formula>LEFT(C86,LEN("Not Functioning"))="Not Functioning"</formula>
    </cfRule>
    <cfRule type="containsText" dxfId="11115" priority="323" operator="containsText" text="Functioning">
      <formula>NOT(ISERROR(SEARCH("Functioning",C86)))</formula>
    </cfRule>
  </conditionalFormatting>
  <conditionalFormatting sqref="C104">
    <cfRule type="beginsWith" dxfId="11114" priority="315" stopIfTrue="1" operator="beginsWith" text="Functioning At Risk">
      <formula>LEFT(C104,LEN("Functioning At Risk"))="Functioning At Risk"</formula>
    </cfRule>
    <cfRule type="beginsWith" dxfId="11113" priority="316" stopIfTrue="1" operator="beginsWith" text="Not Functioning">
      <formula>LEFT(C104,LEN("Not Functioning"))="Not Functioning"</formula>
    </cfRule>
    <cfRule type="containsText" dxfId="11112" priority="317" operator="containsText" text="Functioning">
      <formula>NOT(ISERROR(SEARCH("Functioning",C104)))</formula>
    </cfRule>
  </conditionalFormatting>
  <conditionalFormatting sqref="C98:C101">
    <cfRule type="beginsWith" dxfId="11111" priority="312" stopIfTrue="1" operator="beginsWith" text="Functioning At Risk">
      <formula>LEFT(C98,LEN("Functioning At Risk"))="Functioning At Risk"</formula>
    </cfRule>
    <cfRule type="beginsWith" dxfId="11110" priority="313" stopIfTrue="1" operator="beginsWith" text="Not Functioning">
      <formula>LEFT(C98,LEN("Not Functioning"))="Not Functioning"</formula>
    </cfRule>
    <cfRule type="containsText" dxfId="11109" priority="314" operator="containsText" text="Functioning">
      <formula>NOT(ISERROR(SEARCH("Functioning",C98)))</formula>
    </cfRule>
  </conditionalFormatting>
  <conditionalFormatting sqref="C107">
    <cfRule type="beginsWith" dxfId="11108" priority="309" stopIfTrue="1" operator="beginsWith" text="Functioning At Risk">
      <formula>LEFT(C107,LEN("Functioning At Risk"))="Functioning At Risk"</formula>
    </cfRule>
    <cfRule type="beginsWith" dxfId="11107" priority="310" stopIfTrue="1" operator="beginsWith" text="Not Functioning">
      <formula>LEFT(C107,LEN("Not Functioning"))="Not Functioning"</formula>
    </cfRule>
    <cfRule type="containsText" dxfId="11106" priority="311" operator="containsText" text="Functioning">
      <formula>NOT(ISERROR(SEARCH("Functioning",C107)))</formula>
    </cfRule>
  </conditionalFormatting>
  <conditionalFormatting sqref="C108">
    <cfRule type="beginsWith" dxfId="11105" priority="306" stopIfTrue="1" operator="beginsWith" text="Functioning At Risk">
      <formula>LEFT(C108,LEN("Functioning At Risk"))="Functioning At Risk"</formula>
    </cfRule>
    <cfRule type="beginsWith" dxfId="11104" priority="307" stopIfTrue="1" operator="beginsWith" text="Not Functioning">
      <formula>LEFT(C108,LEN("Not Functioning"))="Not Functioning"</formula>
    </cfRule>
    <cfRule type="containsText" dxfId="11103" priority="308" operator="containsText" text="Functioning">
      <formula>NOT(ISERROR(SEARCH("Functioning",C108)))</formula>
    </cfRule>
  </conditionalFormatting>
  <conditionalFormatting sqref="C119">
    <cfRule type="beginsWith" dxfId="11102" priority="300" stopIfTrue="1" operator="beginsWith" text="Functioning At Risk">
      <formula>LEFT(C119,LEN("Functioning At Risk"))="Functioning At Risk"</formula>
    </cfRule>
    <cfRule type="beginsWith" dxfId="11101" priority="301" stopIfTrue="1" operator="beginsWith" text="Not Functioning">
      <formula>LEFT(C119,LEN("Not Functioning"))="Not Functioning"</formula>
    </cfRule>
    <cfRule type="containsText" dxfId="11100" priority="302" operator="containsText" text="Functioning">
      <formula>NOT(ISERROR(SEARCH("Functioning",C119)))</formula>
    </cfRule>
  </conditionalFormatting>
  <conditionalFormatting sqref="C118">
    <cfRule type="beginsWith" dxfId="11099" priority="303" stopIfTrue="1" operator="beginsWith" text="Functioning At Risk">
      <formula>LEFT(C118,LEN("Functioning At Risk"))="Functioning At Risk"</formula>
    </cfRule>
    <cfRule type="beginsWith" dxfId="11098" priority="304" stopIfTrue="1" operator="beginsWith" text="Not Functioning">
      <formula>LEFT(C118,LEN("Not Functioning"))="Not Functioning"</formula>
    </cfRule>
    <cfRule type="containsText" dxfId="11097" priority="305" operator="containsText" text="Functioning">
      <formula>NOT(ISERROR(SEARCH("Functioning",C118)))</formula>
    </cfRule>
  </conditionalFormatting>
  <conditionalFormatting sqref="C116">
    <cfRule type="beginsWith" dxfId="11096" priority="297" stopIfTrue="1" operator="beginsWith" text="Functioning At Risk">
      <formula>LEFT(C116,LEN("Functioning At Risk"))="Functioning At Risk"</formula>
    </cfRule>
    <cfRule type="beginsWith" dxfId="11095" priority="298" stopIfTrue="1" operator="beginsWith" text="Not Functioning">
      <formula>LEFT(C116,LEN("Not Functioning"))="Not Functioning"</formula>
    </cfRule>
    <cfRule type="containsText" dxfId="11094" priority="299" operator="containsText" text="Functioning">
      <formula>NOT(ISERROR(SEARCH("Functioning",C116)))</formula>
    </cfRule>
  </conditionalFormatting>
  <conditionalFormatting sqref="C102:C103">
    <cfRule type="beginsWith" dxfId="11093" priority="294" stopIfTrue="1" operator="beginsWith" text="Functioning At Risk">
      <formula>LEFT(C102,LEN("Functioning At Risk"))="Functioning At Risk"</formula>
    </cfRule>
    <cfRule type="beginsWith" dxfId="11092" priority="295" stopIfTrue="1" operator="beginsWith" text="Not Functioning">
      <formula>LEFT(C102,LEN("Not Functioning"))="Not Functioning"</formula>
    </cfRule>
    <cfRule type="containsText" dxfId="11091" priority="296" operator="containsText" text="Functioning">
      <formula>NOT(ISERROR(SEARCH("Functioning",C102)))</formula>
    </cfRule>
  </conditionalFormatting>
  <conditionalFormatting sqref="E54:E56">
    <cfRule type="beginsWith" dxfId="11090" priority="291" stopIfTrue="1" operator="beginsWith" text="Functioning At Risk">
      <formula>LEFT(E54,LEN("Functioning At Risk"))="Functioning At Risk"</formula>
    </cfRule>
    <cfRule type="beginsWith" dxfId="11089" priority="292" stopIfTrue="1" operator="beginsWith" text="Not Functioning">
      <formula>LEFT(E54,LEN("Not Functioning"))="Not Functioning"</formula>
    </cfRule>
    <cfRule type="containsText" dxfId="11088" priority="293" operator="containsText" text="Functioning">
      <formula>NOT(ISERROR(SEARCH("Functioning",E54)))</formula>
    </cfRule>
  </conditionalFormatting>
  <conditionalFormatting sqref="E58:E59">
    <cfRule type="beginsWith" dxfId="11087" priority="288" stopIfTrue="1" operator="beginsWith" text="Functioning At Risk">
      <formula>LEFT(E58,LEN("Functioning At Risk"))="Functioning At Risk"</formula>
    </cfRule>
    <cfRule type="beginsWith" dxfId="11086" priority="289" stopIfTrue="1" operator="beginsWith" text="Not Functioning">
      <formula>LEFT(E58,LEN("Not Functioning"))="Not Functioning"</formula>
    </cfRule>
    <cfRule type="containsText" dxfId="11085" priority="290" operator="containsText" text="Functioning">
      <formula>NOT(ISERROR(SEARCH("Functioning",E58)))</formula>
    </cfRule>
  </conditionalFormatting>
  <conditionalFormatting sqref="D5:D9">
    <cfRule type="beginsWith" dxfId="11084" priority="267" stopIfTrue="1" operator="beginsWith" text="Functioning At Risk">
      <formula>LEFT(D5,LEN("Functioning At Risk"))="Functioning At Risk"</formula>
    </cfRule>
    <cfRule type="beginsWith" dxfId="11083" priority="268" stopIfTrue="1" operator="beginsWith" text="Not Functioning">
      <formula>LEFT(D5,LEN("Not Functioning"))="Not Functioning"</formula>
    </cfRule>
    <cfRule type="containsText" dxfId="11082" priority="269" operator="containsText" text="Functioning">
      <formula>NOT(ISERROR(SEARCH("Functioning",D5)))</formula>
    </cfRule>
  </conditionalFormatting>
  <conditionalFormatting sqref="C28:D28 H29:K31 H35:K40 C32:D40 E46:E47 E64:E79 E110:E119">
    <cfRule type="expression" dxfId="11081" priority="266">
      <formula>$B$18="Ephemeral"</formula>
    </cfRule>
  </conditionalFormatting>
  <conditionalFormatting sqref="E46:E47 E64:E79 E110:E119">
    <cfRule type="expression" dxfId="11080" priority="265" stopIfTrue="1">
      <formula>ISBLANK($B$18)</formula>
    </cfRule>
  </conditionalFormatting>
  <conditionalFormatting sqref="F48:F49">
    <cfRule type="beginsWith" dxfId="11079" priority="255" stopIfTrue="1" operator="beginsWith" text="Functioning At Risk">
      <formula>LEFT(F48,LEN("Functioning At Risk"))="Functioning At Risk"</formula>
    </cfRule>
    <cfRule type="beginsWith" dxfId="11078" priority="256" stopIfTrue="1" operator="beginsWith" text="Not Functioning">
      <formula>LEFT(F48,LEN("Not Functioning"))="Not Functioning"</formula>
    </cfRule>
    <cfRule type="containsText" dxfId="11077" priority="257" operator="containsText" text="Functioning">
      <formula>NOT(ISERROR(SEARCH("Functioning",F48)))</formula>
    </cfRule>
  </conditionalFormatting>
  <conditionalFormatting sqref="C90:D92">
    <cfRule type="beginsWith" dxfId="11076" priority="240" stopIfTrue="1" operator="beginsWith" text="Functioning At Risk">
      <formula>LEFT(C90,LEN("Functioning At Risk"))="Functioning At Risk"</formula>
    </cfRule>
    <cfRule type="beginsWith" dxfId="11075" priority="241" stopIfTrue="1" operator="beginsWith" text="Not Functioning">
      <formula>LEFT(C90,LEN("Not Functioning"))="Not Functioning"</formula>
    </cfRule>
    <cfRule type="containsText" dxfId="11074" priority="242" operator="containsText" text="Functioning">
      <formula>NOT(ISERROR(SEARCH("Functioning",C90)))</formula>
    </cfRule>
  </conditionalFormatting>
  <conditionalFormatting sqref="B90">
    <cfRule type="beginsWith" dxfId="11073" priority="237" stopIfTrue="1" operator="beginsWith" text="Functioning At Risk">
      <formula>LEFT(B90,LEN("Functioning At Risk"))="Functioning At Risk"</formula>
    </cfRule>
    <cfRule type="beginsWith" dxfId="11072" priority="238" stopIfTrue="1" operator="beginsWith" text="Not Functioning">
      <formula>LEFT(B90,LEN("Not Functioning"))="Not Functioning"</formula>
    </cfRule>
    <cfRule type="containsText" dxfId="11071" priority="239" operator="containsText" text="Functioning">
      <formula>NOT(ISERROR(SEARCH("Functioning",B90)))</formula>
    </cfRule>
  </conditionalFormatting>
  <conditionalFormatting sqref="F51">
    <cfRule type="beginsWith" dxfId="11070" priority="224" stopIfTrue="1" operator="beginsWith" text="Functioning At Risk">
      <formula>LEFT(F51,LEN("Functioning At Risk"))="Functioning At Risk"</formula>
    </cfRule>
    <cfRule type="beginsWith" dxfId="11069" priority="225" stopIfTrue="1" operator="beginsWith" text="Not Functioning">
      <formula>LEFT(F51,LEN("Not Functioning"))="Not Functioning"</formula>
    </cfRule>
    <cfRule type="containsText" dxfId="11068" priority="226" operator="containsText" text="Functioning">
      <formula>NOT(ISERROR(SEARCH("Functioning",F51)))</formula>
    </cfRule>
  </conditionalFormatting>
  <conditionalFormatting sqref="C50:D52">
    <cfRule type="beginsWith" dxfId="11067" priority="221" stopIfTrue="1" operator="beginsWith" text="Functioning At Risk">
      <formula>LEFT(C50,LEN("Functioning At Risk"))="Functioning At Risk"</formula>
    </cfRule>
    <cfRule type="beginsWith" dxfId="11066" priority="222" stopIfTrue="1" operator="beginsWith" text="Not Functioning">
      <formula>LEFT(C50,LEN("Not Functioning"))="Not Functioning"</formula>
    </cfRule>
    <cfRule type="containsText" dxfId="11065" priority="223" operator="containsText" text="Functioning">
      <formula>NOT(ISERROR(SEARCH("Functioning",C50)))</formula>
    </cfRule>
  </conditionalFormatting>
  <conditionalFormatting sqref="B50">
    <cfRule type="beginsWith" dxfId="11064" priority="218" stopIfTrue="1" operator="beginsWith" text="Functioning At Risk">
      <formula>LEFT(B50,LEN("Functioning At Risk"))="Functioning At Risk"</formula>
    </cfRule>
    <cfRule type="beginsWith" dxfId="11063" priority="219" stopIfTrue="1" operator="beginsWith" text="Not Functioning">
      <formula>LEFT(B50,LEN("Not Functioning"))="Not Functioning"</formula>
    </cfRule>
    <cfRule type="containsText" dxfId="11062" priority="220" operator="containsText" text="Functioning">
      <formula>NOT(ISERROR(SEARCH("Functioning",B50)))</formula>
    </cfRule>
  </conditionalFormatting>
  <conditionalFormatting sqref="E51">
    <cfRule type="beginsWith" dxfId="11061" priority="215" stopIfTrue="1" operator="beginsWith" text="Functioning At Risk">
      <formula>LEFT(E51,LEN("Functioning At Risk"))="Functioning At Risk"</formula>
    </cfRule>
    <cfRule type="beginsWith" dxfId="11060" priority="216" stopIfTrue="1" operator="beginsWith" text="Not Functioning">
      <formula>LEFT(E51,LEN("Not Functioning"))="Not Functioning"</formula>
    </cfRule>
    <cfRule type="containsText" dxfId="11059" priority="217" operator="containsText" text="Functioning">
      <formula>NOT(ISERROR(SEARCH("Functioning",E51)))</formula>
    </cfRule>
  </conditionalFormatting>
  <conditionalFormatting sqref="E50">
    <cfRule type="beginsWith" dxfId="11058" priority="212" stopIfTrue="1" operator="beginsWith" text="Functioning At Risk">
      <formula>LEFT(E50,LEN("Functioning At Risk"))="Functioning At Risk"</formula>
    </cfRule>
    <cfRule type="beginsWith" dxfId="11057" priority="213" stopIfTrue="1" operator="beginsWith" text="Not Functioning">
      <formula>LEFT(E50,LEN("Not Functioning"))="Not Functioning"</formula>
    </cfRule>
    <cfRule type="containsText" dxfId="11056" priority="214" operator="containsText" text="Functioning">
      <formula>NOT(ISERROR(SEARCH("Functioning",E50)))</formula>
    </cfRule>
  </conditionalFormatting>
  <conditionalFormatting sqref="E50">
    <cfRule type="expression" dxfId="11055" priority="211" stopIfTrue="1">
      <formula>ISBLANK($B$18)</formula>
    </cfRule>
  </conditionalFormatting>
  <conditionalFormatting sqref="E52:E53">
    <cfRule type="beginsWith" dxfId="11054" priority="208" stopIfTrue="1" operator="beginsWith" text="Functioning At Risk">
      <formula>LEFT(E52,LEN("Functioning At Risk"))="Functioning At Risk"</formula>
    </cfRule>
    <cfRule type="beginsWith" dxfId="11053" priority="209" stopIfTrue="1" operator="beginsWith" text="Not Functioning">
      <formula>LEFT(E52,LEN("Not Functioning"))="Not Functioning"</formula>
    </cfRule>
    <cfRule type="containsText" dxfId="11052" priority="210" operator="containsText" text="Functioning">
      <formula>NOT(ISERROR(SEARCH("Functioning",E52)))</formula>
    </cfRule>
  </conditionalFormatting>
  <conditionalFormatting sqref="D20">
    <cfRule type="beginsWith" dxfId="11051" priority="202" stopIfTrue="1" operator="beginsWith" text="Functioning At Risk">
      <formula>LEFT(D20,LEN("Functioning At Risk"))="Functioning At Risk"</formula>
    </cfRule>
    <cfRule type="beginsWith" dxfId="11050" priority="203" stopIfTrue="1" operator="beginsWith" text="Not Functioning">
      <formula>LEFT(D20,LEN("Not Functioning"))="Not Functioning"</formula>
    </cfRule>
    <cfRule type="containsText" dxfId="11049" priority="204" operator="containsText" text="Functioning">
      <formula>NOT(ISERROR(SEARCH("Functioning",D20)))</formula>
    </cfRule>
  </conditionalFormatting>
  <conditionalFormatting sqref="H11">
    <cfRule type="beginsWith" dxfId="11048" priority="199" stopIfTrue="1" operator="beginsWith" text="Functioning At Risk">
      <formula>LEFT(H11,LEN("Functioning At Risk"))="Functioning At Risk"</formula>
    </cfRule>
    <cfRule type="beginsWith" dxfId="11047" priority="200" stopIfTrue="1" operator="beginsWith" text="Not Functioning">
      <formula>LEFT(H11,LEN("Not Functioning"))="Not Functioning"</formula>
    </cfRule>
    <cfRule type="containsText" dxfId="11046" priority="201" operator="containsText" text="Functioning">
      <formula>NOT(ISERROR(SEARCH("Functioning",H11)))</formula>
    </cfRule>
  </conditionalFormatting>
  <conditionalFormatting sqref="E48:E49">
    <cfRule type="beginsWith" dxfId="11042" priority="127" stopIfTrue="1" operator="beginsWith" text="Functioning At Risk">
      <formula>LEFT(E48,LEN("Functioning At Risk"))="Functioning At Risk"</formula>
    </cfRule>
    <cfRule type="beginsWith" dxfId="11041" priority="128" stopIfTrue="1" operator="beginsWith" text="Not Functioning">
      <formula>LEFT(E48,LEN("Not Functioning"))="Not Functioning"</formula>
    </cfRule>
    <cfRule type="containsText" dxfId="11040" priority="129" operator="containsText" text="Functioning">
      <formula>NOT(ISERROR(SEARCH("Functioning",E48)))</formula>
    </cfRule>
  </conditionalFormatting>
  <conditionalFormatting sqref="E60:E61">
    <cfRule type="beginsWith" dxfId="11039" priority="115" stopIfTrue="1" operator="beginsWith" text="Functioning At Risk">
      <formula>LEFT(E60,LEN("Functioning At Risk"))="Functioning At Risk"</formula>
    </cfRule>
    <cfRule type="beginsWith" dxfId="11038" priority="116" stopIfTrue="1" operator="beginsWith" text="Not Functioning">
      <formula>LEFT(E60,LEN("Not Functioning"))="Not Functioning"</formula>
    </cfRule>
    <cfRule type="containsText" dxfId="11037" priority="117" operator="containsText" text="Functioning">
      <formula>NOT(ISERROR(SEARCH("Functioning",E60)))</formula>
    </cfRule>
  </conditionalFormatting>
  <conditionalFormatting sqref="F63">
    <cfRule type="beginsWith" dxfId="11036" priority="106" stopIfTrue="1" operator="beginsWith" text="Functioning At Risk">
      <formula>LEFT(F63,LEN("Functioning At Risk"))="Functioning At Risk"</formula>
    </cfRule>
    <cfRule type="beginsWith" dxfId="11035" priority="107" stopIfTrue="1" operator="beginsWith" text="Not Functioning">
      <formula>LEFT(F63,LEN("Not Functioning"))="Not Functioning"</formula>
    </cfRule>
    <cfRule type="containsText" dxfId="11034" priority="108" operator="containsText" text="Functioning">
      <formula>NOT(ISERROR(SEARCH("Functioning",F63)))</formula>
    </cfRule>
  </conditionalFormatting>
  <conditionalFormatting sqref="E62">
    <cfRule type="beginsWith" dxfId="11033" priority="97" stopIfTrue="1" operator="beginsWith" text="Functioning At Risk">
      <formula>LEFT(E62,LEN("Functioning At Risk"))="Functioning At Risk"</formula>
    </cfRule>
    <cfRule type="beginsWith" dxfId="11032" priority="98" stopIfTrue="1" operator="beginsWith" text="Not Functioning">
      <formula>LEFT(E62,LEN("Not Functioning"))="Not Functioning"</formula>
    </cfRule>
    <cfRule type="containsText" dxfId="11031" priority="99" operator="containsText" text="Functioning">
      <formula>NOT(ISERROR(SEARCH("Functioning",E62)))</formula>
    </cfRule>
  </conditionalFormatting>
  <conditionalFormatting sqref="E63">
    <cfRule type="beginsWith" dxfId="11030" priority="94" stopIfTrue="1" operator="beginsWith" text="Functioning At Risk">
      <formula>LEFT(E63,LEN("Functioning At Risk"))="Functioning At Risk"</formula>
    </cfRule>
    <cfRule type="beginsWith" dxfId="11029" priority="95" stopIfTrue="1" operator="beginsWith" text="Not Functioning">
      <formula>LEFT(E63,LEN("Not Functioning"))="Not Functioning"</formula>
    </cfRule>
    <cfRule type="containsText" dxfId="11028" priority="96" operator="containsText" text="Functioning">
      <formula>NOT(ISERROR(SEARCH("Functioning",E63)))</formula>
    </cfRule>
  </conditionalFormatting>
  <conditionalFormatting sqref="F109 F86:F87 F94:F97">
    <cfRule type="beginsWith" dxfId="11021" priority="85" stopIfTrue="1" operator="beginsWith" text="Functioning At Risk">
      <formula>LEFT(F86,LEN("Functioning At Risk"))="Functioning At Risk"</formula>
    </cfRule>
    <cfRule type="beginsWith" dxfId="11020" priority="86" stopIfTrue="1" operator="beginsWith" text="Not Functioning">
      <formula>LEFT(F86,LEN("Not Functioning"))="Not Functioning"</formula>
    </cfRule>
    <cfRule type="containsText" dxfId="11019" priority="87" operator="containsText" text="Functioning">
      <formula>NOT(ISERROR(SEARCH("Functioning",F86)))</formula>
    </cfRule>
  </conditionalFormatting>
  <conditionalFormatting sqref="F98:F99">
    <cfRule type="beginsWith" dxfId="11018" priority="82" stopIfTrue="1" operator="beginsWith" text="Functioning At Risk">
      <formula>LEFT(F98,LEN("Functioning At Risk"))="Functioning At Risk"</formula>
    </cfRule>
    <cfRule type="beginsWith" dxfId="11017" priority="83" stopIfTrue="1" operator="beginsWith" text="Not Functioning">
      <formula>LEFT(F98,LEN("Not Functioning"))="Not Functioning"</formula>
    </cfRule>
    <cfRule type="containsText" dxfId="11016" priority="84" operator="containsText" text="Functioning">
      <formula>NOT(ISERROR(SEARCH("Functioning",F98)))</formula>
    </cfRule>
  </conditionalFormatting>
  <conditionalFormatting sqref="F118:F119">
    <cfRule type="beginsWith" dxfId="11015" priority="79" stopIfTrue="1" operator="beginsWith" text="Functioning At Risk">
      <formula>LEFT(F118,LEN("Functioning At Risk"))="Functioning At Risk"</formula>
    </cfRule>
    <cfRule type="beginsWith" dxfId="11014" priority="80" stopIfTrue="1" operator="beginsWith" text="Not Functioning">
      <formula>LEFT(F118,LEN("Not Functioning"))="Not Functioning"</formula>
    </cfRule>
    <cfRule type="containsText" dxfId="11013" priority="81" operator="containsText" text="Functioning">
      <formula>NOT(ISERROR(SEARCH("Functioning",F118)))</formula>
    </cfRule>
  </conditionalFormatting>
  <conditionalFormatting sqref="F114:F117">
    <cfRule type="beginsWith" dxfId="11012" priority="76" stopIfTrue="1" operator="beginsWith" text="Functioning At Risk">
      <formula>LEFT(F114,LEN("Functioning At Risk"))="Functioning At Risk"</formula>
    </cfRule>
    <cfRule type="beginsWith" dxfId="11011" priority="77" stopIfTrue="1" operator="beginsWith" text="Not Functioning">
      <formula>LEFT(F114,LEN("Not Functioning"))="Not Functioning"</formula>
    </cfRule>
    <cfRule type="containsText" dxfId="11010" priority="78" operator="containsText" text="Functioning">
      <formula>NOT(ISERROR(SEARCH("Functioning",F114)))</formula>
    </cfRule>
  </conditionalFormatting>
  <conditionalFormatting sqref="F102">
    <cfRule type="beginsWith" dxfId="11009" priority="73" stopIfTrue="1" operator="beginsWith" text="Functioning At Risk">
      <formula>LEFT(F102,LEN("Functioning At Risk"))="Functioning At Risk"</formula>
    </cfRule>
    <cfRule type="beginsWith" dxfId="11008" priority="74" stopIfTrue="1" operator="beginsWith" text="Not Functioning">
      <formula>LEFT(F102,LEN("Not Functioning"))="Not Functioning"</formula>
    </cfRule>
    <cfRule type="containsText" dxfId="11007" priority="75" operator="containsText" text="Functioning">
      <formula>NOT(ISERROR(SEARCH("Functioning",F102)))</formula>
    </cfRule>
  </conditionalFormatting>
  <conditionalFormatting sqref="F88:F89">
    <cfRule type="beginsWith" dxfId="11006" priority="70" stopIfTrue="1" operator="beginsWith" text="Functioning At Risk">
      <formula>LEFT(F88,LEN("Functioning At Risk"))="Functioning At Risk"</formula>
    </cfRule>
    <cfRule type="beginsWith" dxfId="11005" priority="71" stopIfTrue="1" operator="beginsWith" text="Not Functioning">
      <formula>LEFT(F88,LEN("Not Functioning"))="Not Functioning"</formula>
    </cfRule>
    <cfRule type="containsText" dxfId="11004" priority="72" operator="containsText" text="Functioning">
      <formula>NOT(ISERROR(SEARCH("Functioning",F88)))</formula>
    </cfRule>
  </conditionalFormatting>
  <conditionalFormatting sqref="F91">
    <cfRule type="beginsWith" dxfId="11003" priority="67" stopIfTrue="1" operator="beginsWith" text="Functioning At Risk">
      <formula>LEFT(F91,LEN("Functioning At Risk"))="Functioning At Risk"</formula>
    </cfRule>
    <cfRule type="beginsWith" dxfId="11002" priority="68" stopIfTrue="1" operator="beginsWith" text="Not Functioning">
      <formula>LEFT(F91,LEN("Not Functioning"))="Not Functioning"</formula>
    </cfRule>
    <cfRule type="containsText" dxfId="11001" priority="69" operator="containsText" text="Functioning">
      <formula>NOT(ISERROR(SEARCH("Functioning",F91)))</formula>
    </cfRule>
  </conditionalFormatting>
  <conditionalFormatting sqref="F106">
    <cfRule type="beginsWith" dxfId="11000" priority="64" stopIfTrue="1" operator="beginsWith" text="Functioning At Risk">
      <formula>LEFT(F106,LEN("Functioning At Risk"))="Functioning At Risk"</formula>
    </cfRule>
    <cfRule type="beginsWith" dxfId="10999" priority="65" stopIfTrue="1" operator="beginsWith" text="Not Functioning">
      <formula>LEFT(F106,LEN("Not Functioning"))="Not Functioning"</formula>
    </cfRule>
    <cfRule type="containsText" dxfId="10998" priority="66" operator="containsText" text="Functioning">
      <formula>NOT(ISERROR(SEARCH("Functioning",F106)))</formula>
    </cfRule>
  </conditionalFormatting>
  <conditionalFormatting sqref="F103">
    <cfRule type="beginsWith" dxfId="10997" priority="61" stopIfTrue="1" operator="beginsWith" text="Functioning At Risk">
      <formula>LEFT(F103,LEN("Functioning At Risk"))="Functioning At Risk"</formula>
    </cfRule>
    <cfRule type="beginsWith" dxfId="10996" priority="62" stopIfTrue="1" operator="beginsWith" text="Not Functioning">
      <formula>LEFT(F103,LEN("Not Functioning"))="Not Functioning"</formula>
    </cfRule>
    <cfRule type="containsText" dxfId="10995" priority="63" operator="containsText" text="Functioning">
      <formula>NOT(ISERROR(SEARCH("Functioning",F103)))</formula>
    </cfRule>
  </conditionalFormatting>
  <conditionalFormatting sqref="F66">
    <cfRule type="beginsWith" dxfId="10994" priority="58" stopIfTrue="1" operator="beginsWith" text="Functioning At Risk">
      <formula>LEFT(F66,LEN("Functioning At Risk"))="Functioning At Risk"</formula>
    </cfRule>
    <cfRule type="beginsWith" dxfId="10993" priority="59" stopIfTrue="1" operator="beginsWith" text="Not Functioning">
      <formula>LEFT(F66,LEN("Not Functioning"))="Not Functioning"</formula>
    </cfRule>
    <cfRule type="containsText" dxfId="10992" priority="60" operator="containsText" text="Functioning">
      <formula>NOT(ISERROR(SEARCH("Functioning",F66)))</formula>
    </cfRule>
  </conditionalFormatting>
  <conditionalFormatting sqref="E86:E87 E105:E109">
    <cfRule type="beginsWith" dxfId="65" priority="31" stopIfTrue="1" operator="beginsWith" text="Functioning At Risk">
      <formula>LEFT(E86,LEN("Functioning At Risk"))="Functioning At Risk"</formula>
    </cfRule>
    <cfRule type="beginsWith" dxfId="64" priority="32" stopIfTrue="1" operator="beginsWith" text="Not Functioning">
      <formula>LEFT(E86,LEN("Not Functioning"))="Not Functioning"</formula>
    </cfRule>
    <cfRule type="containsText" dxfId="63" priority="33" operator="containsText" text="Functioning">
      <formula>NOT(ISERROR(SEARCH("Functioning",E86)))</formula>
    </cfRule>
  </conditionalFormatting>
  <conditionalFormatting sqref="E94:E96">
    <cfRule type="beginsWith" dxfId="59" priority="28" stopIfTrue="1" operator="beginsWith" text="Functioning At Risk">
      <formula>LEFT(E94,LEN("Functioning At Risk"))="Functioning At Risk"</formula>
    </cfRule>
    <cfRule type="beginsWith" dxfId="58" priority="29" stopIfTrue="1" operator="beginsWith" text="Not Functioning">
      <formula>LEFT(E94,LEN("Not Functioning"))="Not Functioning"</formula>
    </cfRule>
    <cfRule type="containsText" dxfId="57" priority="30" operator="containsText" text="Functioning">
      <formula>NOT(ISERROR(SEARCH("Functioning",E94)))</formula>
    </cfRule>
  </conditionalFormatting>
  <conditionalFormatting sqref="E98:E99">
    <cfRule type="beginsWith" dxfId="53" priority="25" stopIfTrue="1" operator="beginsWith" text="Functioning At Risk">
      <formula>LEFT(E98,LEN("Functioning At Risk"))="Functioning At Risk"</formula>
    </cfRule>
    <cfRule type="beginsWith" dxfId="52" priority="26" stopIfTrue="1" operator="beginsWith" text="Not Functioning">
      <formula>LEFT(E98,LEN("Not Functioning"))="Not Functioning"</formula>
    </cfRule>
    <cfRule type="containsText" dxfId="51" priority="27" operator="containsText" text="Functioning">
      <formula>NOT(ISERROR(SEARCH("Functioning",E98)))</formula>
    </cfRule>
  </conditionalFormatting>
  <conditionalFormatting sqref="E86:E87 E104:E109">
    <cfRule type="expression" dxfId="47" priority="24">
      <formula>$B$18="Ephemeral"</formula>
    </cfRule>
  </conditionalFormatting>
  <conditionalFormatting sqref="E86:E87 E104:E109">
    <cfRule type="expression" dxfId="45" priority="23" stopIfTrue="1">
      <formula>ISBLANK($B$18)</formula>
    </cfRule>
  </conditionalFormatting>
  <conditionalFormatting sqref="E91">
    <cfRule type="beginsWith" dxfId="43" priority="20" stopIfTrue="1" operator="beginsWith" text="Functioning At Risk">
      <formula>LEFT(E91,LEN("Functioning At Risk"))="Functioning At Risk"</formula>
    </cfRule>
    <cfRule type="beginsWith" dxfId="42" priority="21" stopIfTrue="1" operator="beginsWith" text="Not Functioning">
      <formula>LEFT(E91,LEN("Not Functioning"))="Not Functioning"</formula>
    </cfRule>
    <cfRule type="containsText" dxfId="41" priority="22" operator="containsText" text="Functioning">
      <formula>NOT(ISERROR(SEARCH("Functioning",E91)))</formula>
    </cfRule>
  </conditionalFormatting>
  <conditionalFormatting sqref="E90">
    <cfRule type="beginsWith" dxfId="37" priority="17" stopIfTrue="1" operator="beginsWith" text="Functioning At Risk">
      <formula>LEFT(E90,LEN("Functioning At Risk"))="Functioning At Risk"</formula>
    </cfRule>
    <cfRule type="beginsWith" dxfId="36" priority="18" stopIfTrue="1" operator="beginsWith" text="Not Functioning">
      <formula>LEFT(E90,LEN("Not Functioning"))="Not Functioning"</formula>
    </cfRule>
    <cfRule type="containsText" dxfId="35" priority="19" operator="containsText" text="Functioning">
      <formula>NOT(ISERROR(SEARCH("Functioning",E90)))</formula>
    </cfRule>
  </conditionalFormatting>
  <conditionalFormatting sqref="E90">
    <cfRule type="expression" dxfId="31" priority="16" stopIfTrue="1">
      <formula>ISBLANK($B$18)</formula>
    </cfRule>
  </conditionalFormatting>
  <conditionalFormatting sqref="E92:E93">
    <cfRule type="beginsWith" dxfId="29" priority="13" stopIfTrue="1" operator="beginsWith" text="Functioning At Risk">
      <formula>LEFT(E92,LEN("Functioning At Risk"))="Functioning At Risk"</formula>
    </cfRule>
    <cfRule type="beginsWith" dxfId="28" priority="14" stopIfTrue="1" operator="beginsWith" text="Not Functioning">
      <formula>LEFT(E92,LEN("Not Functioning"))="Not Functioning"</formula>
    </cfRule>
    <cfRule type="containsText" dxfId="27" priority="15" operator="containsText" text="Functioning">
      <formula>NOT(ISERROR(SEARCH("Functioning",E92)))</formula>
    </cfRule>
  </conditionalFormatting>
  <conditionalFormatting sqref="E88:E89">
    <cfRule type="beginsWith" dxfId="23" priority="10" stopIfTrue="1" operator="beginsWith" text="Functioning At Risk">
      <formula>LEFT(E88,LEN("Functioning At Risk"))="Functioning At Risk"</formula>
    </cfRule>
    <cfRule type="beginsWith" dxfId="22" priority="11" stopIfTrue="1" operator="beginsWith" text="Not Functioning">
      <formula>LEFT(E88,LEN("Not Functioning"))="Not Functioning"</formula>
    </cfRule>
    <cfRule type="containsText" dxfId="21" priority="12" operator="containsText" text="Functioning">
      <formula>NOT(ISERROR(SEARCH("Functioning",E88)))</formula>
    </cfRule>
  </conditionalFormatting>
  <conditionalFormatting sqref="E100:E101">
    <cfRule type="beginsWith" dxfId="17" priority="7" stopIfTrue="1" operator="beginsWith" text="Functioning At Risk">
      <formula>LEFT(E100,LEN("Functioning At Risk"))="Functioning At Risk"</formula>
    </cfRule>
    <cfRule type="beginsWith" dxfId="16" priority="8" stopIfTrue="1" operator="beginsWith" text="Not Functioning">
      <formula>LEFT(E100,LEN("Not Functioning"))="Not Functioning"</formula>
    </cfRule>
    <cfRule type="containsText" dxfId="15" priority="9" operator="containsText" text="Functioning">
      <formula>NOT(ISERROR(SEARCH("Functioning",E100)))</formula>
    </cfRule>
  </conditionalFormatting>
  <conditionalFormatting sqref="E102">
    <cfRule type="beginsWith" dxfId="11" priority="4" stopIfTrue="1" operator="beginsWith" text="Functioning At Risk">
      <formula>LEFT(E102,LEN("Functioning At Risk"))="Functioning At Risk"</formula>
    </cfRule>
    <cfRule type="beginsWith" dxfId="10" priority="5" stopIfTrue="1" operator="beginsWith" text="Not Functioning">
      <formula>LEFT(E102,LEN("Not Functioning"))="Not Functioning"</formula>
    </cfRule>
    <cfRule type="containsText" dxfId="9" priority="6" operator="containsText" text="Functioning">
      <formula>NOT(ISERROR(SEARCH("Functioning",E102)))</formula>
    </cfRule>
  </conditionalFormatting>
  <conditionalFormatting sqref="E103">
    <cfRule type="beginsWith" dxfId="5" priority="1" stopIfTrue="1" operator="beginsWith" text="Functioning At Risk">
      <formula>LEFT(E103,LEN("Functioning At Risk"))="Functioning At Risk"</formula>
    </cfRule>
    <cfRule type="beginsWith" dxfId="4" priority="2" stopIfTrue="1" operator="beginsWith" text="Not Functioning">
      <formula>LEFT(E103,LEN("Not Functioning"))="Not Functioning"</formula>
    </cfRule>
    <cfRule type="containsText" dxfId="3" priority="3" operator="containsText" text="Functioning">
      <formula>NOT(ISERROR(SEARCH("Functioning",E103)))</formula>
    </cfRule>
  </conditionalFormatting>
  <dataValidations xWindow="656" yWindow="505" count="14">
    <dataValidation type="list" allowBlank="1" showErrorMessage="1" sqref="B10:B11">
      <formula1>StreamType</formula1>
    </dataValidation>
    <dataValidation allowBlank="1" showErrorMessage="1" sqref="B13 E104 E64 E93 E53"/>
    <dataValidation type="list" allowBlank="1" showErrorMessage="1" sqref="B14">
      <formula1>BedMaterial</formula1>
    </dataValidation>
    <dataValidation type="list" allowBlank="1" showInputMessage="1" showErrorMessage="1" prompt="Select the dominant BEHI/NBS.  _x000a_If erosion rate was measured select blank. The user should only input a value for either BEHI/NBS or Erosion Rate, not both. " sqref="E91 E51">
      <formula1>BEHI.NBS</formula1>
    </dataValidation>
    <dataValidation type="list" allowBlank="1" showErrorMessage="1" sqref="B12">
      <formula1>Region</formula1>
    </dataValidation>
    <dataValidation allowBlank="1" showErrorMessage="1" prompt="Select catchment conditon level from the completed catchment assessment form. " sqref="E44:E45 E84:E85"/>
    <dataValidation allowBlank="1" showInputMessage="1" showErrorMessage="1" prompt="The user should input a value for either BEHI/NBS or Erosion Rate, not both. " sqref="E90 E50"/>
    <dataValidation allowBlank="1" showInputMessage="1" showErrorMessage="1" prompt="This measurement method should be used in combination with either Erosion Rate or Dominant BEHI/NBS." sqref="E92 E52"/>
    <dataValidation type="decimal" allowBlank="1" showInputMessage="1" showErrorMessage="1" sqref="E54:E57 E94:E97">
      <formula1>0</formula1>
      <formula2>5280</formula2>
    </dataValidation>
    <dataValidation allowBlank="1" showErrorMessage="1" prompt="The user can only input a value for either leaf litter processing rate or shredders for organic matter, not both. " sqref="E71 E111"/>
    <dataValidation allowBlank="1" showInputMessage="1" showErrorMessage="1" prompt="The user should not input values for all 4 measurement methods. If the user is not using TMI, then the remaining 3 measurement methods should be used together." sqref="E74:E77 E114:E117"/>
    <dataValidation allowBlank="1" showErrorMessage="1" prompt="The user should input a value for either basal area or density, not both. " sqref="E62:E63 E102:E103"/>
    <dataValidation type="decimal" allowBlank="1" showErrorMessage="1" prompt="The user should input a value for either basal area or density, not both. " sqref="E98:E101 E58:E61">
      <formula1>0</formula1>
      <formula2>5280</formula2>
    </dataValidation>
    <dataValidation allowBlank="1" showInputMessage="1" showErrorMessage="1" prompt="The user should only input a value for either LWDI or # Pieces, not both. " sqref="E48:E49 E88:E89"/>
  </dataValidations>
  <pageMargins left="0.25" right="0.25" top="0.75" bottom="0.75" header="0.3" footer="0.3"/>
  <pageSetup paperSize="3" fitToWidth="0" fitToHeight="0" orientation="landscape" r:id="rId1"/>
  <headerFooter>
    <oddHeader>&amp;C&amp;"-,Bold"TN SQT v1.0
Quantification Tool Spreadsheet Reach 1</oddHeader>
  </headerFooter>
  <rowBreaks count="2" manualBreakCount="2">
    <brk id="40" max="16383" man="1"/>
    <brk id="80" max="16383" man="1"/>
  </rowBreaks>
  <ignoredErrors>
    <ignoredError sqref="G111 G71" formula="1"/>
  </ignoredErrors>
  <legacyDrawing r:id="rId2"/>
  <extLst>
    <ext xmlns:x14="http://schemas.microsoft.com/office/spreadsheetml/2009/9/main" uri="{CCE6A557-97BC-4b89-ADB6-D9C93CAAB3DF}">
      <x14:dataValidations xmlns:xm="http://schemas.microsoft.com/office/excel/2006/main" xWindow="656" yWindow="505" count="4">
        <x14:dataValidation type="list" allowBlank="1" showInputMessage="1" showErrorMessage="1">
          <x14:formula1>
            <xm:f>'Pull Down Notes'!$B$93:$B$94</xm:f>
          </x14:formula1>
          <xm:sqref>B19</xm:sqref>
        </x14:dataValidation>
        <x14:dataValidation type="list" allowBlank="1" showInputMessage="1" showErrorMessage="1">
          <x14:formula1>
            <xm:f>'Pull Down Notes'!$B$96:$B$98</xm:f>
          </x14:formula1>
          <xm:sqref>B20</xm:sqref>
        </x14:dataValidation>
        <x14:dataValidation type="list" allowBlank="1" showInputMessage="1" showErrorMessage="1">
          <x14:formula1>
            <xm:f>'Pull Down Notes'!$B$100:$B$103</xm:f>
          </x14:formula1>
          <xm:sqref>B21</xm:sqref>
        </x14:dataValidation>
        <x14:dataValidation type="list" allowBlank="1" showErrorMessage="1">
          <x14:formula1>
            <xm:f>'Pull Down Notes'!$B$107:$B$108</xm:f>
          </x14:formula1>
          <xm:sqref>B18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3"/>
  <sheetViews>
    <sheetView topLeftCell="A253" zoomScale="70" zoomScaleNormal="70" zoomScaleSheetLayoutView="70" zoomScalePageLayoutView="70" workbookViewId="0">
      <selection activeCell="E120" sqref="E120:E135"/>
    </sheetView>
  </sheetViews>
  <sheetFormatPr defaultColWidth="8.88671875" defaultRowHeight="14.4" x14ac:dyDescent="0.3"/>
  <cols>
    <col min="1" max="1" width="35.88671875" style="14" bestFit="1" customWidth="1"/>
    <col min="2" max="2" width="35.6640625" style="14" bestFit="1" customWidth="1"/>
    <col min="3" max="4" width="24" style="14" customWidth="1"/>
    <col min="5" max="6" width="12.88671875" style="14" customWidth="1"/>
    <col min="7" max="8" width="10.5546875" style="14" customWidth="1"/>
    <col min="9" max="9" width="12.6640625" style="316" customWidth="1"/>
    <col min="10" max="10" width="10.5546875" style="316" customWidth="1"/>
    <col min="11" max="11" width="12.6640625" style="316" customWidth="1"/>
    <col min="12" max="12" width="18.5546875" style="14" customWidth="1"/>
    <col min="13" max="13" width="13.6640625" style="14" customWidth="1"/>
    <col min="14" max="16384" width="8.88671875" style="14"/>
  </cols>
  <sheetData>
    <row r="1" spans="1:15" ht="21" x14ac:dyDescent="0.4">
      <c r="A1" s="544" t="s">
        <v>131</v>
      </c>
      <c r="B1" s="545"/>
      <c r="C1" s="545"/>
      <c r="D1" s="545"/>
      <c r="E1" s="545"/>
      <c r="F1" s="546"/>
      <c r="G1" s="544" t="s">
        <v>18</v>
      </c>
      <c r="H1" s="545"/>
      <c r="I1" s="545"/>
      <c r="J1" s="545"/>
      <c r="K1" s="546"/>
      <c r="L1" s="21"/>
    </row>
    <row r="2" spans="1:15" ht="15.6" x14ac:dyDescent="0.3">
      <c r="A2" s="137" t="s">
        <v>1</v>
      </c>
      <c r="B2" s="137" t="s">
        <v>2</v>
      </c>
      <c r="C2" s="542" t="s">
        <v>3</v>
      </c>
      <c r="D2" s="644"/>
      <c r="E2" s="137" t="s">
        <v>15</v>
      </c>
      <c r="F2" s="137" t="s">
        <v>16</v>
      </c>
      <c r="G2" s="137" t="s">
        <v>19</v>
      </c>
      <c r="H2" s="137" t="s">
        <v>20</v>
      </c>
      <c r="I2" s="314" t="s">
        <v>20</v>
      </c>
      <c r="J2" s="314" t="s">
        <v>21</v>
      </c>
      <c r="K2" s="315" t="s">
        <v>21</v>
      </c>
      <c r="L2" s="21"/>
    </row>
    <row r="3" spans="1:15" ht="15.6" customHeight="1" x14ac:dyDescent="0.3">
      <c r="A3" s="540" t="s">
        <v>60</v>
      </c>
      <c r="B3" s="384" t="s">
        <v>86</v>
      </c>
      <c r="C3" s="52" t="s">
        <v>388</v>
      </c>
      <c r="D3" s="52"/>
      <c r="E3" s="162"/>
      <c r="F3" s="338" t="str">
        <f>IF(E3="","",IF(E3&lt;=0,0,IF(E3&gt;=0.95,1,ROUND('Reference Standards'!C$14*E3+'Reference Standards'!C$15,2))))</f>
        <v/>
      </c>
      <c r="G3" s="83" t="str">
        <f>IFERROR(AVERAGE(F3),"")</f>
        <v/>
      </c>
      <c r="H3" s="610" t="str">
        <f>IFERROR(ROUND(AVERAGE(G3:G4),2),"")</f>
        <v/>
      </c>
      <c r="I3" s="534" t="str">
        <f>IF(H3="","",IF(H3&gt;0.69,"Functioning",IF(H3&gt;0.29,"Functioning At Risk",IF(H3&gt;-1,"Not Functioning"))))</f>
        <v/>
      </c>
      <c r="J3" s="569" t="str">
        <f>IF(AND(H3="",H5="",H7="",H29="",H33=""),"",ROUND((IF(H3="",0,H3)*0.2)+(IF(H5="",0,H5)*0.2)+(IF(H7="",0,H7)*0.2)+(IF(H29="",0,H29)*0.2)+(IF(H33="",0,H33)*0.2),2))</f>
        <v/>
      </c>
      <c r="K3" s="569" t="str">
        <f>IF(J3="","",IF(J3&lt;0.3, "Not Functioning",IF(OR(H3&lt;0.7,H5&lt;0.7,H7&lt;0.7,H29&lt;0.7,H33&lt;0.7),"Functioning At Risk",IF(J3&lt;0.7,"Functioning At Risk","Functioning"))))</f>
        <v/>
      </c>
      <c r="L3" s="21"/>
      <c r="N3" s="19"/>
    </row>
    <row r="4" spans="1:15" ht="15.6" x14ac:dyDescent="0.3">
      <c r="A4" s="571"/>
      <c r="B4" s="388" t="s">
        <v>128</v>
      </c>
      <c r="C4" s="373" t="s">
        <v>161</v>
      </c>
      <c r="D4" s="374"/>
      <c r="E4" s="43"/>
      <c r="F4" s="372" t="str">
        <f>IF(E4="","",IF(E4&gt;=1,1,IF(E4&lt;=0,0,ROUND(E4,2))))</f>
        <v/>
      </c>
      <c r="G4" s="383" t="str">
        <f>IFERROR(AVERAGE(F4:F4),"")</f>
        <v/>
      </c>
      <c r="H4" s="611"/>
      <c r="I4" s="536"/>
      <c r="J4" s="645"/>
      <c r="K4" s="645"/>
      <c r="L4" s="21"/>
      <c r="N4" s="19"/>
    </row>
    <row r="5" spans="1:15" ht="15.6" x14ac:dyDescent="0.3">
      <c r="A5" s="524" t="s">
        <v>6</v>
      </c>
      <c r="B5" s="524" t="s">
        <v>7</v>
      </c>
      <c r="C5" s="54" t="s">
        <v>8</v>
      </c>
      <c r="D5" s="54"/>
      <c r="E5" s="162"/>
      <c r="F5" s="339" t="str">
        <f>IF(E5="","",ROUND(IF(E5&gt;1.6,0,IF(E5&lt;=1,1,E5^2*'Reference Standards'!K$14+E5*'Reference Standards'!K$15+'Reference Standards'!K$16)),2))</f>
        <v/>
      </c>
      <c r="G5" s="579" t="str">
        <f>IFERROR(AVERAGE(F5:F6),"")</f>
        <v/>
      </c>
      <c r="H5" s="579" t="str">
        <f>IFERROR(ROUND(AVERAGE(G5),2),"")</f>
        <v/>
      </c>
      <c r="I5" s="569" t="str">
        <f>IF(H5="","",IF(H5&gt;0.69,"Functioning",IF(H5&gt;0.29,"Functioning At Risk",IF(H5&gt;-1,"Not Functioning"))))</f>
        <v/>
      </c>
      <c r="J5" s="645"/>
      <c r="K5" s="645"/>
      <c r="L5" s="21"/>
      <c r="N5" s="19"/>
      <c r="O5" s="19"/>
    </row>
    <row r="6" spans="1:15" ht="15.6" x14ac:dyDescent="0.3">
      <c r="A6" s="525"/>
      <c r="B6" s="525"/>
      <c r="C6" s="54" t="s">
        <v>9</v>
      </c>
      <c r="D6" s="54"/>
      <c r="E6" s="163"/>
      <c r="F6" s="339" t="str">
        <f>IF(E6="","",(IF(OR('Quantification Tool R1'!B$11="A",'Quantification Tool R1'!B$11="B",'Quantification Tool R1'!$B$11="Bc"),IF(E6&lt;1.2,0,IF(E6&gt;=2.2,1,ROUND(IF(E6&lt;1.4,E6*'Reference Standards'!$K$84+'Reference Standards'!$K$85,E6*'Reference Standards'!$L$84+'Reference Standards'!$L$85),2))),IF(OR('Quantification Tool R1'!B$11="C",'Quantification Tool R1'!B$11="E"),IF(E6&lt;2,0,IF(E6&gt;=5,1,ROUND(IF(E6&lt;2.4,E6*'Reference Standards'!$L$49+'Reference Standards'!$L$50,E6*'Reference Standards'!$K$49+'Reference Standards'!$K$50),2)))))))</f>
        <v/>
      </c>
      <c r="G6" s="580"/>
      <c r="H6" s="580"/>
      <c r="I6" s="570"/>
      <c r="J6" s="645"/>
      <c r="K6" s="645"/>
      <c r="L6" s="21"/>
      <c r="N6" s="19"/>
      <c r="O6" s="19"/>
    </row>
    <row r="7" spans="1:15" ht="15.6" x14ac:dyDescent="0.3">
      <c r="A7" s="526" t="s">
        <v>26</v>
      </c>
      <c r="B7" s="526" t="s">
        <v>27</v>
      </c>
      <c r="C7" s="60" t="s">
        <v>333</v>
      </c>
      <c r="D7" s="244"/>
      <c r="E7" s="61"/>
      <c r="F7" s="340" t="str">
        <f>IF(E7="","",IF(OR(LEFT('Quantification Tool R1'!$B$12,2)="65",LEFT('Quantification Tool R1'!$B$12,2)="66",LEFT('Quantification Tool R1'!$B$12,2)="71"),IF(E7&gt;=850,1,IF(E7&lt;250,ROUND('Reference Standards'!$S$17*(E7)+'Reference Standards'!$S$18,2),ROUND('Reference Standards'!$T$17*E7+'Reference Standards'!$T$18,2))),  IF(E7&gt;=345,1,IF(E7&lt;=180,ROUND('Reference Standards'!$U$17*(E7)+'Reference Standards'!$U$18,2),ROUND('Reference Standards'!$V$17*E7+'Reference Standards'!$V$18,2))))    )</f>
        <v/>
      </c>
      <c r="G7" s="552" t="str">
        <f>IFERROR(AVERAGE(F7:F8),"")</f>
        <v/>
      </c>
      <c r="H7" s="552" t="str">
        <f>IFERROR(ROUND(AVERAGE(G7:G28),2),"")</f>
        <v/>
      </c>
      <c r="I7" s="569" t="str">
        <f>IF(H7="","",IF(H7&gt;0.69,"Functioning",IF(H7&gt;0.29,"Functioning At Risk",IF(H7&gt;-1,"Not Functioning"))))</f>
        <v/>
      </c>
      <c r="J7" s="645"/>
      <c r="K7" s="645"/>
      <c r="L7" s="21"/>
      <c r="N7" s="19"/>
      <c r="O7" s="19"/>
    </row>
    <row r="8" spans="1:15" ht="15.6" x14ac:dyDescent="0.3">
      <c r="A8" s="520"/>
      <c r="B8" s="521"/>
      <c r="C8" s="63" t="s">
        <v>323</v>
      </c>
      <c r="D8" s="245"/>
      <c r="E8" s="53"/>
      <c r="F8" s="341" t="str">
        <f>IF(E8="","",IF(OR(LEFT('Quantification Tool R1'!$B$12,2)="65",LEFT('Quantification Tool R1'!$B$12,2)="66",LEFT('Quantification Tool R1'!$B$12,2)="71"),IF(E8&gt;=30,1,IF(E8&lt;13,ROUND('Reference Standards'!$S$53*(E8)+'Reference Standards'!$S$54,2),ROUND('Reference Standards'!$T$53*E8+'Reference Standards'!$T$54,2))),  IF(E8&gt;=16,1,IF(E8&lt;=9,ROUND('Reference Standards'!$U$53*(E8)+'Reference Standards'!$U$54,2),ROUND('Reference Standards'!$V$53*E8+'Reference Standards'!$V$54,2))))    )</f>
        <v/>
      </c>
      <c r="G8" s="554"/>
      <c r="H8" s="553"/>
      <c r="I8" s="645"/>
      <c r="J8" s="645"/>
      <c r="K8" s="645"/>
      <c r="L8" s="21"/>
      <c r="N8" s="19"/>
      <c r="O8" s="19"/>
    </row>
    <row r="9" spans="1:15" ht="15.6" x14ac:dyDescent="0.3">
      <c r="A9" s="520"/>
      <c r="B9" s="526" t="s">
        <v>395</v>
      </c>
      <c r="C9" s="58" t="s">
        <v>80</v>
      </c>
      <c r="D9" s="58"/>
      <c r="E9" s="165"/>
      <c r="F9" s="340" t="str">
        <f>IF(E9="","",ROUND(IF(E9&gt;0.7,0,IF(E9&lt;=0.1,1,E9^3*'Reference Standards'!S$87+E9^2*'Reference Standards'!S$88+E9*'Reference Standards'!S$89+'Reference Standards'!S$90)),2))</f>
        <v/>
      </c>
      <c r="G9" s="552" t="str">
        <f>IFERROR(ROUND(AVERAGE(F9:F12),2),"")</f>
        <v/>
      </c>
      <c r="H9" s="553"/>
      <c r="I9" s="645"/>
      <c r="J9" s="645"/>
      <c r="K9" s="645"/>
      <c r="L9" s="21"/>
      <c r="N9" s="19"/>
      <c r="O9" s="19"/>
    </row>
    <row r="10" spans="1:15" ht="15.6" x14ac:dyDescent="0.3">
      <c r="A10" s="520"/>
      <c r="B10" s="520"/>
      <c r="C10" s="58" t="s">
        <v>49</v>
      </c>
      <c r="D10" s="58"/>
      <c r="E10" s="165"/>
      <c r="F10" s="84" t="str">
        <f>IF(E10="","",IF(OR(E10="Ex/Ex",E10="Ex/VH"),0, IF(OR(E10="Ex/H",E10="VH/Ex",E10="VH/VH", E10="H/Ex",E10="H/VH",E10="M/Ex"),0.1,IF(OR(E10="Ex/M",E10="VH/H",E10="H/H", E10="M/VH"),0.2, IF(OR(E10="Ex/L",E10="VH/M",E10="H/M", E10="M/H",E10="L/Ex"),0.3, IF(OR(E10="Ex/VL",E10="VH/L",E10="H/L"),0.4, IF(OR(E10="VH/VL",E10="H/VL",E10="M/M", E10="L/VH"),0.5, IF(OR(E10="M/L",E10="L/H"),0.6, IF(OR(E10="M/VL",E10="L/M"),0.7, IF(OR(E10="L/L",E10="L/VL"),1))))))))))</f>
        <v/>
      </c>
      <c r="G10" s="553"/>
      <c r="H10" s="553"/>
      <c r="I10" s="645"/>
      <c r="J10" s="645"/>
      <c r="K10" s="645"/>
      <c r="L10" s="21"/>
      <c r="N10" s="19"/>
      <c r="O10" s="19"/>
    </row>
    <row r="11" spans="1:15" ht="15.6" x14ac:dyDescent="0.3">
      <c r="A11" s="520"/>
      <c r="B11" s="520"/>
      <c r="C11" s="58" t="s">
        <v>87</v>
      </c>
      <c r="D11" s="58"/>
      <c r="E11" s="165"/>
      <c r="F11" s="84" t="str">
        <f>IF(E11="","",ROUND(IF(E11&gt;40,0,IF(E11&lt;5,1,E11^3*'Reference Standards'!S$122+E11^2*'Reference Standards'!S$123+E11*'Reference Standards'!S$124+'Reference Standards'!S$125)),2))</f>
        <v/>
      </c>
      <c r="G11" s="553"/>
      <c r="H11" s="553"/>
      <c r="I11" s="645"/>
      <c r="J11" s="645"/>
      <c r="K11" s="645"/>
      <c r="L11" s="21"/>
      <c r="N11" s="19"/>
      <c r="O11" s="19"/>
    </row>
    <row r="12" spans="1:15" ht="15.6" x14ac:dyDescent="0.3">
      <c r="A12" s="520"/>
      <c r="B12" s="521"/>
      <c r="C12" s="59" t="s">
        <v>394</v>
      </c>
      <c r="D12" s="59"/>
      <c r="E12" s="167"/>
      <c r="F12" s="341" t="str">
        <f>IF(E12="","",ROUND(IF(E12&gt;=30,0,IF(E12&lt;=0,1,E12*'Reference Standards'!S$156+'Reference Standards'!S$157)),2))</f>
        <v/>
      </c>
      <c r="G12" s="554"/>
      <c r="H12" s="553"/>
      <c r="I12" s="645"/>
      <c r="J12" s="645"/>
      <c r="K12" s="645"/>
      <c r="L12" s="21"/>
      <c r="N12" s="19"/>
      <c r="O12" s="19"/>
    </row>
    <row r="13" spans="1:15" ht="15.6" x14ac:dyDescent="0.3">
      <c r="A13" s="520"/>
      <c r="B13" s="526" t="s">
        <v>50</v>
      </c>
      <c r="C13" s="60" t="s">
        <v>377</v>
      </c>
      <c r="D13" s="64"/>
      <c r="E13" s="136"/>
      <c r="F13" s="294" t="str">
        <f>IF(E13="","",ROUND(IF(E13&gt;9.2,1,E13*'Reference Standards'!$S$189+'Reference Standards'!$S$190),2))</f>
        <v/>
      </c>
      <c r="G13" s="552" t="str">
        <f>IFERROR(ROUND(AVERAGE(F13:F22),2),"")</f>
        <v/>
      </c>
      <c r="H13" s="553"/>
      <c r="I13" s="645"/>
      <c r="J13" s="645"/>
      <c r="K13" s="645"/>
      <c r="L13" s="21"/>
      <c r="N13" s="19"/>
      <c r="O13" s="19"/>
    </row>
    <row r="14" spans="1:15" ht="15.6" x14ac:dyDescent="0.3">
      <c r="A14" s="520"/>
      <c r="B14" s="520"/>
      <c r="C14" s="62" t="s">
        <v>378</v>
      </c>
      <c r="D14" s="58"/>
      <c r="E14" s="162"/>
      <c r="F14" s="294" t="str">
        <f>IF(E14="","",ROUND(IF(E14&gt;9.2,1,E14*'Reference Standards'!$S$189+'Reference Standards'!$S$190),2))</f>
        <v/>
      </c>
      <c r="G14" s="553"/>
      <c r="H14" s="553"/>
      <c r="I14" s="645"/>
      <c r="J14" s="645"/>
      <c r="K14" s="645"/>
      <c r="L14" s="21"/>
      <c r="N14" s="19"/>
      <c r="O14" s="19"/>
    </row>
    <row r="15" spans="1:15" ht="15.6" x14ac:dyDescent="0.3">
      <c r="A15" s="520"/>
      <c r="B15" s="520"/>
      <c r="C15" s="62" t="s">
        <v>379</v>
      </c>
      <c r="D15" s="58"/>
      <c r="E15" s="162"/>
      <c r="F15" s="294" t="str">
        <f>IF(E15="","",ROUND( IF(E15&gt;=200,1,IF(E15&lt;50, E15^2*'Reference Standards'!S$224+E15*'Reference Standards'!S$225+'Reference Standards'!S$226, E15*'Reference Standards'!T$224+'Reference Standards'!T$225)),2))</f>
        <v/>
      </c>
      <c r="G15" s="553"/>
      <c r="H15" s="553"/>
      <c r="I15" s="645"/>
      <c r="J15" s="645"/>
      <c r="K15" s="645"/>
      <c r="L15" s="21"/>
      <c r="N15" s="19"/>
      <c r="O15" s="19"/>
    </row>
    <row r="16" spans="1:15" ht="15.6" x14ac:dyDescent="0.3">
      <c r="A16" s="520"/>
      <c r="B16" s="520"/>
      <c r="C16" s="62" t="s">
        <v>380</v>
      </c>
      <c r="D16" s="58"/>
      <c r="E16" s="162"/>
      <c r="F16" s="294" t="str">
        <f>IF(E16="","",ROUND( IF(E16&gt;=200,1,IF(E16&lt;50, E16^2*'Reference Standards'!S$224+E16*'Reference Standards'!S$225+'Reference Standards'!S$226, E16*'Reference Standards'!T$224+'Reference Standards'!T$225)),2))</f>
        <v/>
      </c>
      <c r="G16" s="553"/>
      <c r="H16" s="553"/>
      <c r="I16" s="645"/>
      <c r="J16" s="645"/>
      <c r="K16" s="645"/>
      <c r="L16" s="21"/>
      <c r="N16" s="19"/>
      <c r="O16" s="19"/>
    </row>
    <row r="17" spans="1:15" ht="15.6" x14ac:dyDescent="0.3">
      <c r="A17" s="520"/>
      <c r="B17" s="520"/>
      <c r="C17" s="58" t="s">
        <v>381</v>
      </c>
      <c r="D17" s="58"/>
      <c r="E17" s="162"/>
      <c r="F17" s="294" t="str">
        <f>IF(E17="","",ROUND(IF(AND(E17&gt;=135,E17&lt;=262),1,IF(  E17&gt;=366,0.5, IF(E17&lt;135,E17*'Reference Standards'!S$259+'Reference Standards'!S$260, E17*'Reference Standards'!T$259+'Reference Standards'!T$260))),2))</f>
        <v/>
      </c>
      <c r="G17" s="553"/>
      <c r="H17" s="553"/>
      <c r="I17" s="645"/>
      <c r="J17" s="645"/>
      <c r="K17" s="645"/>
      <c r="L17" s="21"/>
      <c r="N17" s="19"/>
      <c r="O17" s="19"/>
    </row>
    <row r="18" spans="1:15" ht="15.6" x14ac:dyDescent="0.3">
      <c r="A18" s="520"/>
      <c r="B18" s="520"/>
      <c r="C18" s="58" t="s">
        <v>382</v>
      </c>
      <c r="D18" s="58"/>
      <c r="E18" s="162"/>
      <c r="F18" s="294" t="str">
        <f>IF(E18="","",ROUND(IF(AND(E18&gt;=135,E18&lt;=262),1,IF(  E18&gt;=366,0.5, IF(E18&lt;135,E18*'Reference Standards'!S$259+'Reference Standards'!S$260, E18*'Reference Standards'!T$259+'Reference Standards'!T$260))),2))</f>
        <v/>
      </c>
      <c r="G18" s="553"/>
      <c r="H18" s="553"/>
      <c r="I18" s="645"/>
      <c r="J18" s="645"/>
      <c r="K18" s="645"/>
      <c r="L18" s="21"/>
      <c r="N18" s="19"/>
      <c r="O18" s="19"/>
    </row>
    <row r="19" spans="1:15" ht="15.6" x14ac:dyDescent="0.3">
      <c r="A19" s="520"/>
      <c r="B19" s="520"/>
      <c r="C19" s="58" t="s">
        <v>383</v>
      </c>
      <c r="D19" s="58"/>
      <c r="E19" s="162"/>
      <c r="F19" s="84" t="str">
        <f>IF(E19="","",ROUND(IF(E19&gt;=75,1,IF(E19&lt;=0,0,E19*'Reference Standards'!S$330)),2))</f>
        <v/>
      </c>
      <c r="G19" s="553"/>
      <c r="H19" s="553"/>
      <c r="I19" s="645"/>
      <c r="J19" s="645"/>
      <c r="K19" s="645"/>
      <c r="L19" s="21"/>
      <c r="N19" s="19"/>
      <c r="O19" s="19"/>
    </row>
    <row r="20" spans="1:15" ht="15.6" x14ac:dyDescent="0.3">
      <c r="A20" s="520"/>
      <c r="B20" s="520"/>
      <c r="C20" s="58" t="s">
        <v>384</v>
      </c>
      <c r="D20" s="58"/>
      <c r="E20" s="162"/>
      <c r="F20" s="84" t="str">
        <f>IF(E20="","",ROUND(IF(E20&gt;=75,1,IF(E20&lt;=0,0,E20*'Reference Standards'!S$330)),2))</f>
        <v/>
      </c>
      <c r="G20" s="553"/>
      <c r="H20" s="553"/>
      <c r="I20" s="645"/>
      <c r="J20" s="645"/>
      <c r="K20" s="645"/>
      <c r="L20" s="21"/>
      <c r="N20" s="19"/>
      <c r="O20" s="19"/>
    </row>
    <row r="21" spans="1:15" ht="15.6" x14ac:dyDescent="0.3">
      <c r="A21" s="520"/>
      <c r="B21" s="520"/>
      <c r="C21" s="58" t="s">
        <v>385</v>
      </c>
      <c r="D21" s="58"/>
      <c r="E21" s="162"/>
      <c r="F21" s="294" t="str">
        <f>IF(E21="","",ROUND(IF(AND(E21&gt;=36.3,E21&lt;=68),1,IF(E21&gt;100,0,IF(E21&lt;36.3,(('Reference Standards'!S$297*(E21^2))+('Reference Standards'!S$298*E21)+'Reference Standards'!S$299),IF(E21&gt;68,(('Reference Standards'!T$297*(E21^2))+('Reference Standards'!T$298*E21)+'Reference Standards'!T$299))))),2))</f>
        <v/>
      </c>
      <c r="G21" s="553"/>
      <c r="H21" s="553"/>
      <c r="I21" s="645"/>
      <c r="J21" s="645"/>
      <c r="K21" s="645"/>
      <c r="L21" s="21"/>
      <c r="N21" s="19"/>
      <c r="O21" s="19"/>
    </row>
    <row r="22" spans="1:15" ht="15.6" x14ac:dyDescent="0.3">
      <c r="A22" s="520"/>
      <c r="B22" s="521"/>
      <c r="C22" s="58" t="s">
        <v>386</v>
      </c>
      <c r="D22" s="65"/>
      <c r="E22" s="162"/>
      <c r="F22" s="294" t="str">
        <f>IF(E22="","",ROUND(IF(AND(E22&gt;=36.3,E22&lt;=68),1,IF(E22&gt;100,0,IF(E22&lt;36.3,(('Reference Standards'!S$297*(E22^2))+('Reference Standards'!S$298*E22)+'Reference Standards'!S$299),IF(E22&gt;68,(('Reference Standards'!T$297*(E22^2))+('Reference Standards'!T$298*E22)+'Reference Standards'!T$299))))),2))</f>
        <v/>
      </c>
      <c r="G22" s="554"/>
      <c r="H22" s="553"/>
      <c r="I22" s="645"/>
      <c r="J22" s="645"/>
      <c r="K22" s="645"/>
      <c r="L22" s="21"/>
      <c r="N22" s="19"/>
      <c r="O22" s="19"/>
    </row>
    <row r="23" spans="1:15" ht="15.6" x14ac:dyDescent="0.3">
      <c r="A23" s="520"/>
      <c r="B23" s="56" t="s">
        <v>108</v>
      </c>
      <c r="C23" s="72" t="s">
        <v>130</v>
      </c>
      <c r="D23" s="58"/>
      <c r="E23" s="43"/>
      <c r="F23" s="82" t="str">
        <f>IF(E23="","",IF(OR('Quantification Tool R1'!B$14="Gravel",'Quantification Tool R1'!B$14="Cobble"),IF(E23&gt;0.1,1,IF(E23&lt;=0.01,0,ROUND(E23*'Reference Standards'!$S$362+'Reference Standards'!$S$363,2)))))</f>
        <v/>
      </c>
      <c r="G23" s="82" t="str">
        <f>IFERROR(AVERAGE(F23),"")</f>
        <v/>
      </c>
      <c r="H23" s="553"/>
      <c r="I23" s="645"/>
      <c r="J23" s="645"/>
      <c r="K23" s="645"/>
      <c r="L23" s="21"/>
      <c r="N23" s="19"/>
      <c r="O23" s="19"/>
    </row>
    <row r="24" spans="1:15" ht="15.6" x14ac:dyDescent="0.3">
      <c r="A24" s="520"/>
      <c r="B24" s="526" t="s">
        <v>51</v>
      </c>
      <c r="C24" s="64" t="s">
        <v>52</v>
      </c>
      <c r="D24" s="64"/>
      <c r="E24" s="166"/>
      <c r="F24" s="337" t="str">
        <f>IF(E24="","", IF(ISNUMBER('Quantification Tool R1'!$B$17), IF('Quantification Tool R1'!$B$17&lt;=2,   IF(AND(E24&gt;=3,E24&lt;=5),1, IF(OR(E24&lt;=1,E24&gt;=7), 0, ROUND( IF(E24&lt;3, E24*'Reference Standards'!S$398+'Reference Standards'!S$399,E24*'Reference Standards'!T$398+'Reference Standards'!T$399),2) ) ),   IF(E24&lt;=2.5,1, IF(E24&gt;=5.8,0, ROUND(E24*'Reference Standards'!S$430+'Reference Standards'!S$431,2))))   ))</f>
        <v/>
      </c>
      <c r="G24" s="552" t="str">
        <f>IFERROR(AVERAGE(F24:F27),"")</f>
        <v/>
      </c>
      <c r="H24" s="553"/>
      <c r="I24" s="645"/>
      <c r="J24" s="645"/>
      <c r="K24" s="645"/>
      <c r="L24" s="21"/>
      <c r="N24" s="19"/>
      <c r="O24" s="19"/>
    </row>
    <row r="25" spans="1:15" ht="15.6" x14ac:dyDescent="0.3">
      <c r="A25" s="520"/>
      <c r="B25" s="520"/>
      <c r="C25" s="58" t="s">
        <v>53</v>
      </c>
      <c r="D25" s="58"/>
      <c r="E25" s="165"/>
      <c r="F25" s="84" t="str">
        <f>IF(E25="","", IF( E25&gt;=2.4,1, IF(E25&lt;=1,0,  ROUND(IF(E25&lt;2.4, E25*'Reference Standards'!$S$464+'Reference Standards'!$S$465  ),2))))</f>
        <v/>
      </c>
      <c r="G25" s="553"/>
      <c r="H25" s="553"/>
      <c r="I25" s="645"/>
      <c r="J25" s="645"/>
      <c r="K25" s="645"/>
      <c r="L25" s="21"/>
      <c r="N25" s="19"/>
      <c r="O25" s="19"/>
    </row>
    <row r="26" spans="1:15" ht="15.6" x14ac:dyDescent="0.3">
      <c r="A26" s="520"/>
      <c r="B26" s="520"/>
      <c r="C26" s="58" t="s">
        <v>334</v>
      </c>
      <c r="D26" s="58"/>
      <c r="E26" s="165"/>
      <c r="F26" s="390" t="str">
        <f>IF(E26="","", IF(LEFT('Quantification Tool R1'!$B$12,2)="67",  IF( AND(E26&gt;=45,E26&lt;=65),1, IF(OR(E26&lt;=20,E26&gt;=90),0, ROUND(  IF(E26&lt;45, E26*'Reference Standards'!$S$498+'Reference Standards'!$S$499,E26*'Reference Standards'!$T$498+'Reference Standards'!$T$499),2))), IF(OR(  LEFT('Quantification Tool R1'!$B$12,2)="68", LEFT('Quantification Tool R1'!$B$12,2)="69",LEFT('Quantification Tool R1'!$B$12,2)="71"),  IF( AND(E26&gt;=30,E26&lt;=50),1, IF(OR(E26&lt;=10,E26&gt;=70),0, ROUND(  IF(E26&lt;30, E26*'Reference Standards'!$S$533+'Reference Standards'!$S$534,E26*'Reference Standards'!$T$533+'Reference Standards'!$T$534),2))), IF(LEFT('Quantification Tool R1'!$B$12,2)="66",  IF( AND(E26&gt;=20,E26&lt;=45),1, IF(OR(E26&lt;=0,E26&gt;=90),0, ROUND(  IF(E26&lt;20, E26*'Reference Standards'!$S$567+'Reference Standards'!$S$568,E26*'Reference Standards'!$T$567+'Reference Standards'!$T$568),2))), IF(OR(  LEFT('Quantification Tool R1'!$B$12,2)="65", LEFT('Quantification Tool R1'!$B$12,2)="74", LEFT('Quantification Tool R1'!$B$12,2)="73"),  IF( AND(E26&gt;=20,E26&lt;=30),1, IF(OR(E26&lt;=0,E26&gt;=50),0, ROUND(  IF(E26&lt;20, E26*'Reference Standards'!$S$601+'Reference Standards'!$S$602,E26*'Reference Standards'!$T$601+'Reference Standards'!$T$602),2))))))))</f>
        <v/>
      </c>
      <c r="G26" s="553"/>
      <c r="H26" s="553"/>
      <c r="I26" s="645"/>
      <c r="J26" s="645"/>
      <c r="K26" s="645"/>
      <c r="L26" s="21"/>
      <c r="N26" s="19"/>
      <c r="O26" s="19"/>
    </row>
    <row r="27" spans="1:15" ht="15.6" x14ac:dyDescent="0.3">
      <c r="A27" s="520"/>
      <c r="B27" s="521"/>
      <c r="C27" s="62" t="s">
        <v>210</v>
      </c>
      <c r="D27" s="58"/>
      <c r="E27" s="167"/>
      <c r="F27" s="391" t="str">
        <f>IF(E27="","",IF(E27&gt;=1.6,0,IF(E27&lt;=1,1,ROUND('Reference Standards'!$S$633*E27^3+'Reference Standards'!$S$634*E27^2+'Reference Standards'!$S$635*E27+'Reference Standards'!$S$636,2))))</f>
        <v/>
      </c>
      <c r="G27" s="554"/>
      <c r="H27" s="553"/>
      <c r="I27" s="645"/>
      <c r="J27" s="645"/>
      <c r="K27" s="645"/>
      <c r="L27" s="21"/>
      <c r="N27" s="19"/>
      <c r="O27" s="19"/>
    </row>
    <row r="28" spans="1:15" ht="15.6" x14ac:dyDescent="0.3">
      <c r="A28" s="521"/>
      <c r="B28" s="385" t="s">
        <v>55</v>
      </c>
      <c r="C28" s="242" t="s">
        <v>54</v>
      </c>
      <c r="D28" s="243"/>
      <c r="E28" s="163"/>
      <c r="F28" s="342" t="str">
        <f>IF(E28="","",IF(AND('Quantification Tool R1'!B$11="E",'Quantification Tool R1'!$B$14="Sand",'Quantification Tool R1'!$B$21="Unconfined Alluvial"),ROUND(IF(OR(E28&gt;1.8,E28&lt;1.3),0,IF(E28&lt;=1.6,1,E28*'Reference Standards'!S$667+'Reference Standards'!S$668)),2),    IF('Quantification Tool R1'!$B$21="Unconfined Alluvial",ROUND(IF(OR(E28&lt;1.2, E28&gt;1.5),0,IF(E28&lt;=1.4,1,E28*'Reference Standards'!$S$700+'Reference Standards'!$S$701)),2), IF('Quantification Tool R1'!$B$21="Confined Alluvial",ROUND(IF(E28&lt;1.15,0,IF(E28&lt;=1.4,E28*'Reference Standards'!$S$729+'Reference Standards'!$S$730,1)),2),  IF('Quantification Tool R1'!$B$21="Colluvial",ROUND(IF(E28&gt;1.3,0,IF(E28&gt;1.2,E28*'Reference Standards'!$S$760+'Reference Standards'!$S$761,1)),2) )))))</f>
        <v/>
      </c>
      <c r="G28" s="84" t="str">
        <f>IFERROR(AVERAGE(F28),"")</f>
        <v/>
      </c>
      <c r="H28" s="554"/>
      <c r="I28" s="570"/>
      <c r="J28" s="645"/>
      <c r="K28" s="645"/>
      <c r="L28" s="21"/>
      <c r="N28" s="19"/>
      <c r="O28" s="19"/>
    </row>
    <row r="29" spans="1:15" ht="15.6" x14ac:dyDescent="0.3">
      <c r="A29" s="537" t="s">
        <v>58</v>
      </c>
      <c r="B29" s="67" t="s">
        <v>88</v>
      </c>
      <c r="C29" s="70" t="s">
        <v>338</v>
      </c>
      <c r="D29" s="70"/>
      <c r="E29" s="43"/>
      <c r="F29" s="343" t="str">
        <f>IF(E29="","",ROUND(IF(E29&gt;=942,0,IF(E29&lt;=487,E29*'Reference Standards'!AB$15+'Reference Standards'!AB$16,E29*'Reference Standards'!$AC$15+'Reference Standards'!$AC$16)),2))</f>
        <v/>
      </c>
      <c r="G29" s="85" t="str">
        <f>IFERROR(AVERAGE(F29),"")</f>
        <v/>
      </c>
      <c r="H29" s="547" t="str">
        <f>IFERROR(ROUND(AVERAGE(G29:G32),2),"")</f>
        <v/>
      </c>
      <c r="I29" s="534" t="str">
        <f>IF(H29="","",IF(H29&gt;0.69,"Functioning",IF(H29&gt;0.29,"Functioning At Risk",IF(H29&gt;-1,"Not Functioning"))))</f>
        <v/>
      </c>
      <c r="J29" s="645"/>
      <c r="K29" s="645"/>
      <c r="L29" s="21"/>
      <c r="O29" s="19"/>
    </row>
    <row r="30" spans="1:15" ht="15.6" x14ac:dyDescent="0.3">
      <c r="A30" s="538"/>
      <c r="B30" s="386" t="s">
        <v>362</v>
      </c>
      <c r="C30" s="66" t="s">
        <v>354</v>
      </c>
      <c r="D30" s="66"/>
      <c r="E30" s="163"/>
      <c r="F30" s="344" t="str">
        <f>IF(E30="","",IF(OR('Quantification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June")),IF(E30&gt;93,0,IF(E30&lt;13,1,ROUND('Reference Standards'!$AB$53*E30^2+'Reference Standards'!$AB$54*E30+'Reference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R1'!$B$12="73b"),IF(E30&gt;94,0,IF(E30&lt;17,1,ROUND('Reference Standards'!$AC$53*E30^2+'Reference Standards'!$AC$54*E30+'Reference Standards'!$AC$55,2))),    IF(OR(AND(OR('Quantification Tool R1'!$B$12="68b",'Quantification Tool R1'!$B$12="71i"),'Quantification Tool R1'!$B$13&gt;2), 'Quantification Tool R1'!$B$12="71e"),IF(E30&gt;91,0,IF(E30&lt;24,1,ROUND('Reference Standards'!$AD$53*E30^2+'Reference Standards'!$AD$54*E30+'Reference Standards'!$AD$55,2))),  IF(OR(AND(OR('Quantification Tool R1'!$B$12="71f",'Quantification Tool R1'!$B$12="71g",'Quantification Tool R1'!$B$12="71h",'Quantification Tool R1'!$B$12="71i"),'Quantification Tool R1'!$B$13&lt;=2), AND('Quantification Tool R1'!$B$12="74a",'Quantification Tool R1'!$B$13&gt;2)),IF(E30&gt;95,0,IF(E30&lt;=36,1,ROUND('Reference Standards'!$AE$53*E30^2+'Reference Standards'!$AE$54*E30+'Reference Standards'!$AE$55,2))))))))</f>
        <v/>
      </c>
      <c r="G30" s="236" t="str">
        <f>IFERROR(AVERAGE(F30:F30),"")</f>
        <v/>
      </c>
      <c r="H30" s="548"/>
      <c r="I30" s="535"/>
      <c r="J30" s="645"/>
      <c r="K30" s="645"/>
      <c r="L30" s="21"/>
      <c r="O30" s="19"/>
    </row>
    <row r="31" spans="1:15" ht="15.6" x14ac:dyDescent="0.3">
      <c r="A31" s="538"/>
      <c r="B31" s="67" t="s">
        <v>81</v>
      </c>
      <c r="C31" s="68" t="s">
        <v>281</v>
      </c>
      <c r="D31" s="68"/>
      <c r="E31" s="162"/>
      <c r="F31" s="344" t="str">
        <f>IF(E31="","",IF(ISNUMBER('Quantification Tool R1'!$B$13), IF(OR('Quantification Tool R1'!$B$12="66e",'Quantification Tool R1'!$B$12="66f",'Quantification Tool R1'!$B$12="66g"), ROUND(IF(E31&gt;=0.61,0,IF(E31&lt;=0.01,1,IF(E31&lt;=0.06,E31*'Reference Standards'!$AD$197+'Reference Standards'!$AD$198,E31^2*'Reference Standards'!$AB$196+E31*'Reference Standards'!$AB$197+'Reference Standards'!$AB$198))),2),  IF('Quantification Tool R1'!$B$12="68b", ROUND(IF(E31&gt;=1.1,0,IF(E31&lt;=0.17,1,IF(E31&lt;=0.22,E31*'Reference Standards'!$AE$197+'Reference Standards'!$AE$198,E31^2*'Reference Standards'!$AC$196+E31*'Reference Standards'!$AC$197+'Reference Standards'!$AC$198))),2),IF('Quantification Tool R1'!$B$13&lt;=2.5,   IF('Quantification Tool R1'!$B$12="69de",ROUND(IF(E31&gt;=0.22,0,IF(E31&lt;=0.01,1,E31^2*'Reference Standards'!$AB$90+E31*'Reference Standards'!$AB$91+'Reference Standards'!$AB$92)),2),   IF('Quantification Tool R1'!$B$12="68c",ROUND(IF(E31&gt;=0.87,0,IF(E31&lt;=0.01,1,E31^2*'Reference Standards'!$AC$90+E31*'Reference Standards'!$AC$91+'Reference Standards'!$AC$92)),2),   IF('Quantification Tool R1'!$B$12="68a",ROUND(IF(E31&gt;=0.81,0,IF(E31&lt;=0.01,1,E31^2*'Reference Standards'!$AD$90+E31*'Reference Standards'!$AD$91+'Reference Standards'!$AD$92)),2),   IF('Quantification Tool R1'!$B$12="65abei",ROUND(IF(E31&gt;=0.67,0,IF(E31&lt;=0.01,1,IF(E31&lt;=0.18,E31*'Reference Standards'!$AG$91+'Reference Standards'!$AG$92,E31*'Reference Standards'!$AE$91+'Reference Standards'!$AE$92))),2),   IF('Quantification Tool R1'!$B$12="65j",ROUND(IF(E31&gt;=0.32,0,IF(E31&lt;=0.01,1,IF(E31&lt;=0.25,E31*'Reference Standards'!$AH$91+'Reference Standards'!$AH$92,E31*'Reference Standards'!$AF$91+'Reference Standards'!$AF$92))),2),   IF('Quantification Tool R1'!$B$12="71f",ROUND(IF(E31&gt;=3,0,IF(E31&lt;=0,1,IF(E31&lt;=0.01,0.7,E31^2*'Reference Standards'!$AB$126+E31*'Reference Standards'!$AB$127+'Reference Standards'!$AB$128))),2),   IF('Quantification Tool R1'!$B$12="74a",ROUND(IF(E31&gt;=0.14,0,IF(E31&lt;=0.01,1,IF(E31&lt;=0.02,0.7,E31^2*'Reference Standards'!$AC$126+E31*'Reference Standards'!$AC$127+'Reference Standards'!$AC$128))),2),   IF(OR('Quantification Tool R1'!$B$12="67fhi",'Quantification Tool R1'!$B$12="67g"),ROUND(IF(E31&gt;=1.9,0,IF(E31&lt;=0.01,1,IF(E31&lt;=0.05,E31*'Reference Standards'!$AF$127+'Reference Standards'!$AF$128,E31^2*'Reference Standards'!$AD$126+E31*'Reference Standards'!$AD$127+'Reference Standards'!$AD$128))),2),   IF('Quantification Tool R1'!$B$12="73a",ROUND(IF(E31&gt;=1.44,0,IF(E31&lt;=0.01,1,IF(E31&lt;=0.12,E31*'Reference Standards'!$AG$127+'Reference Standards'!$AG$128,E31^2*'Reference Standards'!$AE$126+E31*'Reference Standards'!$AE$127+'Reference Standards'!$AE$128))),2),   IF('Quantification Tool R1'!$B$12="66d",ROUND(IF(E31&gt;=0.46,0,IF(E31&lt;=0.02,1,IF(E31&lt;=0.08,E31*'Reference Standards'!$AF$163+'Reference Standards'!$AF$164,E31^2*'Reference Standards'!$AB$162+E31*'Reference Standards'!$AB$163+'Reference Standards'!$AB$164))),2),   IF(OR('Quantification Tool R1'!$B$12="71g",'Quantification Tool R1'!$B$12="71h",'Quantification Tool R1'!$B$12="71i"),ROUND(IF(E31&gt;=3,0,IF(E31&lt;=0.06,1,IF(E31&lt;=0.24,E31*'Reference Standards'!$AG$163+'Reference Standards'!$AG$164, E31^2*'Reference Standards'!$AC$162+E31*'Reference Standards'!$AC$163+'Reference Standards'!$AC$164))),2),   IF('Quantification Tool R1'!$B$12="74b",ROUND(IF(E31&gt;=1.3,0,IF(E31&lt;=0.29,1,IF(E31&lt;=0.48,E31*'Reference Standards'!$AH$163+'Reference Standards'!$AH$164,E31^2*'Reference Standards'!$AD$162+E31*'Reference Standards'!$AD$163+'Reference Standards'!$AD$164))),2),   IF('Quantification Tool R1'!$B$12="71e",ROUND(IF(E31&gt;=4.3,0,IF(E31&lt;=0.53,1,IF(E31&lt;=0.67,E31*'Reference Standards'!$AI$163+'Reference Standards'!$AI$164,E31^2*'Reference Standards'!$AE$162+E31*'Reference Standards'!$AE$163+'Reference Standards'!$AE$164))),2)       ))))))))))))),IF('Quantification Tool R1'!$B$13&gt;2.5,    IF('Quantification Tool R1'!$B$12="73a",ROUND(IF(E31&gt;=0.55,0,IF(E31&lt;=0,1,E31^2*'Reference Standards'!$AB$232+E31*'Reference Standards'!$AB$233+'Reference Standards'!$AB$234)),2),   IF('Quantification Tool R1'!$B$12="68a",ROUND(IF(E31&gt;=0.54,0,IF(E31&lt;=0,1, IF(E31&lt;=0.01,0.85, E31^2*'Reference Standards'!$AC$232+E31*'Reference Standards'!$AC$233+'Reference Standards'!$AC$234))),2),   IF('Quantification Tool R1'!$B$12="74a",ROUND(IF(E31&gt;=0.47,0,IF(E31&lt;=0.01,1, IF(E31&lt;=0.02,0.7, E31^2*'Reference Standards'!$AD$232+E31*'Reference Standards'!$AD$233+'Reference Standards'!$AD$234))),2),    IF('Quantification Tool R1'!$B$12="69de",ROUND(IF(E31&gt;=0.26,0,IF(E31&lt;=0.01,1, IF(E31&lt;=0.02,0.85, E31^2*'Reference Standards'!$AE$232+E31*'Reference Standards'!$AE$233+'Reference Standards'!$AE$234))),2),   IF('Quantification Tool R1'!$B$12="71f",ROUND(IF(E31&gt;=0.87,0,IF(E31&lt;=0.01,1,IF(E31&lt;=0.04,E31*'Reference Standards'!$AF$269+'Reference Standards'!$AF$270,E31^2*'Reference Standards'!$AB$268+E31*'Reference Standards'!$AB$269+'Reference Standards'!$AB$270))),2),  IF('Quantification Tool R1'!$B$12="65abei",ROUND(IF(E31&gt;=0.82,0,IF(E31&lt;=0.01,1,IF(E31&lt;=0.06,E31*'Reference Standards'!$AG$269+'Reference Standards'!$AG$270,E31^2*'Reference Standards'!$AC$268+E31*'Reference Standards'!$AC$269+'Reference Standards'!$AC$270))),2),  IF('Quantification Tool R1'!$B$12="65j",ROUND(IF(E31&gt;=0.33,0,IF(E31&lt;=0.03,1,IF(E31&lt;=0.09,E31*'Reference Standards'!$AH$269+'Reference Standards'!$AH$270,E31^2*'Reference Standards'!$AD$268+E31*'Reference Standards'!$AD$269+'Reference Standards'!$AD$270))),2),  IF('Quantification Tool R1'!$B$12="68c",ROUND(IF(E31&gt;=0.7,0,IF(E31&lt;=0.07,1,IF(E31&lt;=0.12,E31*'Reference Standards'!$AI$269+'Reference Standards'!$AI$270,E31^2*'Reference Standards'!$AE$268+E31*'Reference Standards'!$AE$269+'Reference Standards'!$AE$270))),2),   IF(OR('Quantification Tool R1'!$B$12="67fhi",'Quantification Tool R1'!$B$12="67g"),ROUND(IF(E31&gt;=1.8,0,IF(E31&lt;=0.08,1,IF(E31&lt;=0.2,E31*'Reference Standards'!$AF$306+'Reference Standards'!$AF$307,E31^2*'Reference Standards'!$AB$305+E31*'Reference Standards'!$AB$306+'Reference Standards'!$AB$307))),2),   IF('Quantification Tool R1'!$B$12="74b",ROUND(IF(E31&gt;=0.96,0,IF(E31&lt;=0.12,1,IF(E31&lt;=0.16,E31*'Reference Standards'!$AG$306+'Reference Standards'!$AG$307,E31^2*'Reference Standards'!$AC$305+E31*'Reference Standards'!$AC$306+'Reference Standards'!$AC$307))),2),   IF('Quantification Tool R1'!$B$12="66d",ROUND(IF(E31&gt;=0.75,0,IF(E31&lt;=0.13,1,IF(E31&lt;=0.2,E31*'Reference Standards'!$AH$306+'Reference Standards'!$AH$307,E31^2*'Reference Standards'!$AD$305+E31*'Reference Standards'!$AD$306+'Reference Standards'!$AD$307))),2),    IF(OR('Quantification Tool R1'!$B$12="71g",'Quantification Tool R1'!$B$12="71h",'Quantification Tool R1'!$B$12="71i"),ROUND(IF(E31&gt;=1.68,0,IF(E31&lt;=0.08,1,IF(E31&lt;=0.23,E31*'Reference Standards'!$AI$306+'Reference Standards'!$AI$307,E31^2*'Reference Standards'!$AE$305+E31*'Reference Standards'!$AE$306+'Reference Standards'!$AE$307))),2),   IF('Quantification Tool R1'!$B$12="71e",ROUND(IF(E31&gt;=5.3,0,IF(E31&lt;=0.94,1,IF(E31&lt;=1.4,E31*'Reference Standards'!$AF$310+'Reference Standards'!$AF$311,E31^2*'Reference Standards'!$AB$309+E31*'Reference Standards'!$AB$310+'Reference Standards'!$AB$311))),2))    ))))))))))))))))))</f>
        <v/>
      </c>
      <c r="G31" s="86" t="str">
        <f>IFERROR(AVERAGE(F31),"")</f>
        <v/>
      </c>
      <c r="H31" s="548"/>
      <c r="I31" s="535"/>
      <c r="J31" s="645"/>
      <c r="K31" s="645"/>
      <c r="L31" s="21"/>
      <c r="O31" s="19"/>
    </row>
    <row r="32" spans="1:15" ht="15.6" x14ac:dyDescent="0.3">
      <c r="A32" s="539"/>
      <c r="B32" s="387" t="s">
        <v>82</v>
      </c>
      <c r="C32" s="66" t="s">
        <v>280</v>
      </c>
      <c r="D32" s="66"/>
      <c r="E32" s="136"/>
      <c r="F32" s="343" t="str">
        <f>IF(E32="","", IF(ISNUMBER('Quantification Tool R1'!$B$13),IF('Quantification Tool R1'!$B$13&gt;2.5,IF(OR('Quantification Tool R1'!$B$12="71h",'Quantification Tool R1'!$B$12="71i",'Quantification Tool R1'!$B$12="73a",'Quantification Tool R1'!$B$12="74a"),IF(E32&lt;=0.01,1,IF(OR('Quantification Tool R1'!$B$12="71h",'Quantification Tool R1'!$B$12="71i"),IF(E32&gt;0.37,0,ROUND(IF(E32&gt;0.03,'Reference Standards'!$AB$425*E32^2+'Reference Standards'!$AB$426*E32+'Reference Standards'!$AB$427,'Reference Standards'!$AF$426*E32+'Reference Standards'!$AF$427),2)),  IF('Quantification Tool R1'!$B$12="73a",IF(E32&gt;0.405,0,ROUND(IF(E32&gt;0.046,'Reference Standards'!$AC$425*E32^2+'Reference Standards'!$AC$426*E32+'Reference Standards'!$AC$427,'Reference Standards'!$AG$426*E32+'Reference Standards'!$AG$427),2)),IF('Quantification Tool R1'!$B$12="74a",IF(E32&gt;0.3,0,ROUND(IF(E32&gt;0.052,'Reference Standards'!$AD$425*E32^2+'Reference Standards'!$AD$426*E32+'Reference Standards'!$AD$427,'Reference Standards'!$AH$426*E32+'Reference Standards'!$AH$427),2)))))),   IF(E32&lt;=0.002,1,IF(OR('Quantification Tool R1'!$B$12="66d",'Quantification Tool R1'!$B$12="66e",'Quantification Tool R1'!$B$12="66g"),IF(E32&gt;0.053,0,ROUND(E32^2*'Reference Standards'!$AB$347+E32*'Reference Standards'!$AB$348+'Reference Standards'!$AB$349,2)), IF('Quantification Tool R1'!$B$12="68b",IF(E32&gt;0.05,0,ROUND(E32^2*'Reference Standards'!$AC$347+E32*'Reference Standards'!$AC$348+'Reference Standards'!$AC$349,2)),  IF(OR('Quantification Tool R1'!$B$12="68a",'Quantification Tool R1'!$B$12="68c"),IF(E32&gt;0.07,0,ROUND(E32^2*'Reference Standards'!$AD$347+E32*'Reference Standards'!$AD$348+'Reference Standards'!$AD$349,2)), IF(OR('Quantification Tool R1'!$B$12="71f",'Quantification Tool R1'!$B$12="71g"),IF(E32&gt;0.13,0,ROUND(IF(E32&gt;0.042,E32*'Reference Standards'!$AE$348+'Reference Standards'!$AE$349,E32*'Reference Standards'!$AF$348+'Reference Standards'!$AF$349),2)), IF('Quantification Tool R1'!$B$12="67fhi",IF(E32&gt;0.16,0,ROUND(E32^2*'Reference Standards'!$AG$347+E32*'Reference Standards'!$AG$348+'Reference Standards'!$AG$349,2)),  IF('Quantification Tool R1'!$B$12="65j",IF(E32&gt;0.035,0,ROUND(IF(E32&lt;=0.003,0.7,E32^2*'Reference Standards'!$AB$387+E32*'Reference Standards'!$AB$388+'Reference Standards'!$AB$389),2)),IF('Quantification Tool R1'!$B$12="69de",IF(E32&gt;0.037,0,ROUND(IF(E32&lt;=0.003,0.7,E32^2*'Reference Standards'!$AC$387+E32*'Reference Standards'!$AC$388+'Reference Standards'!$AC$389),2)),IF('Quantification Tool R1'!$B$12="71e",IF(E32&gt;0.23,0,ROUND(IF(E32&lt;=0.003,0.7,E32^2*'Reference Standards'!$AD$387+E32*'Reference Standards'!$AD$388+'Reference Standards'!$AD$389),2)),IF('Quantification Tool R1'!$B$12="66f",IF(E32&gt;0.06,0,ROUND(IF(E32&lt;=0.003,0.85,IF(E32&lt;=0.004,0.7,E32^2*'Reference Standards'!$AE$387+E32*'Reference Standards'!$AE$388+'Reference Standards'!$AE$389)),2)),IF('Quantification Tool R1'!$B$12="67g",IF(E32&gt;0.11,0,ROUND(IF(E32&lt;=0.01,E32*'Reference Standards'!$AH$388+'Reference Standards'!$AH$389, E32^2*'Reference Standards'!$AF$387+E32*'Reference Standards'!$AF$388+'Reference Standards'!$AF$389),2)),IF('Quantification Tool R1'!$B$12="74b",IF(E32&gt;0.49,0,ROUND(IF(E32&lt;=0.01,E32*'Reference Standards'!$AH$388+'Reference Standards'!$AH$389, E32^2*'Reference Standards'!$AG$387+E32*'Reference Standards'!$AG$388+'Reference Standards'!$AG$389),2)),IF('Quantification Tool R1'!$B$12="65abei",IF(E32&gt;0.199,0,ROUND(IF(E32&lt;=0.01,E32*'Reference Standards'!$AI$426+'Reference Standards'!$AI$427, E32^2*'Reference Standards'!$AE$425+E32*'Reference Standards'!$AE$426+'Reference Standards'!$AE$427),2))    )))))))))))))),      IF('Quantification Tool R1'!$B$13&lt;=2.5, IF(OR('Quantification Tool R1'!$B$12="66d",'Quantification Tool R1'!$B$12="66e",'Quantification Tool R1'!$B$12="66g"),IF(E32&gt;0.05,0,ROUND(IF(E32&lt;=0.002,1,IF(E32&lt;=0.005,E32*'Reference Standards'!$AF$464+'Reference Standards'!$AF$465, E32^2*'Reference Standards'!$AB$463+E32*'Reference Standards'!$AB$464+'Reference Standards'!$AB$465)),2)), IF('Quantification Tool R1'!$B$12="67fhi",IF(E32&gt;0.1,0,ROUND(IF(E32&lt;=0.002,1,IF(E32&lt;=0.006,E32*'Reference Standards'!$AG$464+'Reference Standards'!$AG$465, E32^2*'Reference Standards'!$AC$463+E32*'Reference Standards'!$AC$464+'Reference Standards'!$AC$465)),2)), IF('Quantification Tool R1'!$B$12="65abei",IF(E32&gt;0.13,0,ROUND(IF(E32&lt;=0.003,1,IF(E32&lt;=0.008,E32*'Reference Standards'!$AH$464+'Reference Standards'!$AH$465, E32^2*'Reference Standards'!$AD$463+E32*'Reference Standards'!$AD$464+'Reference Standards'!$AD$465)),2)), IF('Quantification Tool R1'!$B$12="68b",IF(E32&gt;0.043,0,ROUND(IF(E32&lt;=0.004,1, IF(E32&lt;=0.005,0.7, E32^2*'Reference Standards'!$AE$463+E32*'Reference Standards'!$AE$464+'Reference Standards'!$AE$465)),2)), IF('Quantification Tool R1'!$B$12="69de",IF(E32&gt;=0.034,0,ROUND(IF(E32&lt;=0.003,1, IF(E32&lt;=0.006,E32*'Reference Standards'!$AG$500+'Reference Standards'!$AG$501, E32*'Reference Standards'!$AB$500+'Reference Standards'!$AB$501)),2)), IF(OR('Quantification Tool R1'!$B$12="68a",'Quantification Tool R1'!$B$12="68c"),IF(E32&gt;0.202,0,ROUND(IF(E32&lt;=0.003,1, IF(E32&lt;=0.006,E32*'Reference Standards'!$AG$500+'Reference Standards'!$AG$501, IF(E32&gt;=0.04,E32*'Reference Standards'!$AC$500+'Reference Standards'!$AC$501,E32*'Reference Standards'!$AE$500+'Reference Standards'!$AE$501))),2)), IF(OR('Quantification Tool R1'!$B$12="71f",'Quantification Tool R1'!$B$12="71g"),IF(E32&gt;0.631,0,ROUND(IF(E32&lt;=0.003,1, IF(E32&lt;=0.006,E32*'Reference Standards'!$AG$500+'Reference Standards'!$AG$501, IF(E32&gt;=0.17,E32*'Reference Standards'!$AD$500+'Reference Standards'!$AD$501,E32*'Reference Standards'!$AF$500+'Reference Standards'!$AF$501))),2)),   IF('Quantification Tool R1'!$B$12="71e",IF(E32&gt;1.23,0,ROUND(IF(E32&lt;=0.004,1,IF(E32&lt;=0.006,E32*'Reference Standards'!$AF$538+'Reference Standards'!$AF$539, E32^2*'Reference Standards'!$AB$537+E32*'Reference Standards'!$AB$538+'Reference Standards'!$AB$539)),2)), IF('Quantification Tool R1'!$B$12="67g",IF(E32&gt;0.11,0,ROUND(IF(E32&lt;=0.006,1,IF(E32&lt;=0.011,E32*'Reference Standards'!$AG$538+'Reference Standards'!$AG$539, E32^2*'Reference Standards'!$AC$537+E32*'Reference Standards'!$AC$538+'Reference Standards'!$AC$539)),2)), IF('Quantification Tool R1'!$B$12="65j",IF(E32&gt;0.046,0,ROUND(IF(E32&lt;=0.007,1,IF(E32&lt;=0.012,E32*'Reference Standards'!$AH$538+'Reference Standards'!$AH$539, E32^2*'Reference Standards'!$AD$537+E32*'Reference Standards'!$AD$538+'Reference Standards'!$AD$539)),2)), IF('Quantification Tool R1'!$B$12="66f",IF(E32&gt;0.081,0,ROUND(IF(E32&lt;=0.008,1,IF(E32&lt;=0.011,E32*'Reference Standards'!$AI$538+'Reference Standards'!$AI$539, E32^2*'Reference Standards'!$AE$537+E32*'Reference Standards'!$AE$538+'Reference Standards'!$AE$539)),2)), IF(OR('Quantification Tool R1'!$B$12="71h",'Quantification Tool R1'!$B$12="71i"),IF(E32&gt;0.37,0,ROUND(IF(E32&lt;=0.013,1,IF(E32&lt;=0.032,E32*'Reference Standards'!$AH$576+'Reference Standards'!$AH$577, IF(E32&lt;=0.3,E32*'Reference Standards'!$AF$576+'Reference Standards'!$AF$577,E32*'Reference Standards'!$AB$576+'Reference Standards'!$AB$577))),2)), IF('Quantification Tool R1'!$B$12="73a",IF(E32&gt;0.448,0,ROUND(IF(E32&lt;=0.071,1,IF(E32&lt;=0.086,E32*'Reference Standards'!$AJ$576+'Reference Standards'!$AJ$577, IF(E32&lt;=0.165,E32*'Reference Standards'!$AG$576+'Reference Standards'!$AG$577,E32*'Reference Standards'!$AE$576+'Reference Standards'!$AE$577))),2)),  IF('Quantification Tool R1'!$B$12="74b",IF(E32&gt;0.43,0,ROUND(IF(E32&lt;=0.018,1,IF(E32&lt;=0.019,0.85, IF(E32&lt;=0.02,0.7, E32^2*'Reference Standards'!$AC$575+E32*'Reference Standards'!$AC$576+'Reference Standards'!$AC$577))),2)), IF('Quantification Tool R1'!$B$12="74a",IF(E32&gt;0.217,0,ROUND(IF(E32&lt;=0.02,1,IF(E32&lt;=0.033,E32*'Reference Standards'!$AI$576+'Reference Standards'!$AI$577, E32^2*'Reference Standards'!$AD$575+E32*'Reference Standards'!$AD$576+'Reference Standards'!$AD$577)),2))     )))))))))))))))))))</f>
        <v/>
      </c>
      <c r="G32" s="87" t="str">
        <f>IFERROR(AVERAGE(F32),"")</f>
        <v/>
      </c>
      <c r="H32" s="549"/>
      <c r="I32" s="536"/>
      <c r="J32" s="645"/>
      <c r="K32" s="645"/>
      <c r="L32" s="21"/>
      <c r="O32" s="19"/>
    </row>
    <row r="33" spans="1:15" ht="15.6" x14ac:dyDescent="0.3">
      <c r="A33" s="550" t="s">
        <v>59</v>
      </c>
      <c r="B33" s="550" t="s">
        <v>340</v>
      </c>
      <c r="C33" s="125" t="s">
        <v>331</v>
      </c>
      <c r="D33" s="126"/>
      <c r="E33" s="166"/>
      <c r="F33" s="345" t="str">
        <f>IF(E33="","",IF(OR('Quantification Tool R1'!B$12="73a",'Quantification Tool R1'!B$12="73b"),IF(E33&lt;1,0,IF(E33&gt;=30,1,ROUND(IF(E33&lt;22,'Reference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582" t="str">
        <f>IFERROR(AVERAGE(F33:F36),"")</f>
        <v/>
      </c>
      <c r="H33" s="582" t="str">
        <f>IFERROR(ROUND(AVERAGE(G33:G38),2),"")</f>
        <v/>
      </c>
      <c r="I33" s="534" t="str">
        <f>IF(H33="","",IF(H33&gt;0.69,"Functioning",IF(H33&gt;0.29,"Functioning At Risk",IF(H33&gt;-1,"Not Functioning"))))</f>
        <v/>
      </c>
      <c r="J33" s="645"/>
      <c r="K33" s="645"/>
      <c r="L33" s="21"/>
      <c r="O33" s="19"/>
    </row>
    <row r="34" spans="1:15" ht="15.6" x14ac:dyDescent="0.3">
      <c r="A34" s="556"/>
      <c r="B34" s="556"/>
      <c r="C34" s="174" t="s">
        <v>335</v>
      </c>
      <c r="D34" s="175"/>
      <c r="E34" s="165"/>
      <c r="F34" s="346" t="str">
        <f>IF(E34="","",IF(AND('Quantification Tool R1'!$B$12="74b",'Quantification Tool R1'!$B$13&lt;=2),IF(E34&lt;0,0,IF(E34&gt;15.6,0.69,ROUND('Reference Standards'!$AL$54*E34^2+'Reference Standards'!$AL$55*E34+'Reference Standards'!$AL$56,2))),IF(AND('Quantification Tool R1'!$B$12="65abei",'Quantification Tool R1'!$B$13&lt;=2),IF(E34&lt;0,0,IF(E34&gt;=20,0.69,ROUND('Reference Standards'!$AM$54*E34^2+'Reference Standards'!$AM$55*E34+'Reference Standards'!$AM$56,2))),IF(OR(AND('Quantification Tool R1'!$B$12="74a",'Quantification Tool R1'!$B$13&gt;2,'Quantification Tool R1'!$B$19="January - June"),AND('Quantification Tool R1'!$B$12="71i",'Quantification Tool R1'!$B$13&gt;2,'Quantification Tool R1'!$B$20="SQBANK")),IF(E34&lt;0,0,IF(E34&gt;24.7,0.69,ROUND('Reference Standards'!$AN$54*E34^2+'Reference Standards'!$AN$55*E34+'Reference Standards'!$AN$56,2))),IF(OR('Quantification Tool R1'!$B$12="74b",'Quantification Tool R1'!$B$12="65abei"),IF(E34&lt;0,0,IF(E34&gt;32.7,0.69,ROUND('Reference Standards'!$AO$54*E34^2+'Reference Standards'!$AO$55*E34+'Reference Standards'!$AO$56,2))),IF(AND('Quantification Tool R1'!$B$12="68b",'Quantification Tool R1'!$B$13&gt;2),IF(E34&lt;0,0,IF(E34&gt;41.2,0.69,ROUND('Reference Standards'!$AP$54*E34^2+'Reference Standards'!$AP$55*E34+'Reference Standards'!$AP$56,2))),IF(OR(AND('Quantification Tool R1'!$B$12="71i",'Quantification Tool R1'!$B$13&lt;=2),AND(OR('Quantification Tool R1'!$B$12="68c",'Quantification Tool R1'!$B$12="68d"),'Quantification Tool R1'!$B$19="January - June")),IF(E34&lt;0,0,IF(E34&gt;49.2,0.69,ROUND('Reference Standards'!$AL$94*E34^2+'Reference Standards'!$AL$95*E34+'Reference Standards'!$AL$96,2))),IF(OR(AND('Quantification Tool R1'!$B$12="68a",'Quantification Tool R1'!$B$19="January - June"),AND(OR('Quantification Tool R1'!$B$12="68c",'Quantification Tool R1'!$B$12="68d"),'Quantification Tool R1'!$B$19="July - December")),IF(E34&lt;0,0,IF(E34&gt;53.4,0.69,ROUND('Reference Standards'!$AM$94*E34^2+'Reference Standards'!$AM$95*E34+'Reference Standards'!$AM$96,2))),IF(OR(AND('Quantification Tool R1'!$B$12="71i",'Quantification Tool R1'!$B$13&gt;2,'Quantification Tool R1'!$B$20="SQKICK"),AND(OR('Quantification Tool R1'!$B$12="67fhi",'Quantification Tool R1'!$B$12="67g"),'Quantification Tool R1'!$B$13&lt;=2),'Quantification Tool R1'!$B$12="65j"),IF(E34&lt;0,0,IF(E34&gt;57.8,0.69,ROUND('Reference Standards'!$AN$94*E34^2+'Reference Standards'!$AN$95*E34+'Reference Standards'!$AN$96,2))),IF(OR(AND('Quantification Tool R1'!$B$12="74a",'Quantification Tool R1'!$B$13&gt;2,'Quantification Tool R1'!$B$19="July - December"),AND(OR('Quantification Tool R1'!$B$12="67fhi",'Quantification Tool R1'!$B$12="67g"),'Quantification Tool R1'!$B$13&gt;2),'Quantification Tool R1'!$B$12="69de"),IF(E34&lt;0,0,IF(E34&gt;62.5,0.69,ROUND('Reference Standards'!$AO$94*E34^2+'Reference Standards'!$AO$95*E34+'Reference Standards'!$AO$96,2))),  IF(OR('Quantification Tool R1'!$B$12="66d",'Quantification Tool R1'!$B$12="66e",'Quantification Tool R1'!$B$12="66ik",'Quantification Tool R1'!$B$12="71e",'Quantification Tool R1'!$B$12="71f",'Quantification Tool R1'!$B$12="71g",'Quantification Tool R1'!$B$12="71h"),IF(E34&lt;0,0,IF(E34&gt;66.5,0.69,ROUND('Reference Standards'!$AP$94*E34^2+'Reference Standards'!$AP$95*E34+'Reference Standards'!$AP$96,2))),IF(OR('Quantification Tool R1'!$B$12="66f",'Quantification Tool R1'!$B$12="66g",'Quantification Tool R1'!$B$12="66j",AND('Quantification Tool R1'!$B$12="68a",'Quantification Tool R1'!$B$19="July - December")), IF(E34&lt;0,0,IF(E34&gt;69,0.69,ROUND('Reference Standards'!$AQ$94*E34^2+'Reference Standards'!$AQ$95*E34+'Reference Standards'!$AQ$96,2))))   )))))))))))</f>
        <v/>
      </c>
      <c r="G34" s="584"/>
      <c r="H34" s="584"/>
      <c r="I34" s="535"/>
      <c r="J34" s="645"/>
      <c r="K34" s="645"/>
      <c r="L34" s="21"/>
      <c r="O34" s="19"/>
    </row>
    <row r="35" spans="1:15" ht="15.6" x14ac:dyDescent="0.3">
      <c r="A35" s="556"/>
      <c r="B35" s="556"/>
      <c r="C35" s="174" t="s">
        <v>339</v>
      </c>
      <c r="D35" s="175"/>
      <c r="E35" s="165"/>
      <c r="F35" s="346" t="str">
        <f>IF(E35="","",IF(AND('Quantification Tool R1'!$B$12="74b",'Quantification Tool R1'!$B$13&lt;=2),IF(E35&lt;0,0,IF(E35&gt;8.1,0.69,ROUND('Reference Standards'!$AL$131*E35^2+'Reference Standards'!$AL$132*E35+'Reference Standards'!$AL$133,2))),IF(OR('Quantification Tool R1'!$B$12="73a",'Quantification Tool R1'!$B$12="73b"),IF(E35&lt;0,0,IF(E35&gt;=28,0.69,ROUND('Reference Standards'!$AM$131*E35^2+'Reference Standards'!$AM$132*E35+'Reference Standards'!$AM$133,2))),IF(AND('Quantification Tool R1'!$B$12="74a",'Quantification Tool R1'!$B$13&gt;2,'Quantification Tool R1'!$B$19="January - June"),IF(E35&lt;0,0,IF(E35&gt;=32.5,0.69,ROUND('Reference Standards'!$AN$131*E35^2+'Reference Standards'!$AN$132*E35+'Reference Standards'!$AN$133,2))),IF(AND('Quantification Tool R1'!$B$12="71i",'Quantification Tool R1'!$B$13&gt;2,'Quantification Tool R1'!$B$20="SQBANK"),IF(E35&lt;0,0,IF(E35&gt;=37,0.69,ROUND('Reference Standards'!$AO$131*E35^2+'Reference Standards'!$AO$132*E35+'Reference Standards'!$AO$133,2))),IF(OR(AND(OR('Quantification Tool R1'!$B$12="65abei",'Quantification Tool R1'!$B$12="74b"),'Quantification Tool R1'!$B$13&gt;2),AND('Quantification Tool R1'!$B$12="71i",'Quantification Tool R1'!$B$13&gt;2,'Quantification Tool R1'!$B$20="SQKICK")),IF(E35&lt;0,0,IF(E35&gt;42.6,0.69,ROUND('Reference Standards'!$AP$131*E35^2+'Reference Standards'!$AP$132*E35+'Reference Standards'!$AP$133,2))),     IF(OR(AND('Quantification Tool R1'!$B$12="65abei",'Quantification Tool R1'!$B$13&lt;=2),AND(OR('Quantification Tool R1'!$B$12="68c",'Quantification Tool R1'!$B$12="68d"),'Quantification Tool R1'!$B$19="July - December"),'Quantification Tool R1'!$B$12="71e"),IF(E35&lt;0,0,IF(E35&gt;=48,0.69,ROUND('Reference Standards'!$AL$171*E35^2+'Reference Standards'!$AL$172*E35+'Reference Standards'!$AL$173,2))),IF(OR('Quantification Tool R1'!$B$12="65j",'Quantification Tool R1'!$B$12="67fhi",'Quantification Tool R1'!$B$12="67g",AND('Quantification Tool R1'!$B$12="74a",'Quantification Tool R1'!$B$19="July - December",'Quantification Tool R1'!$B$13&gt;2),AND('Quantification Tool R1'!$B$12="71i",'Quantification Tool R1'!$B$13&lt;=2)),IF(E35&lt;0,0,IF(E35&gt;=53,0.69,ROUND('Reference Standards'!$AM$171*E35^2+'Reference Standards'!$AM$172*E35+'Reference Standards'!$AM$173,2))),IF(OR(AND(OR('Quantification Tool R1'!$B$12="68b",'Quantification Tool R1'!$B$12="71f",'Quantification Tool R1'!$B$12="71g",'Quantification Tool R1'!$B$12="71h"),'Quantification Tool R1'!$B$13&gt;2),'Quantification Tool R1'!$B$12="68a"),IF(E35&lt;0,0,IF(E35&gt;=57,0.69,ROUND('Reference Standards'!$AN$171*E35^2+'Reference Standards'!$AN$172*E35+'Reference Standards'!$AN$173,2))),IF(OR('Quantification Tool R1'!$B$12="66f",'Quantification Tool R1'!$B$12="66g",'Quantification Tool R1'!$B$12="66j",AND(OR('Quantification Tool R1'!$B$12="71f",'Quantification Tool R1'!$B$12="71g",'Quantification Tool R1'!$B$12="71h"),'Quantification Tool R1'!$B$13&lt;=2)),IF(E35&lt;0,0,IF(E35&gt;=60,0.69,ROUND('Reference Standards'!$AO$171*E35^2+'Reference Standards'!$AO$172*E35+'Reference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December")),IF(E35&lt;0,0,IF(E35&gt;=67.5,0.69,ROUND('Reference Standards'!$AP$171*E35^2+'Reference Standards'!$AP$172*E35+'Reference Standards'!$AP$173,2))),IF(AND('Quantification Tool R1'!$B$12="69de",'Quantification Tool R1'!$B$19="January - June"), IF(E35&lt;0,0,IF(E35&gt;=72,0.69,ROUND('Reference Standards'!$AQ$171*E35^2+'Reference Standards'!$AQ$172*E35+'Reference Standards'!$AQ$173,2))))   )))))))))))</f>
        <v/>
      </c>
      <c r="G35" s="584"/>
      <c r="H35" s="584"/>
      <c r="I35" s="535"/>
      <c r="J35" s="645"/>
      <c r="K35" s="645"/>
      <c r="L35" s="21"/>
      <c r="O35" s="19"/>
    </row>
    <row r="36" spans="1:15" ht="15.6" x14ac:dyDescent="0.3">
      <c r="A36" s="556"/>
      <c r="B36" s="551"/>
      <c r="C36" s="127" t="s">
        <v>336</v>
      </c>
      <c r="D36" s="71"/>
      <c r="E36" s="167"/>
      <c r="F36" s="346" t="str">
        <f>IF(E36="","",IF(OR('Quantification Tool R1'!$B$12="67fhi",'Quantification Tool R1'!$B$12="67g",'Quantification Tool R1'!$B$12="71e",'Quantification Tool R1'!$B$12="73a",'Quantification Tool R1'!$B$12="73b",AND(OR('Quantification Tool R1'!$B$12="71f",'Quantification Tool R1'!$B$12="71g",'Quantification Tool R1'!$B$12="71h"),'Quantification Tool R1'!$B$13&gt;2)),IF(E36&gt;100,0,IF(E36&lt;15,0.69,ROUND('Reference Standards'!$AL$208*E36^2+'Reference Standards'!$AL$209*E36+'Reference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),IF(E36&gt;100,0,IF(E36&lt;19,0.69,ROUND('Reference Standards'!$AM$208*E36^2+'Reference Standards'!$AM$209*E36+'Reference Standards'!$AM$210,2))),    IF(OR(AND('Quantification Tool R1'!$B$12="69de",'Quantification Tool R1'!$B$19="January - June"),AND('Quantification Tool R1'!$B$12="71i",'Quantification Tool R1'!$B$13&gt;2,'Quantification Tool R1'!$B$20="SQKICK" )),IF(E36&gt;100,0,IF(E36&lt;22,0.69,ROUND('Reference Standards'!$AN$208*E36^2+'Reference Standards'!$AN$209*E36+'Reference Standards'!$AN$210,2))),    IF(OR('Quantification Tool R1'!$B$12="65j",AND('Quantification Tool R1'!$B$12="68b",'Quantification Tool R1'!$B$13&gt;2)),IF(E36&gt;100,0,IF(E36&lt;24,0.69,ROUND('Reference Standards'!$AO$208*E36^2+'Reference Standards'!$AO$209*E36+'Reference Standards'!$AO$210,2))),    IF(AND(OR('Quantification Tool R1'!$B$12="65abei",'Quantification Tool R1'!$B$12="71f",'Quantification Tool R1'!$B$12="71g",'Quantification Tool R1'!$B$12="71h"),'Quantification Tool R1'!$B$13&lt;=2),IF(E36&gt;95,0,IF(E36&lt;33,0.69,ROUND('Reference Standards'!$AL$246*E36^2+'Reference Standards'!$AL$247*E36+'Reference Standards'!$AL$248,2))),   IF(AND(OR('Quantification Tool R1'!$B$12="65abei",'Quantification Tool R1'!$B$12="74b"),'Quantification Tool R1'!$B$13&gt;2),IF(E36&gt;97,0,IF(E36&lt;36,0.69,ROUND('Reference Standards'!$AM$246*E36^2+'Reference Standards'!$AM$247*E36+'Reference Standards'!$AM$248,2))),  IF(AND('Quantification Tool R1'!$B$12="74a",'Quantification Tool R1'!$B$19="January - June",'Quantification Tool R1'!$B$13&gt;2),IF(E36&gt;93,0,IF(E36&lt;52,0.69,ROUND('Reference Standards'!$AN$246*E36^2+'Reference Standards'!$AN$247*E36+'Reference Standards'!$AN$248,2))),   IF(AND('Quantification Tool R1'!$B$12="74b",'Quantification Tool R1'!$B$13&lt;=2),IF(E36&gt;97,0,IF(E36&lt;62,0.69,ROUND('Reference Standards'!$AO$246*E36^2+'Reference Standards'!$AO$247*E36+'Reference Standards'!$AO$248,2)))  )))))))))</f>
        <v/>
      </c>
      <c r="G36" s="583"/>
      <c r="H36" s="584"/>
      <c r="I36" s="535"/>
      <c r="J36" s="645"/>
      <c r="K36" s="645"/>
      <c r="L36" s="21"/>
      <c r="O36" s="19"/>
    </row>
    <row r="37" spans="1:15" ht="15.6" x14ac:dyDescent="0.3">
      <c r="A37" s="556"/>
      <c r="B37" s="550" t="s">
        <v>74</v>
      </c>
      <c r="C37" s="125" t="s">
        <v>211</v>
      </c>
      <c r="D37" s="126"/>
      <c r="E37" s="166"/>
      <c r="F37" s="345" t="str">
        <f>IF(E37="","",IF(E37=1,0.15,IF(E37=3,0.5,IF(E37=5,0.85,0))))</f>
        <v/>
      </c>
      <c r="G37" s="582" t="str">
        <f>IFERROR(AVERAGE(F37:F38),"")</f>
        <v/>
      </c>
      <c r="H37" s="584"/>
      <c r="I37" s="535"/>
      <c r="J37" s="645"/>
      <c r="K37" s="645"/>
      <c r="L37" s="21"/>
    </row>
    <row r="38" spans="1:15" ht="15.6" x14ac:dyDescent="0.3">
      <c r="A38" s="551"/>
      <c r="B38" s="551"/>
      <c r="C38" s="127" t="s">
        <v>332</v>
      </c>
      <c r="D38" s="71"/>
      <c r="E38" s="167"/>
      <c r="F38" s="347" t="str">
        <f>IF(E38="","",IF(E38=1,0.15,IF(E38=3,0.5,IF(E38=5,0.85,0))))</f>
        <v/>
      </c>
      <c r="G38" s="583"/>
      <c r="H38" s="583"/>
      <c r="I38" s="536"/>
      <c r="J38" s="570"/>
      <c r="K38" s="570"/>
      <c r="L38" s="21"/>
    </row>
    <row r="39" spans="1:15" x14ac:dyDescent="0.3">
      <c r="J39" s="317"/>
      <c r="K39" s="317"/>
      <c r="L39" s="21"/>
    </row>
    <row r="40" spans="1:15" ht="21" x14ac:dyDescent="0.4">
      <c r="A40" s="148" t="s">
        <v>135</v>
      </c>
      <c r="B40" s="246">
        <v>2</v>
      </c>
      <c r="C40" s="249" t="s">
        <v>324</v>
      </c>
      <c r="D40" s="246"/>
      <c r="E40" s="247"/>
      <c r="F40" s="248"/>
      <c r="G40" s="544" t="s">
        <v>18</v>
      </c>
      <c r="H40" s="545"/>
      <c r="I40" s="545"/>
      <c r="J40" s="545"/>
      <c r="K40" s="546"/>
      <c r="L40" s="21"/>
    </row>
    <row r="41" spans="1:15" ht="15.6" x14ac:dyDescent="0.3">
      <c r="A41" s="158" t="s">
        <v>1</v>
      </c>
      <c r="B41" s="158" t="s">
        <v>2</v>
      </c>
      <c r="C41" s="542" t="s">
        <v>3</v>
      </c>
      <c r="D41" s="644"/>
      <c r="E41" s="158" t="s">
        <v>15</v>
      </c>
      <c r="F41" s="158" t="s">
        <v>16</v>
      </c>
      <c r="G41" s="158" t="s">
        <v>19</v>
      </c>
      <c r="H41" s="158" t="s">
        <v>20</v>
      </c>
      <c r="I41" s="314" t="s">
        <v>20</v>
      </c>
      <c r="J41" s="314" t="s">
        <v>21</v>
      </c>
      <c r="K41" s="315" t="s">
        <v>21</v>
      </c>
    </row>
    <row r="42" spans="1:15" ht="15.6" x14ac:dyDescent="0.3">
      <c r="A42" s="540" t="s">
        <v>60</v>
      </c>
      <c r="B42" s="308" t="s">
        <v>86</v>
      </c>
      <c r="C42" s="52" t="s">
        <v>388</v>
      </c>
      <c r="D42" s="52"/>
      <c r="E42" s="162"/>
      <c r="F42" s="338" t="str">
        <f>IF(E42="","",IF(E42&lt;=0,0,IF(E42&gt;=0.95,1,ROUND('Reference Standards'!C$14*E42+'Reference Standards'!C$15,2))))</f>
        <v/>
      </c>
      <c r="G42" s="83" t="str">
        <f>IFERROR(AVERAGE(F42),"")</f>
        <v/>
      </c>
      <c r="H42" s="522" t="str">
        <f>IFERROR(ROUND(AVERAGE(G42:G43),2),"")</f>
        <v/>
      </c>
      <c r="I42" s="519" t="str">
        <f>IF(H42="","",IF(H42&gt;0.69,"Functioning",IF(H42&gt;0.29,"Functioning At Risk",IF(H42&gt;-1,"Not Functioning"))))</f>
        <v/>
      </c>
      <c r="J42" s="555" t="str">
        <f>IF(AND(H42="",H44="",H46="",H68="",H72=""),"",ROUND((IF(H42="",0,H42)*0.2)+(IF(H44="",0,H44)*0.2)+(IF(H46="",0,H46)*0.2)+(IF(H68="",0,H68)*0.2)+(IF(H72="",0,H72)*0.2),2))</f>
        <v/>
      </c>
      <c r="K42" s="555" t="str">
        <f>IF(J42="","",IF(J42&lt;0.3, "Not Functioning",IF(OR(H42&lt;0.7,H44&lt;0.7,H46&lt;0.7,H68&lt;0.7,H72&lt;0.7),"Functioning At Risk",IF(J42&lt;0.7,"Functioning At Risk","Functioning"))))</f>
        <v/>
      </c>
    </row>
    <row r="43" spans="1:15" ht="15.6" x14ac:dyDescent="0.3">
      <c r="A43" s="541"/>
      <c r="B43" s="371" t="s">
        <v>128</v>
      </c>
      <c r="C43" s="373" t="s">
        <v>161</v>
      </c>
      <c r="D43" s="374"/>
      <c r="E43" s="43"/>
      <c r="F43" s="372" t="str">
        <f>IF(E43="","",IF(E43&gt;=1,1,IF(E43&lt;=0,0,ROUND(E43,2))))</f>
        <v/>
      </c>
      <c r="G43" s="367" t="str">
        <f>IFERROR(AVERAGE(F43:F43),"")</f>
        <v/>
      </c>
      <c r="H43" s="523"/>
      <c r="I43" s="519"/>
      <c r="J43" s="555"/>
      <c r="K43" s="555"/>
    </row>
    <row r="44" spans="1:15" ht="15.6" x14ac:dyDescent="0.3">
      <c r="A44" s="524" t="s">
        <v>6</v>
      </c>
      <c r="B44" s="572" t="s">
        <v>7</v>
      </c>
      <c r="C44" s="54" t="s">
        <v>8</v>
      </c>
      <c r="D44" s="54"/>
      <c r="E44" s="162"/>
      <c r="F44" s="339" t="str">
        <f>IF(E44="","",ROUND(IF(E44&gt;1.6,0,IF(E44&lt;=1,1,E44^2*'Reference Standards'!K$14+E44*'Reference Standards'!K$15+'Reference Standards'!K$16)),2))</f>
        <v/>
      </c>
      <c r="G44" s="579" t="str">
        <f>IFERROR(AVERAGE(F44:F45),"")</f>
        <v/>
      </c>
      <c r="H44" s="579" t="str">
        <f>IFERROR(ROUND(AVERAGE(G44),2),"")</f>
        <v/>
      </c>
      <c r="I44" s="569" t="str">
        <f>IF(H44="","",IF(H44&gt;0.69,"Functioning",IF(H44&gt;0.29,"Functioning At Risk",IF(H44&gt;-1,"Not Functioning"))))</f>
        <v/>
      </c>
      <c r="J44" s="555"/>
      <c r="K44" s="555"/>
    </row>
    <row r="45" spans="1:15" ht="15.6" x14ac:dyDescent="0.3">
      <c r="A45" s="525"/>
      <c r="B45" s="572"/>
      <c r="C45" s="54" t="s">
        <v>9</v>
      </c>
      <c r="D45" s="54"/>
      <c r="E45" s="163"/>
      <c r="F45" s="339" t="str">
        <f>IF(E45="","",(IF(OR('Quantification Tool R1'!B$11="A",'Quantification Tool R1'!B$11="B",'Quantification Tool R1'!$B$11="Bc"),IF(E45&lt;1.2,0,IF(E45&gt;=2.2,1,ROUND(IF(E45&lt;1.4,E45*'Reference Standards'!$K$84+'Reference Standards'!$K$85,E45*'Reference Standards'!$L$84+'Reference Standards'!$L$85),2))),IF(OR('Quantification Tool R1'!B$11="C",'Quantification Tool R1'!B$11="E"),IF(E45&lt;2,0,IF(E45&gt;=5,1,ROUND(IF(E45&lt;2.4,E45*'Reference Standards'!$L$49+'Reference Standards'!$L$50,E45*'Reference Standards'!$K$49+'Reference Standards'!$K$50),2)))))))</f>
        <v/>
      </c>
      <c r="G45" s="581"/>
      <c r="H45" s="580"/>
      <c r="I45" s="570"/>
      <c r="J45" s="555"/>
      <c r="K45" s="555"/>
    </row>
    <row r="46" spans="1:15" ht="15.6" x14ac:dyDescent="0.3">
      <c r="A46" s="526" t="s">
        <v>26</v>
      </c>
      <c r="B46" s="557" t="s">
        <v>27</v>
      </c>
      <c r="C46" s="60" t="s">
        <v>333</v>
      </c>
      <c r="D46" s="244"/>
      <c r="E46" s="61"/>
      <c r="F46" s="340" t="str">
        <f>IF(E46="","",IF(OR(LEFT('Quantification Tool R1'!$B$12,2)="65",LEFT('Quantification Tool R1'!$B$12,2)="66",LEFT('Quantification Tool R1'!$B$12,2)="71"),IF(E46&gt;=850,1,IF(E46&lt;250,ROUND('Reference Standards'!$S$17*(E46)+'Reference Standards'!$S$18,2),ROUND('Reference Standards'!$T$17*E46+'Reference Standards'!$T$18,2))),  IF(E46&gt;=345,1,IF(E46&lt;=180,ROUND('Reference Standards'!$U$17*(E46)+'Reference Standards'!$U$18,2),ROUND('Reference Standards'!$V$17*E46+'Reference Standards'!$V$18,2))))    )</f>
        <v/>
      </c>
      <c r="G46" s="528" t="str">
        <f>IFERROR(AVERAGE(F46:F47),"")</f>
        <v/>
      </c>
      <c r="H46" s="566" t="str">
        <f>IFERROR(ROUND(AVERAGE(G46:G67),2),"")</f>
        <v/>
      </c>
      <c r="I46" s="555" t="str">
        <f>IF(H46="","",IF(H46&gt;0.69,"Functioning",IF(H46&gt;0.29,"Functioning At Risk",IF(H46&gt;-1,"Not Functioning"))))</f>
        <v/>
      </c>
      <c r="J46" s="555"/>
      <c r="K46" s="555"/>
    </row>
    <row r="47" spans="1:15" ht="15.6" x14ac:dyDescent="0.3">
      <c r="A47" s="520"/>
      <c r="B47" s="558"/>
      <c r="C47" s="63" t="s">
        <v>323</v>
      </c>
      <c r="D47" s="245"/>
      <c r="E47" s="53"/>
      <c r="F47" s="341" t="str">
        <f>IF(E47="","",IF(OR(LEFT('Quantification Tool R1'!$B$12,2)="65",LEFT('Quantification Tool R1'!$B$12,2)="66",LEFT('Quantification Tool R1'!$B$12,2)="71"),IF(E47&gt;=30,1,IF(E47&lt;13,ROUND('Reference Standards'!$S$53*(E47)+'Reference Standards'!$S$54,2),ROUND('Reference Standards'!$T$53*E47+'Reference Standards'!$T$54,2))),  IF(E47&gt;=16,1,IF(E47&lt;=9,ROUND('Reference Standards'!$U$53*(E47)+'Reference Standards'!$U$54,2),ROUND('Reference Standards'!$V$53*E47+'Reference Standards'!$V$54,2))))    )</f>
        <v/>
      </c>
      <c r="G47" s="530"/>
      <c r="H47" s="566"/>
      <c r="I47" s="555"/>
      <c r="J47" s="555"/>
      <c r="K47" s="555"/>
    </row>
    <row r="48" spans="1:15" ht="15.6" x14ac:dyDescent="0.3">
      <c r="A48" s="520"/>
      <c r="B48" s="520" t="s">
        <v>395</v>
      </c>
      <c r="C48" s="58" t="s">
        <v>80</v>
      </c>
      <c r="D48" s="58"/>
      <c r="E48" s="165"/>
      <c r="F48" s="340" t="str">
        <f>IF(E48="","",ROUND(IF(E48&gt;0.7,0,IF(E48&lt;=0.1,1,E48^3*'Reference Standards'!S$87+E48^2*'Reference Standards'!S$88+E48*'Reference Standards'!S$89+'Reference Standards'!S$90)),2))</f>
        <v/>
      </c>
      <c r="G48" s="528" t="str">
        <f>IFERROR(ROUND(AVERAGE(F48:F51),2),"")</f>
        <v/>
      </c>
      <c r="H48" s="567"/>
      <c r="I48" s="555"/>
      <c r="J48" s="555"/>
      <c r="K48" s="555"/>
    </row>
    <row r="49" spans="1:13" ht="15.6" x14ac:dyDescent="0.3">
      <c r="A49" s="520"/>
      <c r="B49" s="520"/>
      <c r="C49" s="58" t="s">
        <v>49</v>
      </c>
      <c r="D49" s="58"/>
      <c r="E49" s="165"/>
      <c r="F49" s="84" t="str">
        <f>IF(E49="","",IF(OR(E49="Ex/Ex",E49="Ex/VH"),0, IF(OR(E49="Ex/H",E49="VH/Ex",E49="VH/VH", E49="H/Ex",E49="H/VH",E49="M/Ex"),0.1,IF(OR(E49="Ex/M",E49="VH/H",E49="H/H", E49="M/VH"),0.2, IF(OR(E49="Ex/L",E49="VH/M",E49="H/M", E49="M/H",E49="L/Ex"),0.3, IF(OR(E49="Ex/VL",E49="VH/L",E49="H/L"),0.4, IF(OR(E49="VH/VL",E49="H/VL",E49="M/M", E49="L/VH"),0.5, IF(OR(E49="M/L",E49="L/H"),0.6, IF(OR(E49="M/VL",E49="L/M"),0.7, IF(OR(E49="L/L",E49="L/VL"),1))))))))))</f>
        <v/>
      </c>
      <c r="G49" s="529"/>
      <c r="H49" s="567"/>
      <c r="I49" s="555"/>
      <c r="J49" s="555"/>
      <c r="K49" s="555"/>
    </row>
    <row r="50" spans="1:13" ht="15.6" x14ac:dyDescent="0.3">
      <c r="A50" s="520"/>
      <c r="B50" s="520"/>
      <c r="C50" s="58" t="s">
        <v>87</v>
      </c>
      <c r="D50" s="58"/>
      <c r="E50" s="165"/>
      <c r="F50" s="84" t="str">
        <f>IF(E50="","",ROUND(IF(E50&gt;40,0,IF(E50&lt;5,1,E50^3*'Reference Standards'!S$122+E50^2*'Reference Standards'!S$123+E50*'Reference Standards'!S$124+'Reference Standards'!S$125)),2))</f>
        <v/>
      </c>
      <c r="G50" s="529"/>
      <c r="H50" s="567"/>
      <c r="I50" s="555"/>
      <c r="J50" s="555"/>
      <c r="K50" s="555"/>
    </row>
    <row r="51" spans="1:13" ht="15.6" x14ac:dyDescent="0.3">
      <c r="A51" s="520"/>
      <c r="B51" s="521"/>
      <c r="C51" s="59" t="s">
        <v>394</v>
      </c>
      <c r="D51" s="59"/>
      <c r="E51" s="167"/>
      <c r="F51" s="341" t="str">
        <f>IF(E51="","",ROUND(IF(E51&gt;=30,0,IF(E51&lt;=0,1,E51*'Reference Standards'!S$156+'Reference Standards'!S$157)),2))</f>
        <v/>
      </c>
      <c r="G51" s="530"/>
      <c r="H51" s="567"/>
      <c r="I51" s="555"/>
      <c r="J51" s="555"/>
      <c r="K51" s="555"/>
    </row>
    <row r="52" spans="1:13" ht="15.6" x14ac:dyDescent="0.3">
      <c r="A52" s="520"/>
      <c r="B52" s="520" t="s">
        <v>50</v>
      </c>
      <c r="C52" s="60" t="s">
        <v>377</v>
      </c>
      <c r="D52" s="64"/>
      <c r="E52" s="136"/>
      <c r="F52" s="294" t="str">
        <f>IF(E52="","",ROUND(IF(E52&gt;9.2,1,E52*'Reference Standards'!$S$189+'Reference Standards'!$S$190),2))</f>
        <v/>
      </c>
      <c r="G52" s="552" t="str">
        <f>IFERROR(ROUND(AVERAGE(F52:F61),2),"")</f>
        <v/>
      </c>
      <c r="H52" s="567"/>
      <c r="I52" s="555"/>
      <c r="J52" s="555"/>
      <c r="K52" s="555"/>
    </row>
    <row r="53" spans="1:13" ht="15.6" x14ac:dyDescent="0.3">
      <c r="A53" s="520"/>
      <c r="B53" s="520"/>
      <c r="C53" s="62" t="s">
        <v>378</v>
      </c>
      <c r="D53" s="58"/>
      <c r="E53" s="162"/>
      <c r="F53" s="294" t="str">
        <f>IF(E53="","",ROUND(IF(E53&gt;9.2,1,E53*'Reference Standards'!$S$189+'Reference Standards'!$S$190),2))</f>
        <v/>
      </c>
      <c r="G53" s="553"/>
      <c r="H53" s="567"/>
      <c r="I53" s="555"/>
      <c r="J53" s="555"/>
      <c r="K53" s="555"/>
    </row>
    <row r="54" spans="1:13" ht="15.6" x14ac:dyDescent="0.3">
      <c r="A54" s="520"/>
      <c r="B54" s="520"/>
      <c r="C54" s="62" t="s">
        <v>379</v>
      </c>
      <c r="D54" s="58"/>
      <c r="E54" s="162"/>
      <c r="F54" s="294" t="str">
        <f>IF(E54="","",ROUND( IF(E54&gt;=200,1,IF(E54&lt;50, E54^2*'Reference Standards'!S$224+E54*'Reference Standards'!S$225+'Reference Standards'!S$226, E54*'Reference Standards'!T$224+'Reference Standards'!T$225)),2))</f>
        <v/>
      </c>
      <c r="G54" s="553"/>
      <c r="H54" s="567"/>
      <c r="I54" s="555"/>
      <c r="J54" s="555"/>
      <c r="K54" s="555"/>
    </row>
    <row r="55" spans="1:13" ht="15.6" x14ac:dyDescent="0.3">
      <c r="A55" s="520"/>
      <c r="B55" s="520"/>
      <c r="C55" s="62" t="s">
        <v>380</v>
      </c>
      <c r="D55" s="58"/>
      <c r="E55" s="162"/>
      <c r="F55" s="294" t="str">
        <f>IF(E55="","",ROUND( IF(E55&gt;=200,1,IF(E55&lt;50, E55^2*'Reference Standards'!S$224+E55*'Reference Standards'!S$225+'Reference Standards'!S$226, E55*'Reference Standards'!T$224+'Reference Standards'!T$225)),2))</f>
        <v/>
      </c>
      <c r="G55" s="553"/>
      <c r="H55" s="567"/>
      <c r="I55" s="555"/>
      <c r="J55" s="555"/>
      <c r="K55" s="555"/>
    </row>
    <row r="56" spans="1:13" ht="15.6" x14ac:dyDescent="0.3">
      <c r="A56" s="520"/>
      <c r="B56" s="520"/>
      <c r="C56" s="58" t="s">
        <v>381</v>
      </c>
      <c r="D56" s="58"/>
      <c r="E56" s="162"/>
      <c r="F56" s="294" t="str">
        <f>IF(E56="","",ROUND(IF(AND(E56&gt;=135,E56&lt;=262),1,IF(  E56&gt;=366,0.5, IF(E56&lt;135,E56*'Reference Standards'!S$259+'Reference Standards'!S$260, E56*'Reference Standards'!T$259+'Reference Standards'!T$260))),2))</f>
        <v/>
      </c>
      <c r="G56" s="553"/>
      <c r="H56" s="567"/>
      <c r="I56" s="555"/>
      <c r="J56" s="555"/>
      <c r="K56" s="555"/>
    </row>
    <row r="57" spans="1:13" ht="15.6" x14ac:dyDescent="0.3">
      <c r="A57" s="520"/>
      <c r="B57" s="520"/>
      <c r="C57" s="58" t="s">
        <v>382</v>
      </c>
      <c r="D57" s="58"/>
      <c r="E57" s="162"/>
      <c r="F57" s="294" t="str">
        <f>IF(E57="","",ROUND(IF(AND(E57&gt;=135,E57&lt;=262),1,IF(  E57&gt;=366,0.5, IF(E57&lt;135,E57*'Reference Standards'!S$259+'Reference Standards'!S$260, E57*'Reference Standards'!T$259+'Reference Standards'!T$260))),2))</f>
        <v/>
      </c>
      <c r="G57" s="553"/>
      <c r="H57" s="567"/>
      <c r="I57" s="555"/>
      <c r="J57" s="555"/>
      <c r="K57" s="555"/>
    </row>
    <row r="58" spans="1:13" ht="15.6" x14ac:dyDescent="0.3">
      <c r="A58" s="520"/>
      <c r="B58" s="520"/>
      <c r="C58" s="58" t="s">
        <v>383</v>
      </c>
      <c r="D58" s="58"/>
      <c r="E58" s="162"/>
      <c r="F58" s="84" t="str">
        <f>IF(E58="","",ROUND(IF(E58&gt;=75,1,IF(E58&lt;=0,0,E58*'Reference Standards'!S$330)),2))</f>
        <v/>
      </c>
      <c r="G58" s="553"/>
      <c r="H58" s="567"/>
      <c r="I58" s="555"/>
      <c r="J58" s="555"/>
      <c r="K58" s="555"/>
    </row>
    <row r="59" spans="1:13" ht="15.6" x14ac:dyDescent="0.3">
      <c r="A59" s="520"/>
      <c r="B59" s="520"/>
      <c r="C59" s="58" t="s">
        <v>384</v>
      </c>
      <c r="D59" s="58"/>
      <c r="E59" s="162"/>
      <c r="F59" s="84" t="str">
        <f>IF(E59="","",ROUND(IF(E59&gt;=75,1,IF(E59&lt;=0,0,E59*'Reference Standards'!S$330)),2))</f>
        <v/>
      </c>
      <c r="G59" s="553"/>
      <c r="H59" s="567"/>
      <c r="I59" s="555"/>
      <c r="J59" s="555"/>
      <c r="K59" s="555"/>
    </row>
    <row r="60" spans="1:13" ht="15.6" x14ac:dyDescent="0.3">
      <c r="A60" s="520"/>
      <c r="B60" s="520"/>
      <c r="C60" s="58" t="s">
        <v>385</v>
      </c>
      <c r="D60" s="58"/>
      <c r="E60" s="162"/>
      <c r="F60" s="294" t="str">
        <f>IF(E60="","",ROUND(IF(AND(E60&gt;=36.3,E60&lt;=68),1,IF(E60&gt;100,0,IF(E60&lt;36.3,(('Reference Standards'!S$297*(E60^2))+('Reference Standards'!S$298*E60)+'Reference Standards'!S$299),IF(E60&gt;68,(('Reference Standards'!T$297*(E60^2))+('Reference Standards'!T$298*E60)+'Reference Standards'!T$299))))),2))</f>
        <v/>
      </c>
      <c r="G60" s="553"/>
      <c r="H60" s="567"/>
      <c r="I60" s="555"/>
      <c r="J60" s="555"/>
      <c r="K60" s="555"/>
      <c r="M60" s="21"/>
    </row>
    <row r="61" spans="1:13" ht="15.6" x14ac:dyDescent="0.3">
      <c r="A61" s="520"/>
      <c r="B61" s="521"/>
      <c r="C61" s="58" t="s">
        <v>386</v>
      </c>
      <c r="D61" s="65"/>
      <c r="E61" s="162"/>
      <c r="F61" s="294" t="str">
        <f>IF(E61="","",ROUND(IF(AND(E61&gt;=36.3,E61&lt;=68),1,IF(E61&gt;100,0,IF(E61&lt;36.3,(('Reference Standards'!S$297*(E61^2))+('Reference Standards'!S$298*E61)+'Reference Standards'!S$299),IF(E61&gt;68,(('Reference Standards'!T$297*(E61^2))+('Reference Standards'!T$298*E61)+'Reference Standards'!T$299))))),2))</f>
        <v/>
      </c>
      <c r="G61" s="554"/>
      <c r="H61" s="567"/>
      <c r="I61" s="555"/>
      <c r="J61" s="555"/>
      <c r="K61" s="555"/>
    </row>
    <row r="62" spans="1:13" ht="15.6" x14ac:dyDescent="0.3">
      <c r="A62" s="520"/>
      <c r="B62" s="56" t="s">
        <v>108</v>
      </c>
      <c r="C62" s="72" t="s">
        <v>130</v>
      </c>
      <c r="D62" s="58"/>
      <c r="E62" s="43"/>
      <c r="F62" s="82" t="str">
        <f>IF(E62="","",IF(OR('Quantification Tool R1'!B$14="Gravel",'Quantification Tool R1'!B$14="Cobble"),IF(E62&gt;0.1,1,IF(E62&lt;=0.01,0,ROUND(E62*'Reference Standards'!$S$362+'Reference Standards'!$S$363,2)))))</f>
        <v/>
      </c>
      <c r="G62" s="82" t="str">
        <f>IFERROR(AVERAGE(F62),"")</f>
        <v/>
      </c>
      <c r="H62" s="567"/>
      <c r="I62" s="555"/>
      <c r="J62" s="555"/>
      <c r="K62" s="555"/>
    </row>
    <row r="63" spans="1:13" ht="15.6" x14ac:dyDescent="0.3">
      <c r="A63" s="520"/>
      <c r="B63" s="526" t="s">
        <v>51</v>
      </c>
      <c r="C63" s="64" t="s">
        <v>52</v>
      </c>
      <c r="D63" s="64"/>
      <c r="E63" s="166"/>
      <c r="F63" s="337" t="str">
        <f>IF(E63="","", IF(ISNUMBER('Quantification Tool R1'!$B$17), IF('Quantification Tool R1'!$B$17&lt;=2,   IF(AND(E63&gt;=3,E63&lt;=5),1, IF(OR(E63&lt;=1,E63&gt;=7), 0, ROUND( IF(E63&lt;3, E63*'Reference Standards'!S$398+'Reference Standards'!S$399,E63*'Reference Standards'!T$398+'Reference Standards'!T$399),2) ) ),   IF(E63&lt;=2.5,1, IF(E63&gt;=5.8,0, ROUND(E63*'Reference Standards'!S$430+'Reference Standards'!S$431,2))))   ))</f>
        <v/>
      </c>
      <c r="G63" s="528" t="str">
        <f>IFERROR(AVERAGE(F63:F66),"")</f>
        <v/>
      </c>
      <c r="H63" s="567"/>
      <c r="I63" s="555"/>
      <c r="J63" s="555"/>
      <c r="K63" s="555"/>
    </row>
    <row r="64" spans="1:13" ht="15.6" x14ac:dyDescent="0.3">
      <c r="A64" s="520"/>
      <c r="B64" s="520"/>
      <c r="C64" s="58" t="s">
        <v>53</v>
      </c>
      <c r="D64" s="58"/>
      <c r="E64" s="165"/>
      <c r="F64" s="84" t="str">
        <f>IF(E64="","", IF( E64&gt;=2.4,1, IF(E64&lt;=1,0,  ROUND(IF(E64&lt;2.4, E64*'Reference Standards'!$S$464+'Reference Standards'!$S$465  ),2))))</f>
        <v/>
      </c>
      <c r="G64" s="529"/>
      <c r="H64" s="567"/>
      <c r="I64" s="555"/>
      <c r="J64" s="555"/>
      <c r="K64" s="555"/>
    </row>
    <row r="65" spans="1:12" ht="15.6" x14ac:dyDescent="0.3">
      <c r="A65" s="520"/>
      <c r="B65" s="520"/>
      <c r="C65" s="58" t="s">
        <v>334</v>
      </c>
      <c r="D65" s="58"/>
      <c r="E65" s="165"/>
      <c r="F65" s="390" t="str">
        <f>IF(E65="","", IF(LEFT('Quantification Tool R1'!$B$12,2)="67",  IF( AND(E65&gt;=45,E65&lt;=65),1, IF(OR(E65&lt;=20,E65&gt;=90),0, ROUND(  IF(E65&lt;45, E65*'Reference Standards'!$S$498+'Reference Standards'!$S$499,E65*'Reference Standards'!$T$498+'Reference Standards'!$T$499),2))), IF(OR(  LEFT('Quantification Tool R1'!$B$12,2)="68", LEFT('Quantification Tool R1'!$B$12,2)="69",LEFT('Quantification Tool R1'!$B$12,2)="71"),  IF( AND(E65&gt;=30,E65&lt;=50),1, IF(OR(E65&lt;=10,E65&gt;=70),0, ROUND(  IF(E65&lt;30, E65*'Reference Standards'!$S$533+'Reference Standards'!$S$534,E65*'Reference Standards'!$T$533+'Reference Standards'!$T$534),2))), IF(LEFT('Quantification Tool R1'!$B$12,2)="66",  IF( AND(E65&gt;=20,E65&lt;=45),1, IF(OR(E65&lt;=0,E65&gt;=90),0, ROUND(  IF(E65&lt;20, E65*'Reference Standards'!$S$567+'Reference Standards'!$S$568,E65*'Reference Standards'!$T$567+'Reference Standards'!$T$568),2))), IF(OR(  LEFT('Quantification Tool R1'!$B$12,2)="65", LEFT('Quantification Tool R1'!$B$12,2)="74", LEFT('Quantification Tool R1'!$B$12,2)="73"),  IF( AND(E65&gt;=20,E65&lt;=30),1, IF(OR(E65&lt;=0,E65&gt;=50),0, ROUND(  IF(E65&lt;20, E65*'Reference Standards'!$S$601+'Reference Standards'!$S$602,E65*'Reference Standards'!$T$601+'Reference Standards'!$T$602),2))))))))</f>
        <v/>
      </c>
      <c r="G65" s="529"/>
      <c r="H65" s="567"/>
      <c r="I65" s="555"/>
      <c r="J65" s="555"/>
      <c r="K65" s="555"/>
    </row>
    <row r="66" spans="1:12" ht="15.6" x14ac:dyDescent="0.3">
      <c r="A66" s="520"/>
      <c r="B66" s="521"/>
      <c r="C66" s="62" t="s">
        <v>210</v>
      </c>
      <c r="D66" s="58"/>
      <c r="E66" s="167"/>
      <c r="F66" s="391" t="str">
        <f>IF(E66="","",IF(E66&gt;=1.6,0,IF(E66&lt;=1,1,ROUND('Reference Standards'!$S$633*E66^3+'Reference Standards'!$S$634*E66^2+'Reference Standards'!$S$635*E66+'Reference Standards'!$S$636,2))))</f>
        <v/>
      </c>
      <c r="G66" s="530"/>
      <c r="H66" s="567"/>
      <c r="I66" s="555"/>
      <c r="J66" s="555"/>
      <c r="K66" s="555"/>
      <c r="L66" s="13"/>
    </row>
    <row r="67" spans="1:12" ht="15.6" x14ac:dyDescent="0.3">
      <c r="A67" s="521"/>
      <c r="B67" s="309" t="s">
        <v>55</v>
      </c>
      <c r="C67" s="242" t="s">
        <v>54</v>
      </c>
      <c r="D67" s="243"/>
      <c r="E67" s="163"/>
      <c r="F67" s="342" t="str">
        <f>IF(E67="","",IF(AND('Quantification Tool R1'!B$11="E",'Quantification Tool R1'!$B$14="Sand",'Quantification Tool R1'!$B$21="Unconfined Alluvial"),ROUND(IF(OR(E67&gt;1.8,E67&lt;1.3),0,IF(E67&lt;=1.6,1,E67*'Reference Standards'!S$667+'Reference Standards'!S$668)),2),    IF('Quantification Tool R1'!$B$21="Unconfined Alluvial",ROUND(IF(OR(E67&lt;1.2, E67&gt;1.5),0,IF(E67&lt;=1.4,1,E67*'Reference Standards'!$S$700+'Reference Standards'!$S$701)),2), IF('Quantification Tool R1'!$B$21="Confined Alluvial",ROUND(IF(E67&lt;1.15,0,IF(E67&lt;=1.4,E67*'Reference Standards'!$S$729+'Reference Standards'!$S$730,1)),2),  IF('Quantification Tool R1'!$B$21="Colluvial",ROUND(IF(E67&gt;1.3,0,IF(E67&gt;1.2,E67*'Reference Standards'!$S$760+'Reference Standards'!$S$761,1)),2) )))))</f>
        <v/>
      </c>
      <c r="G67" s="84" t="str">
        <f>IFERROR(AVERAGE(F67),"")</f>
        <v/>
      </c>
      <c r="H67" s="567"/>
      <c r="I67" s="555"/>
      <c r="J67" s="555"/>
      <c r="K67" s="555"/>
      <c r="L67" s="13"/>
    </row>
    <row r="68" spans="1:12" ht="15.6" x14ac:dyDescent="0.3">
      <c r="A68" s="537" t="s">
        <v>58</v>
      </c>
      <c r="B68" s="67" t="s">
        <v>88</v>
      </c>
      <c r="C68" s="70" t="s">
        <v>338</v>
      </c>
      <c r="D68" s="70"/>
      <c r="E68" s="43"/>
      <c r="F68" s="343" t="str">
        <f>IF(E68="","",ROUND(IF(E68&gt;=942,0,IF(E68&lt;=487,E68*'Reference Standards'!AB$15+'Reference Standards'!AB$16,E68*'Reference Standards'!$AC$15+'Reference Standards'!$AC$16)),2))</f>
        <v/>
      </c>
      <c r="G68" s="85" t="str">
        <f>IFERROR(AVERAGE(F68),"")</f>
        <v/>
      </c>
      <c r="H68" s="547" t="str">
        <f>IFERROR(ROUND(AVERAGE(G68:G71),2),"")</f>
        <v/>
      </c>
      <c r="I68" s="534" t="str">
        <f>IF(H68="","",IF(H68&gt;0.69,"Functioning",IF(H68&gt;0.29,"Functioning At Risk",IF(H68&gt;-1,"Not Functioning"))))</f>
        <v/>
      </c>
      <c r="J68" s="555"/>
      <c r="K68" s="555"/>
      <c r="L68" s="21"/>
    </row>
    <row r="69" spans="1:12" ht="15.6" x14ac:dyDescent="0.3">
      <c r="A69" s="538"/>
      <c r="B69" s="306" t="s">
        <v>362</v>
      </c>
      <c r="C69" s="66" t="s">
        <v>354</v>
      </c>
      <c r="D69" s="66"/>
      <c r="E69" s="163"/>
      <c r="F69" s="344" t="str">
        <f>IF(E69="","",IF(OR('Quantification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June")),IF(E69&gt;93,0,IF(E69&lt;13,1,ROUND('Reference Standards'!$AB$53*E69^2+'Reference Standards'!$AB$54*E69+'Reference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R1'!$B$12="73b"),IF(E69&gt;94,0,IF(E69&lt;17,1,ROUND('Reference Standards'!$AC$53*E69^2+'Reference Standards'!$AC$54*E69+'Reference Standards'!$AC$55,2))),    IF(OR(AND(OR('Quantification Tool R1'!$B$12="68b",'Quantification Tool R1'!$B$12="71i"),'Quantification Tool R1'!$B$13&gt;2), 'Quantification Tool R1'!$B$12="71e"),IF(E69&gt;91,0,IF(E69&lt;24,1,ROUND('Reference Standards'!$AD$53*E69^2+'Reference Standards'!$AD$54*E69+'Reference Standards'!$AD$55,2))),  IF(OR(AND(OR('Quantification Tool R1'!$B$12="71f",'Quantification Tool R1'!$B$12="71g",'Quantification Tool R1'!$B$12="71h",'Quantification Tool R1'!$B$12="71i"),'Quantification Tool R1'!$B$13&lt;=2), AND('Quantification Tool R1'!$B$12="74a",'Quantification Tool R1'!$B$13&gt;2)),IF(E69&gt;95,0,IF(E69&lt;=36,1,ROUND('Reference Standards'!$AE$53*E69^2+'Reference Standards'!$AE$54*E69+'Reference Standards'!$AE$55,2))))))))</f>
        <v/>
      </c>
      <c r="G69" s="236" t="str">
        <f>IFERROR(AVERAGE(F69:F69),"")</f>
        <v/>
      </c>
      <c r="H69" s="548"/>
      <c r="I69" s="535"/>
      <c r="J69" s="555"/>
      <c r="K69" s="555"/>
      <c r="L69" s="21"/>
    </row>
    <row r="70" spans="1:12" ht="15.6" x14ac:dyDescent="0.3">
      <c r="A70" s="538"/>
      <c r="B70" s="67" t="s">
        <v>81</v>
      </c>
      <c r="C70" s="68" t="s">
        <v>281</v>
      </c>
      <c r="D70" s="68"/>
      <c r="E70" s="162"/>
      <c r="F70" s="344" t="str">
        <f>IF(E70="","",IF(ISNUMBER('Quantification Tool R1'!$B$13), IF(OR('Quantification Tool R1'!$B$12="66e",'Quantification Tool R1'!$B$12="66f",'Quantification Tool R1'!$B$12="66g"), ROUND(IF(E70&gt;=0.61,0,IF(E70&lt;=0.01,1,IF(E70&lt;=0.06,E70*'Reference Standards'!$AD$197+'Reference Standards'!$AD$198,E70^2*'Reference Standards'!$AB$196+E70*'Reference Standards'!$AB$197+'Reference Standards'!$AB$198))),2),  IF('Quantification Tool R1'!$B$12="68b", ROUND(IF(E70&gt;=1.1,0,IF(E70&lt;=0.17,1,IF(E70&lt;=0.22,E70*'Reference Standards'!$AE$197+'Reference Standards'!$AE$198,E70^2*'Reference Standards'!$AC$196+E70*'Reference Standards'!$AC$197+'Reference Standards'!$AC$198))),2),IF('Quantification Tool R1'!$B$13&lt;=2.5,   IF('Quantification Tool R1'!$B$12="69de",ROUND(IF(E70&gt;=0.22,0,IF(E70&lt;=0.01,1,E70^2*'Reference Standards'!$AB$90+E70*'Reference Standards'!$AB$91+'Reference Standards'!$AB$92)),2),   IF('Quantification Tool R1'!$B$12="68c",ROUND(IF(E70&gt;=0.87,0,IF(E70&lt;=0.01,1,E70^2*'Reference Standards'!$AC$90+E70*'Reference Standards'!$AC$91+'Reference Standards'!$AC$92)),2),   IF('Quantification Tool R1'!$B$12="68a",ROUND(IF(E70&gt;=0.81,0,IF(E70&lt;=0.01,1,E70^2*'Reference Standards'!$AD$90+E70*'Reference Standards'!$AD$91+'Reference Standards'!$AD$92)),2),   IF('Quantification Tool R1'!$B$12="65abei",ROUND(IF(E70&gt;=0.67,0,IF(E70&lt;=0.01,1,IF(E70&lt;=0.18,E70*'Reference Standards'!$AG$91+'Reference Standards'!$AG$92,E70*'Reference Standards'!$AE$91+'Reference Standards'!$AE$92))),2),   IF('Quantification Tool R1'!$B$12="65j",ROUND(IF(E70&gt;=0.32,0,IF(E70&lt;=0.01,1,IF(E70&lt;=0.25,E70*'Reference Standards'!$AH$91+'Reference Standards'!$AH$92,E70*'Reference Standards'!$AF$91+'Reference Standards'!$AF$92))),2),   IF('Quantification Tool R1'!$B$12="71f",ROUND(IF(E70&gt;=3,0,IF(E70&lt;=0,1,IF(E70&lt;=0.01,0.7,E70^2*'Reference Standards'!$AB$126+E70*'Reference Standards'!$AB$127+'Reference Standards'!$AB$128))),2),   IF('Quantification Tool R1'!$B$12="74a",ROUND(IF(E70&gt;=0.14,0,IF(E70&lt;=0.01,1,IF(E70&lt;=0.02,0.7,E70^2*'Reference Standards'!$AC$126+E70*'Reference Standards'!$AC$127+'Reference Standards'!$AC$128))),2),   IF(OR('Quantification Tool R1'!$B$12="67fhi",'Quantification Tool R1'!$B$12="67g"),ROUND(IF(E70&gt;=1.9,0,IF(E70&lt;=0.01,1,IF(E70&lt;=0.05,E70*'Reference Standards'!$AF$127+'Reference Standards'!$AF$128,E70^2*'Reference Standards'!$AD$126+E70*'Reference Standards'!$AD$127+'Reference Standards'!$AD$128))),2),   IF('Quantification Tool R1'!$B$12="73a",ROUND(IF(E70&gt;=1.44,0,IF(E70&lt;=0.01,1,IF(E70&lt;=0.12,E70*'Reference Standards'!$AG$127+'Reference Standards'!$AG$128,E70^2*'Reference Standards'!$AE$126+E70*'Reference Standards'!$AE$127+'Reference Standards'!$AE$128))),2),   IF('Quantification Tool R1'!$B$12="66d",ROUND(IF(E70&gt;=0.46,0,IF(E70&lt;=0.02,1,IF(E70&lt;=0.08,E70*'Reference Standards'!$AF$163+'Reference Standards'!$AF$164,E70^2*'Reference Standards'!$AB$162+E70*'Reference Standards'!$AB$163+'Reference Standards'!$AB$164))),2),   IF(OR('Quantification Tool R1'!$B$12="71g",'Quantification Tool R1'!$B$12="71h",'Quantification Tool R1'!$B$12="71i"),ROUND(IF(E70&gt;=3,0,IF(E70&lt;=0.06,1,IF(E70&lt;=0.24,E70*'Reference Standards'!$AG$163+'Reference Standards'!$AG$164, E70^2*'Reference Standards'!$AC$162+E70*'Reference Standards'!$AC$163+'Reference Standards'!$AC$164))),2),   IF('Quantification Tool R1'!$B$12="74b",ROUND(IF(E70&gt;=1.3,0,IF(E70&lt;=0.29,1,IF(E70&lt;=0.48,E70*'Reference Standards'!$AH$163+'Reference Standards'!$AH$164,E70^2*'Reference Standards'!$AD$162+E70*'Reference Standards'!$AD$163+'Reference Standards'!$AD$164))),2),   IF('Quantification Tool R1'!$B$12="71e",ROUND(IF(E70&gt;=4.3,0,IF(E70&lt;=0.53,1,IF(E70&lt;=0.67,E70*'Reference Standards'!$AI$163+'Reference Standards'!$AI$164,E70^2*'Reference Standards'!$AE$162+E70*'Reference Standards'!$AE$163+'Reference Standards'!$AE$164))),2)       ))))))))))))),IF('Quantification Tool R1'!$B$13&gt;2.5,    IF('Quantification Tool R1'!$B$12="73a",ROUND(IF(E70&gt;=0.55,0,IF(E70&lt;=0,1,E70^2*'Reference Standards'!$AB$232+E70*'Reference Standards'!$AB$233+'Reference Standards'!$AB$234)),2),   IF('Quantification Tool R1'!$B$12="68a",ROUND(IF(E70&gt;=0.54,0,IF(E70&lt;=0,1, IF(E70&lt;=0.01,0.85, E70^2*'Reference Standards'!$AC$232+E70*'Reference Standards'!$AC$233+'Reference Standards'!$AC$234))),2),   IF('Quantification Tool R1'!$B$12="74a",ROUND(IF(E70&gt;=0.47,0,IF(E70&lt;=0.01,1, IF(E70&lt;=0.02,0.7, E70^2*'Reference Standards'!$AD$232+E70*'Reference Standards'!$AD$233+'Reference Standards'!$AD$234))),2),    IF('Quantification Tool R1'!$B$12="69de",ROUND(IF(E70&gt;=0.26,0,IF(E70&lt;=0.01,1, IF(E70&lt;=0.02,0.85, E70^2*'Reference Standards'!$AE$232+E70*'Reference Standards'!$AE$233+'Reference Standards'!$AE$234))),2),   IF('Quantification Tool R1'!$B$12="71f",ROUND(IF(E70&gt;=0.87,0,IF(E70&lt;=0.01,1,IF(E70&lt;=0.04,E70*'Reference Standards'!$AF$269+'Reference Standards'!$AF$270,E70^2*'Reference Standards'!$AB$268+E70*'Reference Standards'!$AB$269+'Reference Standards'!$AB$270))),2),  IF('Quantification Tool R1'!$B$12="65abei",ROUND(IF(E70&gt;=0.82,0,IF(E70&lt;=0.01,1,IF(E70&lt;=0.06,E70*'Reference Standards'!$AG$269+'Reference Standards'!$AG$270,E70^2*'Reference Standards'!$AC$268+E70*'Reference Standards'!$AC$269+'Reference Standards'!$AC$270))),2),  IF('Quantification Tool R1'!$B$12="65j",ROUND(IF(E70&gt;=0.33,0,IF(E70&lt;=0.03,1,IF(E70&lt;=0.09,E70*'Reference Standards'!$AH$269+'Reference Standards'!$AH$270,E70^2*'Reference Standards'!$AD$268+E70*'Reference Standards'!$AD$269+'Reference Standards'!$AD$270))),2),  IF('Quantification Tool R1'!$B$12="68c",ROUND(IF(E70&gt;=0.7,0,IF(E70&lt;=0.07,1,IF(E70&lt;=0.12,E70*'Reference Standards'!$AI$269+'Reference Standards'!$AI$270,E70^2*'Reference Standards'!$AE$268+E70*'Reference Standards'!$AE$269+'Reference Standards'!$AE$270))),2),   IF(OR('Quantification Tool R1'!$B$12="67fhi",'Quantification Tool R1'!$B$12="67g"),ROUND(IF(E70&gt;=1.8,0,IF(E70&lt;=0.08,1,IF(E70&lt;=0.2,E70*'Reference Standards'!$AF$306+'Reference Standards'!$AF$307,E70^2*'Reference Standards'!$AB$305+E70*'Reference Standards'!$AB$306+'Reference Standards'!$AB$307))),2),   IF('Quantification Tool R1'!$B$12="74b",ROUND(IF(E70&gt;=0.96,0,IF(E70&lt;=0.12,1,IF(E70&lt;=0.16,E70*'Reference Standards'!$AG$306+'Reference Standards'!$AG$307,E70^2*'Reference Standards'!$AC$305+E70*'Reference Standards'!$AC$306+'Reference Standards'!$AC$307))),2),   IF('Quantification Tool R1'!$B$12="66d",ROUND(IF(E70&gt;=0.75,0,IF(E70&lt;=0.13,1,IF(E70&lt;=0.2,E70*'Reference Standards'!$AH$306+'Reference Standards'!$AH$307,E70^2*'Reference Standards'!$AD$305+E70*'Reference Standards'!$AD$306+'Reference Standards'!$AD$307))),2),    IF(OR('Quantification Tool R1'!$B$12="71g",'Quantification Tool R1'!$B$12="71h",'Quantification Tool R1'!$B$12="71i"),ROUND(IF(E70&gt;=1.68,0,IF(E70&lt;=0.08,1,IF(E70&lt;=0.23,E70*'Reference Standards'!$AI$306+'Reference Standards'!$AI$307,E70^2*'Reference Standards'!$AE$305+E70*'Reference Standards'!$AE$306+'Reference Standards'!$AE$307))),2),   IF('Quantification Tool R1'!$B$12="71e",ROUND(IF(E70&gt;=5.3,0,IF(E70&lt;=0.94,1,IF(E70&lt;=1.4,E70*'Reference Standards'!$AF$310+'Reference Standards'!$AF$311,E70^2*'Reference Standards'!$AB$309+E70*'Reference Standards'!$AB$310+'Reference Standards'!$AB$311))),2))    ))))))))))))))))))</f>
        <v/>
      </c>
      <c r="G70" s="86" t="str">
        <f>IFERROR(AVERAGE(F70),"")</f>
        <v/>
      </c>
      <c r="H70" s="548"/>
      <c r="I70" s="535"/>
      <c r="J70" s="555"/>
      <c r="K70" s="555"/>
      <c r="L70" s="21"/>
    </row>
    <row r="71" spans="1:12" ht="15.6" x14ac:dyDescent="0.3">
      <c r="A71" s="539"/>
      <c r="B71" s="307" t="s">
        <v>82</v>
      </c>
      <c r="C71" s="66" t="s">
        <v>280</v>
      </c>
      <c r="D71" s="66"/>
      <c r="E71" s="136"/>
      <c r="F71" s="343" t="str">
        <f>IF(E71="","", IF(ISNUMBER('Quantification Tool R1'!$B$13),IF('Quantification Tool R1'!$B$13&gt;2.5,IF(OR('Quantification Tool R1'!$B$12="71h",'Quantification Tool R1'!$B$12="71i",'Quantification Tool R1'!$B$12="73a",'Quantification Tool R1'!$B$12="74a"),IF(E71&lt;=0.01,1,IF(OR('Quantification Tool R1'!$B$12="71h",'Quantification Tool R1'!$B$12="71i"),IF(E71&gt;0.37,0,ROUND(IF(E71&gt;0.03,'Reference Standards'!$AB$425*E71^2+'Reference Standards'!$AB$426*E71+'Reference Standards'!$AB$427,'Reference Standards'!$AF$426*E71+'Reference Standards'!$AF$427),2)),  IF('Quantification Tool R1'!$B$12="73a",IF(E71&gt;0.405,0,ROUND(IF(E71&gt;0.046,'Reference Standards'!$AC$425*E71^2+'Reference Standards'!$AC$426*E71+'Reference Standards'!$AC$427,'Reference Standards'!$AG$426*E71+'Reference Standards'!$AG$427),2)),IF('Quantification Tool R1'!$B$12="74a",IF(E71&gt;0.3,0,ROUND(IF(E71&gt;0.052,'Reference Standards'!$AD$425*E71^2+'Reference Standards'!$AD$426*E71+'Reference Standards'!$AD$427,'Reference Standards'!$AH$426*E71+'Reference Standards'!$AH$427),2)))))),   IF(E71&lt;=0.002,1,IF(OR('Quantification Tool R1'!$B$12="66d",'Quantification Tool R1'!$B$12="66e",'Quantification Tool R1'!$B$12="66g"),IF(E71&gt;0.053,0,ROUND(E71^2*'Reference Standards'!$AB$347+E71*'Reference Standards'!$AB$348+'Reference Standards'!$AB$349,2)), IF('Quantification Tool R1'!$B$12="68b",IF(E71&gt;0.05,0,ROUND(E71^2*'Reference Standards'!$AC$347+E71*'Reference Standards'!$AC$348+'Reference Standards'!$AC$349,2)),  IF(OR('Quantification Tool R1'!$B$12="68a",'Quantification Tool R1'!$B$12="68c"),IF(E71&gt;0.07,0,ROUND(E71^2*'Reference Standards'!$AD$347+E71*'Reference Standards'!$AD$348+'Reference Standards'!$AD$349,2)), IF(OR('Quantification Tool R1'!$B$12="71f",'Quantification Tool R1'!$B$12="71g"),IF(E71&gt;0.13,0,ROUND(IF(E71&gt;0.042,E71*'Reference Standards'!$AE$348+'Reference Standards'!$AE$349,E71*'Reference Standards'!$AF$348+'Reference Standards'!$AF$349),2)), IF('Quantification Tool R1'!$B$12="67fhi",IF(E71&gt;0.16,0,ROUND(E71^2*'Reference Standards'!$AG$347+E71*'Reference Standards'!$AG$348+'Reference Standards'!$AG$349,2)),  IF('Quantification Tool R1'!$B$12="65j",IF(E71&gt;0.035,0,ROUND(IF(E71&lt;=0.003,0.7,E71^2*'Reference Standards'!$AB$387+E71*'Reference Standards'!$AB$388+'Reference Standards'!$AB$389),2)),IF('Quantification Tool R1'!$B$12="69de",IF(E71&gt;0.037,0,ROUND(IF(E71&lt;=0.003,0.7,E71^2*'Reference Standards'!$AC$387+E71*'Reference Standards'!$AC$388+'Reference Standards'!$AC$389),2)),IF('Quantification Tool R1'!$B$12="71e",IF(E71&gt;0.23,0,ROUND(IF(E71&lt;=0.003,0.7,E71^2*'Reference Standards'!$AD$387+E71*'Reference Standards'!$AD$388+'Reference Standards'!$AD$389),2)),IF('Quantification Tool R1'!$B$12="66f",IF(E71&gt;0.06,0,ROUND(IF(E71&lt;=0.003,0.85,IF(E71&lt;=0.004,0.7,E71^2*'Reference Standards'!$AE$387+E71*'Reference Standards'!$AE$388+'Reference Standards'!$AE$389)),2)),IF('Quantification Tool R1'!$B$12="67g",IF(E71&gt;0.11,0,ROUND(IF(E71&lt;=0.01,E71*'Reference Standards'!$AH$388+'Reference Standards'!$AH$389, E71^2*'Reference Standards'!$AF$387+E71*'Reference Standards'!$AF$388+'Reference Standards'!$AF$389),2)),IF('Quantification Tool R1'!$B$12="74b",IF(E71&gt;0.49,0,ROUND(IF(E71&lt;=0.01,E71*'Reference Standards'!$AH$388+'Reference Standards'!$AH$389, E71^2*'Reference Standards'!$AG$387+E71*'Reference Standards'!$AG$388+'Reference Standards'!$AG$389),2)),IF('Quantification Tool R1'!$B$12="65abei",IF(E71&gt;0.199,0,ROUND(IF(E71&lt;=0.01,E71*'Reference Standards'!$AI$426+'Reference Standards'!$AI$427, E71^2*'Reference Standards'!$AE$425+E71*'Reference Standards'!$AE$426+'Reference Standards'!$AE$427),2))    )))))))))))))),      IF('Quantification Tool R1'!$B$13&lt;=2.5, IF(OR('Quantification Tool R1'!$B$12="66d",'Quantification Tool R1'!$B$12="66e",'Quantification Tool R1'!$B$12="66g"),IF(E71&gt;0.05,0,ROUND(IF(E71&lt;=0.002,1,IF(E71&lt;=0.005,E71*'Reference Standards'!$AF$464+'Reference Standards'!$AF$465, E71^2*'Reference Standards'!$AB$463+E71*'Reference Standards'!$AB$464+'Reference Standards'!$AB$465)),2)), IF('Quantification Tool R1'!$B$12="67fhi",IF(E71&gt;0.1,0,ROUND(IF(E71&lt;=0.002,1,IF(E71&lt;=0.006,E71*'Reference Standards'!$AG$464+'Reference Standards'!$AG$465, E71^2*'Reference Standards'!$AC$463+E71*'Reference Standards'!$AC$464+'Reference Standards'!$AC$465)),2)), IF('Quantification Tool R1'!$B$12="65abei",IF(E71&gt;0.13,0,ROUND(IF(E71&lt;=0.003,1,IF(E71&lt;=0.008,E71*'Reference Standards'!$AH$464+'Reference Standards'!$AH$465, E71^2*'Reference Standards'!$AD$463+E71*'Reference Standards'!$AD$464+'Reference Standards'!$AD$465)),2)), IF('Quantification Tool R1'!$B$12="68b",IF(E71&gt;0.043,0,ROUND(IF(E71&lt;=0.004,1, IF(E71&lt;=0.005,0.7, E71^2*'Reference Standards'!$AE$463+E71*'Reference Standards'!$AE$464+'Reference Standards'!$AE$465)),2)), IF('Quantification Tool R1'!$B$12="69de",IF(E71&gt;=0.034,0,ROUND(IF(E71&lt;=0.003,1, IF(E71&lt;=0.006,E71*'Reference Standards'!$AG$500+'Reference Standards'!$AG$501, E71*'Reference Standards'!$AB$500+'Reference Standards'!$AB$501)),2)), IF(OR('Quantification Tool R1'!$B$12="68a",'Quantification Tool R1'!$B$12="68c"),IF(E71&gt;0.202,0,ROUND(IF(E71&lt;=0.003,1, IF(E71&lt;=0.006,E71*'Reference Standards'!$AG$500+'Reference Standards'!$AG$501, IF(E71&gt;=0.04,E71*'Reference Standards'!$AC$500+'Reference Standards'!$AC$501,E71*'Reference Standards'!$AE$500+'Reference Standards'!$AE$501))),2)), IF(OR('Quantification Tool R1'!$B$12="71f",'Quantification Tool R1'!$B$12="71g"),IF(E71&gt;0.631,0,ROUND(IF(E71&lt;=0.003,1, IF(E71&lt;=0.006,E71*'Reference Standards'!$AG$500+'Reference Standards'!$AG$501, IF(E71&gt;=0.17,E71*'Reference Standards'!$AD$500+'Reference Standards'!$AD$501,E71*'Reference Standards'!$AF$500+'Reference Standards'!$AF$501))),2)),   IF('Quantification Tool R1'!$B$12="71e",IF(E71&gt;1.23,0,ROUND(IF(E71&lt;=0.004,1,IF(E71&lt;=0.006,E71*'Reference Standards'!$AF$538+'Reference Standards'!$AF$539, E71^2*'Reference Standards'!$AB$537+E71*'Reference Standards'!$AB$538+'Reference Standards'!$AB$539)),2)), IF('Quantification Tool R1'!$B$12="67g",IF(E71&gt;0.11,0,ROUND(IF(E71&lt;=0.006,1,IF(E71&lt;=0.011,E71*'Reference Standards'!$AG$538+'Reference Standards'!$AG$539, E71^2*'Reference Standards'!$AC$537+E71*'Reference Standards'!$AC$538+'Reference Standards'!$AC$539)),2)), IF('Quantification Tool R1'!$B$12="65j",IF(E71&gt;0.046,0,ROUND(IF(E71&lt;=0.007,1,IF(E71&lt;=0.012,E71*'Reference Standards'!$AH$538+'Reference Standards'!$AH$539, E71^2*'Reference Standards'!$AD$537+E71*'Reference Standards'!$AD$538+'Reference Standards'!$AD$539)),2)), IF('Quantification Tool R1'!$B$12="66f",IF(E71&gt;0.081,0,ROUND(IF(E71&lt;=0.008,1,IF(E71&lt;=0.011,E71*'Reference Standards'!$AI$538+'Reference Standards'!$AI$539, E71^2*'Reference Standards'!$AE$537+E71*'Reference Standards'!$AE$538+'Reference Standards'!$AE$539)),2)), IF(OR('Quantification Tool R1'!$B$12="71h",'Quantification Tool R1'!$B$12="71i"),IF(E71&gt;0.37,0,ROUND(IF(E71&lt;=0.013,1,IF(E71&lt;=0.032,E71*'Reference Standards'!$AH$576+'Reference Standards'!$AH$577, IF(E71&lt;=0.3,E71*'Reference Standards'!$AF$576+'Reference Standards'!$AF$577,E71*'Reference Standards'!$AB$576+'Reference Standards'!$AB$577))),2)), IF('Quantification Tool R1'!$B$12="73a",IF(E71&gt;0.448,0,ROUND(IF(E71&lt;=0.071,1,IF(E71&lt;=0.086,E71*'Reference Standards'!$AJ$576+'Reference Standards'!$AJ$577, IF(E71&lt;=0.165,E71*'Reference Standards'!$AG$576+'Reference Standards'!$AG$577,E71*'Reference Standards'!$AE$576+'Reference Standards'!$AE$577))),2)),  IF('Quantification Tool R1'!$B$12="74b",IF(E71&gt;0.43,0,ROUND(IF(E71&lt;=0.018,1,IF(E71&lt;=0.019,0.85, IF(E71&lt;=0.02,0.7, E71^2*'Reference Standards'!$AC$575+E71*'Reference Standards'!$AC$576+'Reference Standards'!$AC$577))),2)), IF('Quantification Tool R1'!$B$12="74a",IF(E71&gt;0.217,0,ROUND(IF(E71&lt;=0.02,1,IF(E71&lt;=0.033,E71*'Reference Standards'!$AI$576+'Reference Standards'!$AI$577, E71^2*'Reference Standards'!$AD$575+E71*'Reference Standards'!$AD$576+'Reference Standards'!$AD$577)),2))     )))))))))))))))))))</f>
        <v/>
      </c>
      <c r="G71" s="87" t="str">
        <f>IFERROR(AVERAGE(F71),"")</f>
        <v/>
      </c>
      <c r="H71" s="549"/>
      <c r="I71" s="536"/>
      <c r="J71" s="555"/>
      <c r="K71" s="555"/>
      <c r="L71" s="21"/>
    </row>
    <row r="72" spans="1:12" ht="15.6" x14ac:dyDescent="0.3">
      <c r="A72" s="550" t="s">
        <v>59</v>
      </c>
      <c r="B72" s="560" t="s">
        <v>340</v>
      </c>
      <c r="C72" s="125" t="s">
        <v>331</v>
      </c>
      <c r="D72" s="126"/>
      <c r="E72" s="166"/>
      <c r="F72" s="345" t="str">
        <f>IF(E72="","",IF(OR('Quantification Tool R1'!B$12="73a",'Quantification Tool R1'!B$12="73b"),IF(E72&lt;1,0,IF(E72&gt;=30,1,ROUND(IF(E72&lt;22,'Reference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531" t="str">
        <f>IFERROR(AVERAGE(F72:F75),"")</f>
        <v/>
      </c>
      <c r="H72" s="568" t="str">
        <f>IFERROR(ROUND(AVERAGE(G72:G77),2),"")</f>
        <v/>
      </c>
      <c r="I72" s="519" t="str">
        <f>IF(H72="","",IF(H72&gt;0.69,"Functioning",IF(H72&gt;0.29,"Functioning At Risk",IF(H72&gt;-1,"Not Functioning"))))</f>
        <v/>
      </c>
      <c r="J72" s="555"/>
      <c r="K72" s="555"/>
      <c r="L72" s="21"/>
    </row>
    <row r="73" spans="1:12" ht="15.6" x14ac:dyDescent="0.3">
      <c r="A73" s="556"/>
      <c r="B73" s="561"/>
      <c r="C73" s="174" t="s">
        <v>335</v>
      </c>
      <c r="D73" s="175"/>
      <c r="E73" s="165"/>
      <c r="F73" s="346" t="str">
        <f>IF(E73="","",IF(AND('Quantification Tool R1'!$B$12="74b",'Quantification Tool R1'!$B$13&lt;=2),IF(E73&lt;0,0,IF(E73&gt;15.6,0.69,ROUND('Reference Standards'!$AL$54*E73^2+'Reference Standards'!$AL$55*E73+'Reference Standards'!$AL$56,2))),IF(AND('Quantification Tool R1'!$B$12="65abei",'Quantification Tool R1'!$B$13&lt;=2),IF(E73&lt;0,0,IF(E73&gt;=20,0.69,ROUND('Reference Standards'!$AM$54*E73^2+'Reference Standards'!$AM$55*E73+'Reference Standards'!$AM$56,2))),IF(OR(AND('Quantification Tool R1'!$B$12="74a",'Quantification Tool R1'!$B$13&gt;2,'Quantification Tool R1'!$B$19="January - June"),AND('Quantification Tool R1'!$B$12="71i",'Quantification Tool R1'!$B$13&gt;2,'Quantification Tool R1'!$B$20="SQBANK")),IF(E73&lt;0,0,IF(E73&gt;24.7,0.69,ROUND('Reference Standards'!$AN$54*E73^2+'Reference Standards'!$AN$55*E73+'Reference Standards'!$AN$56,2))),IF(OR('Quantification Tool R1'!$B$12="74b",'Quantification Tool R1'!$B$12="65abei"),IF(E73&lt;0,0,IF(E73&gt;32.7,0.69,ROUND('Reference Standards'!$AO$54*E73^2+'Reference Standards'!$AO$55*E73+'Reference Standards'!$AO$56,2))),IF(AND('Quantification Tool R1'!$B$12="68b",'Quantification Tool R1'!$B$13&gt;2),IF(E73&lt;0,0,IF(E73&gt;41.2,0.69,ROUND('Reference Standards'!$AP$54*E73^2+'Reference Standards'!$AP$55*E73+'Reference Standards'!$AP$56,2))),IF(OR(AND('Quantification Tool R1'!$B$12="71i",'Quantification Tool R1'!$B$13&lt;=2),AND(OR('Quantification Tool R1'!$B$12="68c",'Quantification Tool R1'!$B$12="68d"),'Quantification Tool R1'!$B$19="January - June")),IF(E73&lt;0,0,IF(E73&gt;49.2,0.69,ROUND('Reference Standards'!$AL$94*E73^2+'Reference Standards'!$AL$95*E73+'Reference Standards'!$AL$96,2))),IF(OR(AND('Quantification Tool R1'!$B$12="68a",'Quantification Tool R1'!$B$19="January - June"),AND(OR('Quantification Tool R1'!$B$12="68c",'Quantification Tool R1'!$B$12="68d"),'Quantification Tool R1'!$B$19="July - December")),IF(E73&lt;0,0,IF(E73&gt;53.4,0.69,ROUND('Reference Standards'!$AM$94*E73^2+'Reference Standards'!$AM$95*E73+'Reference Standards'!$AM$96,2))),IF(OR(AND('Quantification Tool R1'!$B$12="71i",'Quantification Tool R1'!$B$13&gt;2,'Quantification Tool R1'!$B$20="SQKICK"),AND(OR('Quantification Tool R1'!$B$12="67fhi",'Quantification Tool R1'!$B$12="67g"),'Quantification Tool R1'!$B$13&lt;=2),'Quantification Tool R1'!$B$12="65j"),IF(E73&lt;0,0,IF(E73&gt;57.8,0.69,ROUND('Reference Standards'!$AN$94*E73^2+'Reference Standards'!$AN$95*E73+'Reference Standards'!$AN$96,2))),IF(OR(AND('Quantification Tool R1'!$B$12="74a",'Quantification Tool R1'!$B$13&gt;2,'Quantification Tool R1'!$B$19="July - December"),AND(OR('Quantification Tool R1'!$B$12="67fhi",'Quantification Tool R1'!$B$12="67g"),'Quantification Tool R1'!$B$13&gt;2),'Quantification Tool R1'!$B$12="69de"),IF(E73&lt;0,0,IF(E73&gt;62.5,0.69,ROUND('Reference Standards'!$AO$94*E73^2+'Reference Standards'!$AO$95*E73+'Reference Standards'!$AO$96,2))),  IF(OR('Quantification Tool R1'!$B$12="66d",'Quantification Tool R1'!$B$12="66e",'Quantification Tool R1'!$B$12="66ik",'Quantification Tool R1'!$B$12="71e",'Quantification Tool R1'!$B$12="71f",'Quantification Tool R1'!$B$12="71g",'Quantification Tool R1'!$B$12="71h"),IF(E73&lt;0,0,IF(E73&gt;66.5,0.69,ROUND('Reference Standards'!$AP$94*E73^2+'Reference Standards'!$AP$95*E73+'Reference Standards'!$AP$96,2))),IF(OR('Quantification Tool R1'!$B$12="66f",'Quantification Tool R1'!$B$12="66g",'Quantification Tool R1'!$B$12="66j",AND('Quantification Tool R1'!$B$12="68a",'Quantification Tool R1'!$B$19="July - December")), IF(E73&lt;0,0,IF(E73&gt;69,0.69,ROUND('Reference Standards'!$AQ$94*E73^2+'Reference Standards'!$AQ$95*E73+'Reference Standards'!$AQ$96,2))))   )))))))))))</f>
        <v/>
      </c>
      <c r="G73" s="531"/>
      <c r="H73" s="568"/>
      <c r="I73" s="519"/>
      <c r="J73" s="555"/>
      <c r="K73" s="555"/>
      <c r="L73" s="21"/>
    </row>
    <row r="74" spans="1:12" ht="15.6" x14ac:dyDescent="0.3">
      <c r="A74" s="556"/>
      <c r="B74" s="561"/>
      <c r="C74" s="174" t="s">
        <v>339</v>
      </c>
      <c r="D74" s="175"/>
      <c r="E74" s="165"/>
      <c r="F74" s="346" t="str">
        <f>IF(E74="","",IF(AND('Quantification Tool R1'!$B$12="74b",'Quantification Tool R1'!$B$13&lt;=2),IF(E74&lt;0,0,IF(E74&gt;8.1,0.69,ROUND('Reference Standards'!$AL$131*E74^2+'Reference Standards'!$AL$132*E74+'Reference Standards'!$AL$133,2))),IF(OR('Quantification Tool R1'!$B$12="73a",'Quantification Tool R1'!$B$12="73b"),IF(E74&lt;0,0,IF(E74&gt;=28,0.69,ROUND('Reference Standards'!$AM$131*E74^2+'Reference Standards'!$AM$132*E74+'Reference Standards'!$AM$133,2))),IF(AND('Quantification Tool R1'!$B$12="74a",'Quantification Tool R1'!$B$13&gt;2,'Quantification Tool R1'!$B$19="January - June"),IF(E74&lt;0,0,IF(E74&gt;=32.5,0.69,ROUND('Reference Standards'!$AN$131*E74^2+'Reference Standards'!$AN$132*E74+'Reference Standards'!$AN$133,2))),IF(AND('Quantification Tool R1'!$B$12="71i",'Quantification Tool R1'!$B$13&gt;2,'Quantification Tool R1'!$B$20="SQBANK"),IF(E74&lt;0,0,IF(E74&gt;=37,0.69,ROUND('Reference Standards'!$AO$131*E74^2+'Reference Standards'!$AO$132*E74+'Reference Standards'!$AO$133,2))),IF(OR(AND(OR('Quantification Tool R1'!$B$12="65abei",'Quantification Tool R1'!$B$12="74b"),'Quantification Tool R1'!$B$13&gt;2),AND('Quantification Tool R1'!$B$12="71i",'Quantification Tool R1'!$B$13&gt;2,'Quantification Tool R1'!$B$20="SQKICK")),IF(E74&lt;0,0,IF(E74&gt;42.6,0.69,ROUND('Reference Standards'!$AP$131*E74^2+'Reference Standards'!$AP$132*E74+'Reference Standards'!$AP$133,2))),     IF(OR(AND('Quantification Tool R1'!$B$12="65abei",'Quantification Tool R1'!$B$13&lt;=2),AND(OR('Quantification Tool R1'!$B$12="68c",'Quantification Tool R1'!$B$12="68d"),'Quantification Tool R1'!$B$19="July - December"),'Quantification Tool R1'!$B$12="71e"),IF(E74&lt;0,0,IF(E74&gt;=48,0.69,ROUND('Reference Standards'!$AL$171*E74^2+'Reference Standards'!$AL$172*E74+'Reference Standards'!$AL$173,2))),IF(OR('Quantification Tool R1'!$B$12="65j",'Quantification Tool R1'!$B$12="67fhi",'Quantification Tool R1'!$B$12="67g",AND('Quantification Tool R1'!$B$12="74a",'Quantification Tool R1'!$B$19="July - December",'Quantification Tool R1'!$B$13&gt;2),AND('Quantification Tool R1'!$B$12="71i",'Quantification Tool R1'!$B$13&lt;=2)),IF(E74&lt;0,0,IF(E74&gt;=53,0.69,ROUND('Reference Standards'!$AM$171*E74^2+'Reference Standards'!$AM$172*E74+'Reference Standards'!$AM$173,2))),IF(OR(AND(OR('Quantification Tool R1'!$B$12="68b",'Quantification Tool R1'!$B$12="71f",'Quantification Tool R1'!$B$12="71g",'Quantification Tool R1'!$B$12="71h"),'Quantification Tool R1'!$B$13&gt;2),'Quantification Tool R1'!$B$12="68a"),IF(E74&lt;0,0,IF(E74&gt;=57,0.69,ROUND('Reference Standards'!$AN$171*E74^2+'Reference Standards'!$AN$172*E74+'Reference Standards'!$AN$173,2))),IF(OR('Quantification Tool R1'!$B$12="66f",'Quantification Tool R1'!$B$12="66g",'Quantification Tool R1'!$B$12="66j",AND(OR('Quantification Tool R1'!$B$12="71f",'Quantification Tool R1'!$B$12="71g",'Quantification Tool R1'!$B$12="71h"),'Quantification Tool R1'!$B$13&lt;=2)),IF(E74&lt;0,0,IF(E74&gt;=60,0.69,ROUND('Reference Standards'!$AO$171*E74^2+'Reference Standards'!$AO$172*E74+'Reference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December")),IF(E74&lt;0,0,IF(E74&gt;=67.5,0.69,ROUND('Reference Standards'!$AP$171*E74^2+'Reference Standards'!$AP$172*E74+'Reference Standards'!$AP$173,2))),IF(AND('Quantification Tool R1'!$B$12="69de",'Quantification Tool R1'!$B$19="January - June"), IF(E74&lt;0,0,IF(E74&gt;=72,0.69,ROUND('Reference Standards'!$AQ$171*E74^2+'Reference Standards'!$AQ$172*E74+'Reference Standards'!$AQ$173,2))))   )))))))))))</f>
        <v/>
      </c>
      <c r="G74" s="531"/>
      <c r="H74" s="568"/>
      <c r="I74" s="519"/>
      <c r="J74" s="555"/>
      <c r="K74" s="555"/>
      <c r="L74" s="21"/>
    </row>
    <row r="75" spans="1:12" ht="15.6" x14ac:dyDescent="0.3">
      <c r="A75" s="556"/>
      <c r="B75" s="562"/>
      <c r="C75" s="127" t="s">
        <v>336</v>
      </c>
      <c r="D75" s="71"/>
      <c r="E75" s="167"/>
      <c r="F75" s="346" t="str">
        <f>IF(E75="","",IF(OR('Quantification Tool R1'!$B$12="67fhi",'Quantification Tool R1'!$B$12="67g",'Quantification Tool R1'!$B$12="71e",'Quantification Tool R1'!$B$12="73a",'Quantification Tool R1'!$B$12="73b",AND(OR('Quantification Tool R1'!$B$12="71f",'Quantification Tool R1'!$B$12="71g",'Quantification Tool R1'!$B$12="71h"),'Quantification Tool R1'!$B$13&gt;2)),IF(E75&gt;100,0,IF(E75&lt;15,0.69,ROUND('Reference Standards'!$AL$208*E75^2+'Reference Standards'!$AL$209*E75+'Reference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),IF(E75&gt;100,0,IF(E75&lt;19,0.69,ROUND('Reference Standards'!$AM$208*E75^2+'Reference Standards'!$AM$209*E75+'Reference Standards'!$AM$210,2))),    IF(OR(AND('Quantification Tool R1'!$B$12="69de",'Quantification Tool R1'!$B$19="January - June"),AND('Quantification Tool R1'!$B$12="71i",'Quantification Tool R1'!$B$13&gt;2,'Quantification Tool R1'!$B$20="SQKICK" )),IF(E75&gt;100,0,IF(E75&lt;22,0.69,ROUND('Reference Standards'!$AN$208*E75^2+'Reference Standards'!$AN$209*E75+'Reference Standards'!$AN$210,2))),    IF(OR('Quantification Tool R1'!$B$12="65j",AND('Quantification Tool R1'!$B$12="68b",'Quantification Tool R1'!$B$13&gt;2)),IF(E75&gt;100,0,IF(E75&lt;24,0.69,ROUND('Reference Standards'!$AO$208*E75^2+'Reference Standards'!$AO$209*E75+'Reference Standards'!$AO$210,2))),    IF(AND(OR('Quantification Tool R1'!$B$12="65abei",'Quantification Tool R1'!$B$12="71f",'Quantification Tool R1'!$B$12="71g",'Quantification Tool R1'!$B$12="71h"),'Quantification Tool R1'!$B$13&lt;=2),IF(E75&gt;95,0,IF(E75&lt;33,0.69,ROUND('Reference Standards'!$AL$246*E75^2+'Reference Standards'!$AL$247*E75+'Reference Standards'!$AL$248,2))),   IF(AND(OR('Quantification Tool R1'!$B$12="65abei",'Quantification Tool R1'!$B$12="74b"),'Quantification Tool R1'!$B$13&gt;2),IF(E75&gt;97,0,IF(E75&lt;36,0.69,ROUND('Reference Standards'!$AM$246*E75^2+'Reference Standards'!$AM$247*E75+'Reference Standards'!$AM$248,2))),  IF(AND('Quantification Tool R1'!$B$12="74a",'Quantification Tool R1'!$B$19="January - June",'Quantification Tool R1'!$B$13&gt;2),IF(E75&gt;93,0,IF(E75&lt;52,0.69,ROUND('Reference Standards'!$AN$246*E75^2+'Reference Standards'!$AN$247*E75+'Reference Standards'!$AN$248,2))),   IF(AND('Quantification Tool R1'!$B$12="74b",'Quantification Tool R1'!$B$13&lt;=2),IF(E75&gt;97,0,IF(E75&lt;62,0.69,ROUND('Reference Standards'!$AO$246*E75^2+'Reference Standards'!$AO$247*E75+'Reference Standards'!$AO$248,2)))  )))))))))</f>
        <v/>
      </c>
      <c r="G75" s="531"/>
      <c r="H75" s="568"/>
      <c r="I75" s="519"/>
      <c r="J75" s="555"/>
      <c r="K75" s="555"/>
      <c r="L75" s="21"/>
    </row>
    <row r="76" spans="1:12" ht="15.6" x14ac:dyDescent="0.3">
      <c r="A76" s="556"/>
      <c r="B76" s="563" t="s">
        <v>74</v>
      </c>
      <c r="C76" s="125" t="s">
        <v>211</v>
      </c>
      <c r="D76" s="126"/>
      <c r="E76" s="166"/>
      <c r="F76" s="345" t="str">
        <f>IF(E76="","",IF(E76=1,0.15,IF(E76=3,0.5,IF(E76=5,0.85,0))))</f>
        <v/>
      </c>
      <c r="G76" s="564" t="str">
        <f>IFERROR(AVERAGE(F76:F77),"")</f>
        <v/>
      </c>
      <c r="H76" s="568"/>
      <c r="I76" s="519"/>
      <c r="J76" s="555"/>
      <c r="K76" s="555"/>
      <c r="L76" s="21"/>
    </row>
    <row r="77" spans="1:12" ht="15.6" x14ac:dyDescent="0.3">
      <c r="A77" s="551"/>
      <c r="B77" s="563"/>
      <c r="C77" s="127" t="s">
        <v>332</v>
      </c>
      <c r="D77" s="71"/>
      <c r="E77" s="167"/>
      <c r="F77" s="347" t="str">
        <f>IF(E77="","",IF(E77=1,0.15,IF(E77=3,0.5,IF(E77=5,0.85,0))))</f>
        <v/>
      </c>
      <c r="G77" s="565"/>
      <c r="H77" s="568"/>
      <c r="I77" s="519"/>
      <c r="J77" s="555"/>
      <c r="K77" s="555"/>
      <c r="L77" s="21"/>
    </row>
    <row r="78" spans="1:12" x14ac:dyDescent="0.3">
      <c r="L78" s="21"/>
    </row>
    <row r="79" spans="1:12" ht="21" x14ac:dyDescent="0.4">
      <c r="A79" s="148" t="s">
        <v>135</v>
      </c>
      <c r="B79" s="246">
        <v>3</v>
      </c>
      <c r="C79" s="249" t="s">
        <v>324</v>
      </c>
      <c r="D79" s="246"/>
      <c r="E79" s="247"/>
      <c r="F79" s="248"/>
      <c r="G79" s="544" t="s">
        <v>18</v>
      </c>
      <c r="H79" s="545"/>
      <c r="I79" s="545"/>
      <c r="J79" s="545"/>
      <c r="K79" s="546"/>
      <c r="L79" s="21"/>
    </row>
    <row r="80" spans="1:12" ht="15.6" x14ac:dyDescent="0.3">
      <c r="A80" s="158" t="s">
        <v>1</v>
      </c>
      <c r="B80" s="158" t="s">
        <v>2</v>
      </c>
      <c r="C80" s="542" t="s">
        <v>3</v>
      </c>
      <c r="D80" s="644"/>
      <c r="E80" s="158" t="s">
        <v>15</v>
      </c>
      <c r="F80" s="158" t="s">
        <v>16</v>
      </c>
      <c r="G80" s="158" t="s">
        <v>19</v>
      </c>
      <c r="H80" s="158" t="s">
        <v>20</v>
      </c>
      <c r="I80" s="314" t="s">
        <v>20</v>
      </c>
      <c r="J80" s="314" t="s">
        <v>21</v>
      </c>
      <c r="K80" s="315" t="s">
        <v>21</v>
      </c>
    </row>
    <row r="81" spans="1:11" ht="15.6" x14ac:dyDescent="0.3">
      <c r="A81" s="540" t="s">
        <v>60</v>
      </c>
      <c r="B81" s="308" t="s">
        <v>86</v>
      </c>
      <c r="C81" s="52" t="s">
        <v>388</v>
      </c>
      <c r="D81" s="52"/>
      <c r="E81" s="162"/>
      <c r="F81" s="338" t="str">
        <f>IF(E81="","",IF(E81&lt;=0,0,IF(E81&gt;=0.95,1,ROUND('Reference Standards'!C$14*E81+'Reference Standards'!C$15,2))))</f>
        <v/>
      </c>
      <c r="G81" s="83" t="str">
        <f>IFERROR(AVERAGE(F81),"")</f>
        <v/>
      </c>
      <c r="H81" s="522" t="str">
        <f>IFERROR(ROUND(AVERAGE(G81:G82),2),"")</f>
        <v/>
      </c>
      <c r="I81" s="519" t="str">
        <f>IF(H81="","",IF(H81&gt;0.69,"Functioning",IF(H81&gt;0.29,"Functioning At Risk",IF(H81&gt;-1,"Not Functioning"))))</f>
        <v/>
      </c>
      <c r="J81" s="555" t="str">
        <f>IF(AND(H81="",H83="",H85="",H107="",H111=""),"",ROUND((IF(H81="",0,H81)*0.2)+(IF(H83="",0,H83)*0.2)+(IF(H85="",0,H85)*0.2)+(IF(H107="",0,H107)*0.2)+(IF(H111="",0,H111)*0.2),2))</f>
        <v/>
      </c>
      <c r="K81" s="555" t="str">
        <f>IF(J81="","",IF(J81&lt;0.3, "Not Functioning",IF(OR(H81&lt;0.7,H83&lt;0.7,H85&lt;0.7,H107&lt;0.7,H111&lt;0.7),"Functioning At Risk",IF(J81&lt;0.7,"Functioning At Risk","Functioning"))))</f>
        <v/>
      </c>
    </row>
    <row r="82" spans="1:11" ht="15.6" x14ac:dyDescent="0.3">
      <c r="A82" s="541"/>
      <c r="B82" s="371" t="s">
        <v>128</v>
      </c>
      <c r="C82" s="373" t="s">
        <v>161</v>
      </c>
      <c r="D82" s="374"/>
      <c r="E82" s="43"/>
      <c r="F82" s="372" t="str">
        <f>IF(E82="","",IF(E82&gt;=1,1,IF(E82&lt;=0,0,ROUND(E82,2))))</f>
        <v/>
      </c>
      <c r="G82" s="367" t="str">
        <f>IFERROR(AVERAGE(F82:F82),"")</f>
        <v/>
      </c>
      <c r="H82" s="523"/>
      <c r="I82" s="519"/>
      <c r="J82" s="555"/>
      <c r="K82" s="555"/>
    </row>
    <row r="83" spans="1:11" ht="15.6" x14ac:dyDescent="0.3">
      <c r="A83" s="524" t="s">
        <v>6</v>
      </c>
      <c r="B83" s="572" t="s">
        <v>7</v>
      </c>
      <c r="C83" s="54" t="s">
        <v>8</v>
      </c>
      <c r="D83" s="54"/>
      <c r="E83" s="162"/>
      <c r="F83" s="339" t="str">
        <f>IF(E83="","",ROUND(IF(E83&gt;1.6,0,IF(E83&lt;=1,1,E83^2*'Reference Standards'!K$14+E83*'Reference Standards'!K$15+'Reference Standards'!K$16)),2))</f>
        <v/>
      </c>
      <c r="G83" s="579" t="str">
        <f>IFERROR(AVERAGE(F83:F84),"")</f>
        <v/>
      </c>
      <c r="H83" s="579" t="str">
        <f>IFERROR(ROUND(AVERAGE(G83),2),"")</f>
        <v/>
      </c>
      <c r="I83" s="569" t="str">
        <f>IF(H83="","",IF(H83&gt;0.69,"Functioning",IF(H83&gt;0.29,"Functioning At Risk",IF(H83&gt;-1,"Not Functioning"))))</f>
        <v/>
      </c>
      <c r="J83" s="555"/>
      <c r="K83" s="555"/>
    </row>
    <row r="84" spans="1:11" ht="15.6" x14ac:dyDescent="0.3">
      <c r="A84" s="525"/>
      <c r="B84" s="572"/>
      <c r="C84" s="54" t="s">
        <v>9</v>
      </c>
      <c r="D84" s="54"/>
      <c r="E84" s="163"/>
      <c r="F84" s="339" t="str">
        <f>IF(E84="","",(IF(OR('Quantification Tool R1'!B$11="A",'Quantification Tool R1'!B$11="B",'Quantification Tool R1'!$B$11="Bc"),IF(E84&lt;1.2,0,IF(E84&gt;=2.2,1,ROUND(IF(E84&lt;1.4,E84*'Reference Standards'!$K$84+'Reference Standards'!$K$85,E84*'Reference Standards'!$L$84+'Reference Standards'!$L$85),2))),IF(OR('Quantification Tool R1'!B$11="C",'Quantification Tool R1'!B$11="E"),IF(E84&lt;2,0,IF(E84&gt;=5,1,ROUND(IF(E84&lt;2.4,E84*'Reference Standards'!$L$49+'Reference Standards'!$L$50,E84*'Reference Standards'!$K$49+'Reference Standards'!$K$50),2)))))))</f>
        <v/>
      </c>
      <c r="G84" s="581"/>
      <c r="H84" s="580"/>
      <c r="I84" s="570"/>
      <c r="J84" s="555"/>
      <c r="K84" s="555"/>
    </row>
    <row r="85" spans="1:11" ht="15.6" x14ac:dyDescent="0.3">
      <c r="A85" s="526" t="s">
        <v>26</v>
      </c>
      <c r="B85" s="557" t="s">
        <v>27</v>
      </c>
      <c r="C85" s="60" t="s">
        <v>333</v>
      </c>
      <c r="D85" s="244"/>
      <c r="E85" s="61"/>
      <c r="F85" s="340" t="str">
        <f>IF(E85="","",IF(OR(LEFT('Quantification Tool R1'!$B$12,2)="65",LEFT('Quantification Tool R1'!$B$12,2)="66",LEFT('Quantification Tool R1'!$B$12,2)="71"),IF(E85&gt;=850,1,IF(E85&lt;250,ROUND('Reference Standards'!$S$17*(E85)+'Reference Standards'!$S$18,2),ROUND('Reference Standards'!$T$17*E85+'Reference Standards'!$T$18,2))),  IF(E85&gt;=345,1,IF(E85&lt;=180,ROUND('Reference Standards'!$U$17*(E85)+'Reference Standards'!$U$18,2),ROUND('Reference Standards'!$V$17*E85+'Reference Standards'!$V$18,2))))    )</f>
        <v/>
      </c>
      <c r="G85" s="528" t="str">
        <f>IFERROR(AVERAGE(F85:F86),"")</f>
        <v/>
      </c>
      <c r="H85" s="566" t="str">
        <f>IFERROR(ROUND(AVERAGE(G85:G106),2),"")</f>
        <v/>
      </c>
      <c r="I85" s="555" t="str">
        <f>IF(H85="","",IF(H85&gt;0.69,"Functioning",IF(H85&gt;0.29,"Functioning At Risk",IF(H85&gt;-1,"Not Functioning"))))</f>
        <v/>
      </c>
      <c r="J85" s="555"/>
      <c r="K85" s="555"/>
    </row>
    <row r="86" spans="1:11" ht="15.6" x14ac:dyDescent="0.3">
      <c r="A86" s="520"/>
      <c r="B86" s="558"/>
      <c r="C86" s="63" t="s">
        <v>323</v>
      </c>
      <c r="D86" s="245"/>
      <c r="E86" s="53"/>
      <c r="F86" s="341" t="str">
        <f>IF(E86="","",IF(OR(LEFT('Quantification Tool R1'!$B$12,2)="65",LEFT('Quantification Tool R1'!$B$12,2)="66",LEFT('Quantification Tool R1'!$B$12,2)="71"),IF(E86&gt;=30,1,IF(E86&lt;13,ROUND('Reference Standards'!$S$53*(E86)+'Reference Standards'!$S$54,2),ROUND('Reference Standards'!$T$53*E86+'Reference Standards'!$T$54,2))),  IF(E86&gt;=16,1,IF(E86&lt;=9,ROUND('Reference Standards'!$U$53*(E86)+'Reference Standards'!$U$54,2),ROUND('Reference Standards'!$V$53*E86+'Reference Standards'!$V$54,2))))    )</f>
        <v/>
      </c>
      <c r="G86" s="530"/>
      <c r="H86" s="566"/>
      <c r="I86" s="555"/>
      <c r="J86" s="555"/>
      <c r="K86" s="555"/>
    </row>
    <row r="87" spans="1:11" ht="15.6" x14ac:dyDescent="0.3">
      <c r="A87" s="520"/>
      <c r="B87" s="520" t="s">
        <v>395</v>
      </c>
      <c r="C87" s="58" t="s">
        <v>80</v>
      </c>
      <c r="D87" s="58"/>
      <c r="E87" s="165"/>
      <c r="F87" s="340" t="str">
        <f>IF(E87="","",ROUND(IF(E87&gt;0.7,0,IF(E87&lt;=0.1,1,E87^3*'Reference Standards'!S$87+E87^2*'Reference Standards'!S$88+E87*'Reference Standards'!S$89+'Reference Standards'!S$90)),2))</f>
        <v/>
      </c>
      <c r="G87" s="528" t="str">
        <f>IFERROR(ROUND(AVERAGE(F87:F90),2),"")</f>
        <v/>
      </c>
      <c r="H87" s="567"/>
      <c r="I87" s="555"/>
      <c r="J87" s="555"/>
      <c r="K87" s="555"/>
    </row>
    <row r="88" spans="1:11" ht="15.6" x14ac:dyDescent="0.3">
      <c r="A88" s="520"/>
      <c r="B88" s="520"/>
      <c r="C88" s="58" t="s">
        <v>49</v>
      </c>
      <c r="D88" s="58"/>
      <c r="E88" s="165"/>
      <c r="F88" s="84" t="str">
        <f>IF(E88="","",IF(OR(E88="Ex/Ex",E88="Ex/VH"),0, IF(OR(E88="Ex/H",E88="VH/Ex",E88="VH/VH", E88="H/Ex",E88="H/VH",E88="M/Ex"),0.1,IF(OR(E88="Ex/M",E88="VH/H",E88="H/H", E88="M/VH"),0.2, IF(OR(E88="Ex/L",E88="VH/M",E88="H/M", E88="M/H",E88="L/Ex"),0.3, IF(OR(E88="Ex/VL",E88="VH/L",E88="H/L"),0.4, IF(OR(E88="VH/VL",E88="H/VL",E88="M/M", E88="L/VH"),0.5, IF(OR(E88="M/L",E88="L/H"),0.6, IF(OR(E88="M/VL",E88="L/M"),0.7, IF(OR(E88="L/L",E88="L/VL"),1))))))))))</f>
        <v/>
      </c>
      <c r="G88" s="529"/>
      <c r="H88" s="567"/>
      <c r="I88" s="555"/>
      <c r="J88" s="555"/>
      <c r="K88" s="555"/>
    </row>
    <row r="89" spans="1:11" ht="15.6" x14ac:dyDescent="0.3">
      <c r="A89" s="520"/>
      <c r="B89" s="520"/>
      <c r="C89" s="58" t="s">
        <v>87</v>
      </c>
      <c r="D89" s="58"/>
      <c r="E89" s="165"/>
      <c r="F89" s="84" t="str">
        <f>IF(E89="","",ROUND(IF(E89&gt;40,0,IF(E89&lt;5,1,E89^3*'Reference Standards'!S$122+E89^2*'Reference Standards'!S$123+E89*'Reference Standards'!S$124+'Reference Standards'!S$125)),2))</f>
        <v/>
      </c>
      <c r="G89" s="529"/>
      <c r="H89" s="567"/>
      <c r="I89" s="555"/>
      <c r="J89" s="555"/>
      <c r="K89" s="555"/>
    </row>
    <row r="90" spans="1:11" ht="15.6" x14ac:dyDescent="0.3">
      <c r="A90" s="520"/>
      <c r="B90" s="521"/>
      <c r="C90" s="59" t="s">
        <v>394</v>
      </c>
      <c r="D90" s="59"/>
      <c r="E90" s="167"/>
      <c r="F90" s="341" t="str">
        <f>IF(E90="","",ROUND(IF(E90&gt;=30,0,IF(E90&lt;=0,1,E90*'Reference Standards'!S$156+'Reference Standards'!S$157)),2))</f>
        <v/>
      </c>
      <c r="G90" s="530"/>
      <c r="H90" s="567"/>
      <c r="I90" s="555"/>
      <c r="J90" s="555"/>
      <c r="K90" s="555"/>
    </row>
    <row r="91" spans="1:11" ht="15.6" x14ac:dyDescent="0.3">
      <c r="A91" s="520"/>
      <c r="B91" s="520" t="s">
        <v>50</v>
      </c>
      <c r="C91" s="60" t="s">
        <v>377</v>
      </c>
      <c r="D91" s="64"/>
      <c r="E91" s="136"/>
      <c r="F91" s="294" t="str">
        <f>IF(E91="","",ROUND(IF(E91&gt;9.2,1,E91*'Reference Standards'!$S$189+'Reference Standards'!$S$190),2))</f>
        <v/>
      </c>
      <c r="G91" s="552" t="str">
        <f>IFERROR(ROUND(AVERAGE(F91:F100),2),"")</f>
        <v/>
      </c>
      <c r="H91" s="567"/>
      <c r="I91" s="555"/>
      <c r="J91" s="555"/>
      <c r="K91" s="555"/>
    </row>
    <row r="92" spans="1:11" ht="15.6" x14ac:dyDescent="0.3">
      <c r="A92" s="520"/>
      <c r="B92" s="520"/>
      <c r="C92" s="62" t="s">
        <v>378</v>
      </c>
      <c r="D92" s="58"/>
      <c r="E92" s="162"/>
      <c r="F92" s="294" t="str">
        <f>IF(E92="","",ROUND(IF(E92&gt;9.2,1,E92*'Reference Standards'!$S$189+'Reference Standards'!$S$190),2))</f>
        <v/>
      </c>
      <c r="G92" s="553"/>
      <c r="H92" s="567"/>
      <c r="I92" s="555"/>
      <c r="J92" s="555"/>
      <c r="K92" s="555"/>
    </row>
    <row r="93" spans="1:11" ht="15.6" x14ac:dyDescent="0.3">
      <c r="A93" s="520"/>
      <c r="B93" s="520"/>
      <c r="C93" s="62" t="s">
        <v>379</v>
      </c>
      <c r="D93" s="58"/>
      <c r="E93" s="162"/>
      <c r="F93" s="294" t="str">
        <f>IF(E93="","",ROUND( IF(E93&gt;=200,1,IF(E93&lt;50, E93^2*'Reference Standards'!S$224+E93*'Reference Standards'!S$225+'Reference Standards'!S$226, E93*'Reference Standards'!T$224+'Reference Standards'!T$225)),2))</f>
        <v/>
      </c>
      <c r="G93" s="553"/>
      <c r="H93" s="567"/>
      <c r="I93" s="555"/>
      <c r="J93" s="555"/>
      <c r="K93" s="555"/>
    </row>
    <row r="94" spans="1:11" ht="15.6" x14ac:dyDescent="0.3">
      <c r="A94" s="520"/>
      <c r="B94" s="520"/>
      <c r="C94" s="62" t="s">
        <v>380</v>
      </c>
      <c r="D94" s="58"/>
      <c r="E94" s="162"/>
      <c r="F94" s="294" t="str">
        <f>IF(E94="","",ROUND( IF(E94&gt;=200,1,IF(E94&lt;50, E94^2*'Reference Standards'!S$224+E94*'Reference Standards'!S$225+'Reference Standards'!S$226, E94*'Reference Standards'!T$224+'Reference Standards'!T$225)),2))</f>
        <v/>
      </c>
      <c r="G94" s="553"/>
      <c r="H94" s="567"/>
      <c r="I94" s="555"/>
      <c r="J94" s="555"/>
      <c r="K94" s="555"/>
    </row>
    <row r="95" spans="1:11" ht="15.6" x14ac:dyDescent="0.3">
      <c r="A95" s="520"/>
      <c r="B95" s="520"/>
      <c r="C95" s="58" t="s">
        <v>381</v>
      </c>
      <c r="D95" s="58"/>
      <c r="E95" s="162"/>
      <c r="F95" s="294" t="str">
        <f>IF(E95="","",ROUND(IF(AND(E95&gt;=135,E95&lt;=262),1,IF(  E95&gt;=366,0.5, IF(E95&lt;135,E95*'Reference Standards'!S$259+'Reference Standards'!S$260, E95*'Reference Standards'!T$259+'Reference Standards'!T$260))),2))</f>
        <v/>
      </c>
      <c r="G95" s="553"/>
      <c r="H95" s="567"/>
      <c r="I95" s="555"/>
      <c r="J95" s="555"/>
      <c r="K95" s="555"/>
    </row>
    <row r="96" spans="1:11" ht="15.6" x14ac:dyDescent="0.3">
      <c r="A96" s="520"/>
      <c r="B96" s="520"/>
      <c r="C96" s="58" t="s">
        <v>382</v>
      </c>
      <c r="D96" s="58"/>
      <c r="E96" s="162"/>
      <c r="F96" s="294" t="str">
        <f>IF(E96="","",ROUND(IF(AND(E96&gt;=135,E96&lt;=262),1,IF(  E96&gt;=366,0.5, IF(E96&lt;135,E96*'Reference Standards'!S$259+'Reference Standards'!S$260, E96*'Reference Standards'!T$259+'Reference Standards'!T$260))),2))</f>
        <v/>
      </c>
      <c r="G96" s="553"/>
      <c r="H96" s="567"/>
      <c r="I96" s="555"/>
      <c r="J96" s="555"/>
      <c r="K96" s="555"/>
    </row>
    <row r="97" spans="1:13" ht="15.6" x14ac:dyDescent="0.3">
      <c r="A97" s="520"/>
      <c r="B97" s="520"/>
      <c r="C97" s="58" t="s">
        <v>383</v>
      </c>
      <c r="D97" s="58"/>
      <c r="E97" s="162"/>
      <c r="F97" s="84" t="str">
        <f>IF(E97="","",ROUND(IF(E97&gt;=75,1,IF(E97&lt;=0,0,E97*'Reference Standards'!S$330)),2))</f>
        <v/>
      </c>
      <c r="G97" s="553"/>
      <c r="H97" s="567"/>
      <c r="I97" s="555"/>
      <c r="J97" s="555"/>
      <c r="K97" s="555"/>
    </row>
    <row r="98" spans="1:13" ht="15.6" x14ac:dyDescent="0.3">
      <c r="A98" s="520"/>
      <c r="B98" s="520"/>
      <c r="C98" s="58" t="s">
        <v>384</v>
      </c>
      <c r="D98" s="58"/>
      <c r="E98" s="162"/>
      <c r="F98" s="84" t="str">
        <f>IF(E98="","",ROUND(IF(E98&gt;=75,1,IF(E98&lt;=0,0,E98*'Reference Standards'!S$330)),2))</f>
        <v/>
      </c>
      <c r="G98" s="553"/>
      <c r="H98" s="567"/>
      <c r="I98" s="555"/>
      <c r="J98" s="555"/>
      <c r="K98" s="555"/>
    </row>
    <row r="99" spans="1:13" ht="15.6" x14ac:dyDescent="0.3">
      <c r="A99" s="520"/>
      <c r="B99" s="520"/>
      <c r="C99" s="58" t="s">
        <v>385</v>
      </c>
      <c r="D99" s="58"/>
      <c r="E99" s="162"/>
      <c r="F99" s="294" t="str">
        <f>IF(E99="","",ROUND(IF(AND(E99&gt;=36.3,E99&lt;=68),1,IF(E99&gt;100,0,IF(E99&lt;36.3,(('Reference Standards'!S$297*(E99^2))+('Reference Standards'!S$298*E99)+'Reference Standards'!S$299),IF(E99&gt;68,(('Reference Standards'!T$297*(E99^2))+('Reference Standards'!T$298*E99)+'Reference Standards'!T$299))))),2))</f>
        <v/>
      </c>
      <c r="G99" s="553"/>
      <c r="H99" s="567"/>
      <c r="I99" s="555"/>
      <c r="J99" s="555"/>
      <c r="K99" s="555"/>
      <c r="M99" s="21"/>
    </row>
    <row r="100" spans="1:13" ht="15.6" x14ac:dyDescent="0.3">
      <c r="A100" s="520"/>
      <c r="B100" s="521"/>
      <c r="C100" s="58" t="s">
        <v>386</v>
      </c>
      <c r="D100" s="65"/>
      <c r="E100" s="162"/>
      <c r="F100" s="294" t="str">
        <f>IF(E100="","",ROUND(IF(AND(E100&gt;=36.3,E100&lt;=68),1,IF(E100&gt;100,0,IF(E100&lt;36.3,(('Reference Standards'!S$297*(E100^2))+('Reference Standards'!S$298*E100)+'Reference Standards'!S$299),IF(E100&gt;68,(('Reference Standards'!T$297*(E100^2))+('Reference Standards'!T$298*E100)+'Reference Standards'!T$299))))),2))</f>
        <v/>
      </c>
      <c r="G100" s="554"/>
      <c r="H100" s="567"/>
      <c r="I100" s="555"/>
      <c r="J100" s="555"/>
      <c r="K100" s="555"/>
    </row>
    <row r="101" spans="1:13" ht="15.6" x14ac:dyDescent="0.3">
      <c r="A101" s="520"/>
      <c r="B101" s="56" t="s">
        <v>108</v>
      </c>
      <c r="C101" s="72" t="s">
        <v>130</v>
      </c>
      <c r="D101" s="58"/>
      <c r="E101" s="43"/>
      <c r="F101" s="82" t="str">
        <f>IF(E101="","",IF(OR('Quantification Tool R1'!B$14="Gravel",'Quantification Tool R1'!B$14="Cobble"),IF(E101&gt;0.1,1,IF(E101&lt;=0.01,0,ROUND(E101*'Reference Standards'!$S$362+'Reference Standards'!$S$363,2)))))</f>
        <v/>
      </c>
      <c r="G101" s="82" t="str">
        <f>IFERROR(AVERAGE(F101),"")</f>
        <v/>
      </c>
      <c r="H101" s="567"/>
      <c r="I101" s="555"/>
      <c r="J101" s="555"/>
      <c r="K101" s="555"/>
    </row>
    <row r="102" spans="1:13" ht="15.6" x14ac:dyDescent="0.3">
      <c r="A102" s="520"/>
      <c r="B102" s="526" t="s">
        <v>51</v>
      </c>
      <c r="C102" s="64" t="s">
        <v>52</v>
      </c>
      <c r="D102" s="64"/>
      <c r="E102" s="166"/>
      <c r="F102" s="337" t="str">
        <f>IF(E102="","", IF(ISNUMBER('Quantification Tool R1'!$B$17), IF('Quantification Tool R1'!$B$17&lt;=2,   IF(AND(E102&gt;=3,E102&lt;=5),1, IF(OR(E102&lt;=1,E102&gt;=7), 0, ROUND( IF(E102&lt;3, E102*'Reference Standards'!S$398+'Reference Standards'!S$399,E102*'Reference Standards'!T$398+'Reference Standards'!T$399),2) ) ),   IF(E102&lt;=2.5,1, IF(E102&gt;=5.8,0, ROUND(E102*'Reference Standards'!S$430+'Reference Standards'!S$431,2))))   ))</f>
        <v/>
      </c>
      <c r="G102" s="528" t="str">
        <f>IFERROR(AVERAGE(F102:F105),"")</f>
        <v/>
      </c>
      <c r="H102" s="567"/>
      <c r="I102" s="555"/>
      <c r="J102" s="555"/>
      <c r="K102" s="555"/>
    </row>
    <row r="103" spans="1:13" ht="15.6" x14ac:dyDescent="0.3">
      <c r="A103" s="520"/>
      <c r="B103" s="520"/>
      <c r="C103" s="58" t="s">
        <v>53</v>
      </c>
      <c r="D103" s="58"/>
      <c r="E103" s="165"/>
      <c r="F103" s="84" t="str">
        <f>IF(E103="","", IF( E103&gt;=2.4,1, IF(E103&lt;=1,0,  ROUND(IF(E103&lt;2.4, E103*'Reference Standards'!$S$464+'Reference Standards'!$S$465  ),2))))</f>
        <v/>
      </c>
      <c r="G103" s="529"/>
      <c r="H103" s="567"/>
      <c r="I103" s="555"/>
      <c r="J103" s="555"/>
      <c r="K103" s="555"/>
    </row>
    <row r="104" spans="1:13" ht="15.6" x14ac:dyDescent="0.3">
      <c r="A104" s="520"/>
      <c r="B104" s="520"/>
      <c r="C104" s="58" t="s">
        <v>334</v>
      </c>
      <c r="D104" s="58"/>
      <c r="E104" s="165"/>
      <c r="F104" s="390" t="str">
        <f>IF(E104="","", IF(LEFT('Quantification Tool R1'!$B$12,2)="67",  IF( AND(E104&gt;=45,E104&lt;=65),1, IF(OR(E104&lt;=20,E104&gt;=90),0, ROUND(  IF(E104&lt;45, E104*'Reference Standards'!$S$498+'Reference Standards'!$S$499,E104*'Reference Standards'!$T$498+'Reference Standards'!$T$499),2))), IF(OR(  LEFT('Quantification Tool R1'!$B$12,2)="68", LEFT('Quantification Tool R1'!$B$12,2)="69",LEFT('Quantification Tool R1'!$B$12,2)="71"),  IF( AND(E104&gt;=30,E104&lt;=50),1, IF(OR(E104&lt;=10,E104&gt;=70),0, ROUND(  IF(E104&lt;30, E104*'Reference Standards'!$S$533+'Reference Standards'!$S$534,E104*'Reference Standards'!$T$533+'Reference Standards'!$T$534),2))), IF(LEFT('Quantification Tool R1'!$B$12,2)="66",  IF( AND(E104&gt;=20,E104&lt;=45),1, IF(OR(E104&lt;=0,E104&gt;=90),0, ROUND(  IF(E104&lt;20, E104*'Reference Standards'!$S$567+'Reference Standards'!$S$568,E104*'Reference Standards'!$T$567+'Reference Standards'!$T$568),2))), IF(OR(  LEFT('Quantification Tool R1'!$B$12,2)="65", LEFT('Quantification Tool R1'!$B$12,2)="74", LEFT('Quantification Tool R1'!$B$12,2)="73"),  IF( AND(E104&gt;=20,E104&lt;=30),1, IF(OR(E104&lt;=0,E104&gt;=50),0, ROUND(  IF(E104&lt;20, E104*'Reference Standards'!$S$601+'Reference Standards'!$S$602,E104*'Reference Standards'!$T$601+'Reference Standards'!$T$602),2))))))))</f>
        <v/>
      </c>
      <c r="G104" s="529"/>
      <c r="H104" s="567"/>
      <c r="I104" s="555"/>
      <c r="J104" s="555"/>
      <c r="K104" s="555"/>
    </row>
    <row r="105" spans="1:13" ht="15.6" x14ac:dyDescent="0.3">
      <c r="A105" s="520"/>
      <c r="B105" s="521"/>
      <c r="C105" s="62" t="s">
        <v>210</v>
      </c>
      <c r="D105" s="58"/>
      <c r="E105" s="167"/>
      <c r="F105" s="391" t="str">
        <f>IF(E105="","",IF(E105&gt;=1.6,0,IF(E105&lt;=1,1,ROUND('Reference Standards'!$S$633*E105^3+'Reference Standards'!$S$634*E105^2+'Reference Standards'!$S$635*E105+'Reference Standards'!$S$636,2))))</f>
        <v/>
      </c>
      <c r="G105" s="530"/>
      <c r="H105" s="567"/>
      <c r="I105" s="555"/>
      <c r="J105" s="555"/>
      <c r="K105" s="555"/>
      <c r="L105" s="13"/>
    </row>
    <row r="106" spans="1:13" ht="15.6" x14ac:dyDescent="0.3">
      <c r="A106" s="521"/>
      <c r="B106" s="309" t="s">
        <v>55</v>
      </c>
      <c r="C106" s="242" t="s">
        <v>54</v>
      </c>
      <c r="D106" s="243"/>
      <c r="E106" s="163"/>
      <c r="F106" s="342" t="str">
        <f>IF(E106="","",IF(AND('Quantification Tool R1'!B$11="E",'Quantification Tool R1'!$B$14="Sand",'Quantification Tool R1'!$B$21="Unconfined Alluvial"),ROUND(IF(OR(E106&gt;1.8,E106&lt;1.3),0,IF(E106&lt;=1.6,1,E106*'Reference Standards'!S$667+'Reference Standards'!S$668)),2),    IF('Quantification Tool R1'!$B$21="Unconfined Alluvial",ROUND(IF(OR(E106&lt;1.2, E106&gt;1.5),0,IF(E106&lt;=1.4,1,E106*'Reference Standards'!$S$700+'Reference Standards'!$S$701)),2), IF('Quantification Tool R1'!$B$21="Confined Alluvial",ROUND(IF(E106&lt;1.15,0,IF(E106&lt;=1.4,E106*'Reference Standards'!$S$729+'Reference Standards'!$S$730,1)),2),  IF('Quantification Tool R1'!$B$21="Colluvial",ROUND(IF(E106&gt;1.3,0,IF(E106&gt;1.2,E106*'Reference Standards'!$S$760+'Reference Standards'!$S$761,1)),2) )))))</f>
        <v/>
      </c>
      <c r="G106" s="84" t="str">
        <f>IFERROR(AVERAGE(F106),"")</f>
        <v/>
      </c>
      <c r="H106" s="567"/>
      <c r="I106" s="555"/>
      <c r="J106" s="555"/>
      <c r="K106" s="555"/>
      <c r="L106" s="13"/>
    </row>
    <row r="107" spans="1:13" ht="15.6" x14ac:dyDescent="0.3">
      <c r="A107" s="537" t="s">
        <v>58</v>
      </c>
      <c r="B107" s="67" t="s">
        <v>88</v>
      </c>
      <c r="C107" s="70" t="s">
        <v>338</v>
      </c>
      <c r="D107" s="70"/>
      <c r="E107" s="43"/>
      <c r="F107" s="343" t="str">
        <f>IF(E107="","",ROUND(IF(E107&gt;=942,0,IF(E107&lt;=487,E107*'Reference Standards'!AB$15+'Reference Standards'!AB$16,E107*'Reference Standards'!$AC$15+'Reference Standards'!$AC$16)),2))</f>
        <v/>
      </c>
      <c r="G107" s="85" t="str">
        <f>IFERROR(AVERAGE(F107),"")</f>
        <v/>
      </c>
      <c r="H107" s="547" t="str">
        <f>IFERROR(ROUND(AVERAGE(G107:G110),2),"")</f>
        <v/>
      </c>
      <c r="I107" s="534" t="str">
        <f>IF(H107="","",IF(H107&gt;0.69,"Functioning",IF(H107&gt;0.29,"Functioning At Risk",IF(H107&gt;-1,"Not Functioning"))))</f>
        <v/>
      </c>
      <c r="J107" s="555"/>
      <c r="K107" s="555"/>
      <c r="L107" s="21"/>
    </row>
    <row r="108" spans="1:13" ht="15.6" x14ac:dyDescent="0.3">
      <c r="A108" s="538"/>
      <c r="B108" s="306" t="s">
        <v>362</v>
      </c>
      <c r="C108" s="66" t="s">
        <v>354</v>
      </c>
      <c r="D108" s="66"/>
      <c r="E108" s="163"/>
      <c r="F108" s="344" t="str">
        <f>IF(E108="","",IF(OR('Quantification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June")),IF(E108&gt;93,0,IF(E108&lt;13,1,ROUND('Reference Standards'!$AB$53*E108^2+'Reference Standards'!$AB$54*E108+'Reference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R1'!$B$12="73b"),IF(E108&gt;94,0,IF(E108&lt;17,1,ROUND('Reference Standards'!$AC$53*E108^2+'Reference Standards'!$AC$54*E108+'Reference Standards'!$AC$55,2))),    IF(OR(AND(OR('Quantification Tool R1'!$B$12="68b",'Quantification Tool R1'!$B$12="71i"),'Quantification Tool R1'!$B$13&gt;2), 'Quantification Tool R1'!$B$12="71e"),IF(E108&gt;91,0,IF(E108&lt;24,1,ROUND('Reference Standards'!$AD$53*E108^2+'Reference Standards'!$AD$54*E108+'Reference Standards'!$AD$55,2))),  IF(OR(AND(OR('Quantification Tool R1'!$B$12="71f",'Quantification Tool R1'!$B$12="71g",'Quantification Tool R1'!$B$12="71h",'Quantification Tool R1'!$B$12="71i"),'Quantification Tool R1'!$B$13&lt;=2), AND('Quantification Tool R1'!$B$12="74a",'Quantification Tool R1'!$B$13&gt;2)),IF(E108&gt;95,0,IF(E108&lt;=36,1,ROUND('Reference Standards'!$AE$53*E108^2+'Reference Standards'!$AE$54*E108+'Reference Standards'!$AE$55,2))))))))</f>
        <v/>
      </c>
      <c r="G108" s="236" t="str">
        <f>IFERROR(AVERAGE(F108:F108),"")</f>
        <v/>
      </c>
      <c r="H108" s="548"/>
      <c r="I108" s="535"/>
      <c r="J108" s="555"/>
      <c r="K108" s="555"/>
      <c r="L108" s="21"/>
    </row>
    <row r="109" spans="1:13" ht="15.6" x14ac:dyDescent="0.3">
      <c r="A109" s="538"/>
      <c r="B109" s="67" t="s">
        <v>81</v>
      </c>
      <c r="C109" s="68" t="s">
        <v>281</v>
      </c>
      <c r="D109" s="68"/>
      <c r="E109" s="162"/>
      <c r="F109" s="344" t="str">
        <f>IF(E109="","",IF(ISNUMBER('Quantification Tool R1'!$B$13), IF(OR('Quantification Tool R1'!$B$12="66e",'Quantification Tool R1'!$B$12="66f",'Quantification Tool R1'!$B$12="66g"), ROUND(IF(E109&gt;=0.61,0,IF(E109&lt;=0.01,1,IF(E109&lt;=0.06,E109*'Reference Standards'!$AD$197+'Reference Standards'!$AD$198,E109^2*'Reference Standards'!$AB$196+E109*'Reference Standards'!$AB$197+'Reference Standards'!$AB$198))),2),  IF('Quantification Tool R1'!$B$12="68b", ROUND(IF(E109&gt;=1.1,0,IF(E109&lt;=0.17,1,IF(E109&lt;=0.22,E109*'Reference Standards'!$AE$197+'Reference Standards'!$AE$198,E109^2*'Reference Standards'!$AC$196+E109*'Reference Standards'!$AC$197+'Reference Standards'!$AC$198))),2),IF('Quantification Tool R1'!$B$13&lt;=2.5,   IF('Quantification Tool R1'!$B$12="69de",ROUND(IF(E109&gt;=0.22,0,IF(E109&lt;=0.01,1,E109^2*'Reference Standards'!$AB$90+E109*'Reference Standards'!$AB$91+'Reference Standards'!$AB$92)),2),   IF('Quantification Tool R1'!$B$12="68c",ROUND(IF(E109&gt;=0.87,0,IF(E109&lt;=0.01,1,E109^2*'Reference Standards'!$AC$90+E109*'Reference Standards'!$AC$91+'Reference Standards'!$AC$92)),2),   IF('Quantification Tool R1'!$B$12="68a",ROUND(IF(E109&gt;=0.81,0,IF(E109&lt;=0.01,1,E109^2*'Reference Standards'!$AD$90+E109*'Reference Standards'!$AD$91+'Reference Standards'!$AD$92)),2),   IF('Quantification Tool R1'!$B$12="65abei",ROUND(IF(E109&gt;=0.67,0,IF(E109&lt;=0.01,1,IF(E109&lt;=0.18,E109*'Reference Standards'!$AG$91+'Reference Standards'!$AG$92,E109*'Reference Standards'!$AE$91+'Reference Standards'!$AE$92))),2),   IF('Quantification Tool R1'!$B$12="65j",ROUND(IF(E109&gt;=0.32,0,IF(E109&lt;=0.01,1,IF(E109&lt;=0.25,E109*'Reference Standards'!$AH$91+'Reference Standards'!$AH$92,E109*'Reference Standards'!$AF$91+'Reference Standards'!$AF$92))),2),   IF('Quantification Tool R1'!$B$12="71f",ROUND(IF(E109&gt;=3,0,IF(E109&lt;=0,1,IF(E109&lt;=0.01,0.7,E109^2*'Reference Standards'!$AB$126+E109*'Reference Standards'!$AB$127+'Reference Standards'!$AB$128))),2),   IF('Quantification Tool R1'!$B$12="74a",ROUND(IF(E109&gt;=0.14,0,IF(E109&lt;=0.01,1,IF(E109&lt;=0.02,0.7,E109^2*'Reference Standards'!$AC$126+E109*'Reference Standards'!$AC$127+'Reference Standards'!$AC$128))),2),   IF(OR('Quantification Tool R1'!$B$12="67fhi",'Quantification Tool R1'!$B$12="67g"),ROUND(IF(E109&gt;=1.9,0,IF(E109&lt;=0.01,1,IF(E109&lt;=0.05,E109*'Reference Standards'!$AF$127+'Reference Standards'!$AF$128,E109^2*'Reference Standards'!$AD$126+E109*'Reference Standards'!$AD$127+'Reference Standards'!$AD$128))),2),   IF('Quantification Tool R1'!$B$12="73a",ROUND(IF(E109&gt;=1.44,0,IF(E109&lt;=0.01,1,IF(E109&lt;=0.12,E109*'Reference Standards'!$AG$127+'Reference Standards'!$AG$128,E109^2*'Reference Standards'!$AE$126+E109*'Reference Standards'!$AE$127+'Reference Standards'!$AE$128))),2),   IF('Quantification Tool R1'!$B$12="66d",ROUND(IF(E109&gt;=0.46,0,IF(E109&lt;=0.02,1,IF(E109&lt;=0.08,E109*'Reference Standards'!$AF$163+'Reference Standards'!$AF$164,E109^2*'Reference Standards'!$AB$162+E109*'Reference Standards'!$AB$163+'Reference Standards'!$AB$164))),2),   IF(OR('Quantification Tool R1'!$B$12="71g",'Quantification Tool R1'!$B$12="71h",'Quantification Tool R1'!$B$12="71i"),ROUND(IF(E109&gt;=3,0,IF(E109&lt;=0.06,1,IF(E109&lt;=0.24,E109*'Reference Standards'!$AG$163+'Reference Standards'!$AG$164, E109^2*'Reference Standards'!$AC$162+E109*'Reference Standards'!$AC$163+'Reference Standards'!$AC$164))),2),   IF('Quantification Tool R1'!$B$12="74b",ROUND(IF(E109&gt;=1.3,0,IF(E109&lt;=0.29,1,IF(E109&lt;=0.48,E109*'Reference Standards'!$AH$163+'Reference Standards'!$AH$164,E109^2*'Reference Standards'!$AD$162+E109*'Reference Standards'!$AD$163+'Reference Standards'!$AD$164))),2),   IF('Quantification Tool R1'!$B$12="71e",ROUND(IF(E109&gt;=4.3,0,IF(E109&lt;=0.53,1,IF(E109&lt;=0.67,E109*'Reference Standards'!$AI$163+'Reference Standards'!$AI$164,E109^2*'Reference Standards'!$AE$162+E109*'Reference Standards'!$AE$163+'Reference Standards'!$AE$164))),2)       ))))))))))))),IF('Quantification Tool R1'!$B$13&gt;2.5,    IF('Quantification Tool R1'!$B$12="73a",ROUND(IF(E109&gt;=0.55,0,IF(E109&lt;=0,1,E109^2*'Reference Standards'!$AB$232+E109*'Reference Standards'!$AB$233+'Reference Standards'!$AB$234)),2),   IF('Quantification Tool R1'!$B$12="68a",ROUND(IF(E109&gt;=0.54,0,IF(E109&lt;=0,1, IF(E109&lt;=0.01,0.85, E109^2*'Reference Standards'!$AC$232+E109*'Reference Standards'!$AC$233+'Reference Standards'!$AC$234))),2),   IF('Quantification Tool R1'!$B$12="74a",ROUND(IF(E109&gt;=0.47,0,IF(E109&lt;=0.01,1, IF(E109&lt;=0.02,0.7, E109^2*'Reference Standards'!$AD$232+E109*'Reference Standards'!$AD$233+'Reference Standards'!$AD$234))),2),    IF('Quantification Tool R1'!$B$12="69de",ROUND(IF(E109&gt;=0.26,0,IF(E109&lt;=0.01,1, IF(E109&lt;=0.02,0.85, E109^2*'Reference Standards'!$AE$232+E109*'Reference Standards'!$AE$233+'Reference Standards'!$AE$234))),2),   IF('Quantification Tool R1'!$B$12="71f",ROUND(IF(E109&gt;=0.87,0,IF(E109&lt;=0.01,1,IF(E109&lt;=0.04,E109*'Reference Standards'!$AF$269+'Reference Standards'!$AF$270,E109^2*'Reference Standards'!$AB$268+E109*'Reference Standards'!$AB$269+'Reference Standards'!$AB$270))),2),  IF('Quantification Tool R1'!$B$12="65abei",ROUND(IF(E109&gt;=0.82,0,IF(E109&lt;=0.01,1,IF(E109&lt;=0.06,E109*'Reference Standards'!$AG$269+'Reference Standards'!$AG$270,E109^2*'Reference Standards'!$AC$268+E109*'Reference Standards'!$AC$269+'Reference Standards'!$AC$270))),2),  IF('Quantification Tool R1'!$B$12="65j",ROUND(IF(E109&gt;=0.33,0,IF(E109&lt;=0.03,1,IF(E109&lt;=0.09,E109*'Reference Standards'!$AH$269+'Reference Standards'!$AH$270,E109^2*'Reference Standards'!$AD$268+E109*'Reference Standards'!$AD$269+'Reference Standards'!$AD$270))),2),  IF('Quantification Tool R1'!$B$12="68c",ROUND(IF(E109&gt;=0.7,0,IF(E109&lt;=0.07,1,IF(E109&lt;=0.12,E109*'Reference Standards'!$AI$269+'Reference Standards'!$AI$270,E109^2*'Reference Standards'!$AE$268+E109*'Reference Standards'!$AE$269+'Reference Standards'!$AE$270))),2),   IF(OR('Quantification Tool R1'!$B$12="67fhi",'Quantification Tool R1'!$B$12="67g"),ROUND(IF(E109&gt;=1.8,0,IF(E109&lt;=0.08,1,IF(E109&lt;=0.2,E109*'Reference Standards'!$AF$306+'Reference Standards'!$AF$307,E109^2*'Reference Standards'!$AB$305+E109*'Reference Standards'!$AB$306+'Reference Standards'!$AB$307))),2),   IF('Quantification Tool R1'!$B$12="74b",ROUND(IF(E109&gt;=0.96,0,IF(E109&lt;=0.12,1,IF(E109&lt;=0.16,E109*'Reference Standards'!$AG$306+'Reference Standards'!$AG$307,E109^2*'Reference Standards'!$AC$305+E109*'Reference Standards'!$AC$306+'Reference Standards'!$AC$307))),2),   IF('Quantification Tool R1'!$B$12="66d",ROUND(IF(E109&gt;=0.75,0,IF(E109&lt;=0.13,1,IF(E109&lt;=0.2,E109*'Reference Standards'!$AH$306+'Reference Standards'!$AH$307,E109^2*'Reference Standards'!$AD$305+E109*'Reference Standards'!$AD$306+'Reference Standards'!$AD$307))),2),    IF(OR('Quantification Tool R1'!$B$12="71g",'Quantification Tool R1'!$B$12="71h",'Quantification Tool R1'!$B$12="71i"),ROUND(IF(E109&gt;=1.68,0,IF(E109&lt;=0.08,1,IF(E109&lt;=0.23,E109*'Reference Standards'!$AI$306+'Reference Standards'!$AI$307,E109^2*'Reference Standards'!$AE$305+E109*'Reference Standards'!$AE$306+'Reference Standards'!$AE$307))),2),   IF('Quantification Tool R1'!$B$12="71e",ROUND(IF(E109&gt;=5.3,0,IF(E109&lt;=0.94,1,IF(E109&lt;=1.4,E109*'Reference Standards'!$AF$310+'Reference Standards'!$AF$311,E109^2*'Reference Standards'!$AB$309+E109*'Reference Standards'!$AB$310+'Reference Standards'!$AB$311))),2))    ))))))))))))))))))</f>
        <v/>
      </c>
      <c r="G109" s="86" t="str">
        <f>IFERROR(AVERAGE(F109),"")</f>
        <v/>
      </c>
      <c r="H109" s="548"/>
      <c r="I109" s="535"/>
      <c r="J109" s="555"/>
      <c r="K109" s="555"/>
      <c r="L109" s="21"/>
    </row>
    <row r="110" spans="1:13" ht="15.6" x14ac:dyDescent="0.3">
      <c r="A110" s="539"/>
      <c r="B110" s="307" t="s">
        <v>82</v>
      </c>
      <c r="C110" s="66" t="s">
        <v>280</v>
      </c>
      <c r="D110" s="66"/>
      <c r="E110" s="136"/>
      <c r="F110" s="343" t="str">
        <f>IF(E110="","", IF(ISNUMBER('Quantification Tool R1'!$B$13),IF('Quantification Tool R1'!$B$13&gt;2.5,IF(OR('Quantification Tool R1'!$B$12="71h",'Quantification Tool R1'!$B$12="71i",'Quantification Tool R1'!$B$12="73a",'Quantification Tool R1'!$B$12="74a"),IF(E110&lt;=0.01,1,IF(OR('Quantification Tool R1'!$B$12="71h",'Quantification Tool R1'!$B$12="71i"),IF(E110&gt;0.37,0,ROUND(IF(E110&gt;0.03,'Reference Standards'!$AB$425*E110^2+'Reference Standards'!$AB$426*E110+'Reference Standards'!$AB$427,'Reference Standards'!$AF$426*E110+'Reference Standards'!$AF$427),2)),  IF('Quantification Tool R1'!$B$12="73a",IF(E110&gt;0.405,0,ROUND(IF(E110&gt;0.046,'Reference Standards'!$AC$425*E110^2+'Reference Standards'!$AC$426*E110+'Reference Standards'!$AC$427,'Reference Standards'!$AG$426*E110+'Reference Standards'!$AG$427),2)),IF('Quantification Tool R1'!$B$12="74a",IF(E110&gt;0.3,0,ROUND(IF(E110&gt;0.052,'Reference Standards'!$AD$425*E110^2+'Reference Standards'!$AD$426*E110+'Reference Standards'!$AD$427,'Reference Standards'!$AH$426*E110+'Reference Standards'!$AH$427),2)))))),   IF(E110&lt;=0.002,1,IF(OR('Quantification Tool R1'!$B$12="66d",'Quantification Tool R1'!$B$12="66e",'Quantification Tool R1'!$B$12="66g"),IF(E110&gt;0.053,0,ROUND(E110^2*'Reference Standards'!$AB$347+E110*'Reference Standards'!$AB$348+'Reference Standards'!$AB$349,2)), IF('Quantification Tool R1'!$B$12="68b",IF(E110&gt;0.05,0,ROUND(E110^2*'Reference Standards'!$AC$347+E110*'Reference Standards'!$AC$348+'Reference Standards'!$AC$349,2)),  IF(OR('Quantification Tool R1'!$B$12="68a",'Quantification Tool R1'!$B$12="68c"),IF(E110&gt;0.07,0,ROUND(E110^2*'Reference Standards'!$AD$347+E110*'Reference Standards'!$AD$348+'Reference Standards'!$AD$349,2)), IF(OR('Quantification Tool R1'!$B$12="71f",'Quantification Tool R1'!$B$12="71g"),IF(E110&gt;0.13,0,ROUND(IF(E110&gt;0.042,E110*'Reference Standards'!$AE$348+'Reference Standards'!$AE$349,E110*'Reference Standards'!$AF$348+'Reference Standards'!$AF$349),2)), IF('Quantification Tool R1'!$B$12="67fhi",IF(E110&gt;0.16,0,ROUND(E110^2*'Reference Standards'!$AG$347+E110*'Reference Standards'!$AG$348+'Reference Standards'!$AG$349,2)),  IF('Quantification Tool R1'!$B$12="65j",IF(E110&gt;0.035,0,ROUND(IF(E110&lt;=0.003,0.7,E110^2*'Reference Standards'!$AB$387+E110*'Reference Standards'!$AB$388+'Reference Standards'!$AB$389),2)),IF('Quantification Tool R1'!$B$12="69de",IF(E110&gt;0.037,0,ROUND(IF(E110&lt;=0.003,0.7,E110^2*'Reference Standards'!$AC$387+E110*'Reference Standards'!$AC$388+'Reference Standards'!$AC$389),2)),IF('Quantification Tool R1'!$B$12="71e",IF(E110&gt;0.23,0,ROUND(IF(E110&lt;=0.003,0.7,E110^2*'Reference Standards'!$AD$387+E110*'Reference Standards'!$AD$388+'Reference Standards'!$AD$389),2)),IF('Quantification Tool R1'!$B$12="66f",IF(E110&gt;0.06,0,ROUND(IF(E110&lt;=0.003,0.85,IF(E110&lt;=0.004,0.7,E110^2*'Reference Standards'!$AE$387+E110*'Reference Standards'!$AE$388+'Reference Standards'!$AE$389)),2)),IF('Quantification Tool R1'!$B$12="67g",IF(E110&gt;0.11,0,ROUND(IF(E110&lt;=0.01,E110*'Reference Standards'!$AH$388+'Reference Standards'!$AH$389, E110^2*'Reference Standards'!$AF$387+E110*'Reference Standards'!$AF$388+'Reference Standards'!$AF$389),2)),IF('Quantification Tool R1'!$B$12="74b",IF(E110&gt;0.49,0,ROUND(IF(E110&lt;=0.01,E110*'Reference Standards'!$AH$388+'Reference Standards'!$AH$389, E110^2*'Reference Standards'!$AG$387+E110*'Reference Standards'!$AG$388+'Reference Standards'!$AG$389),2)),IF('Quantification Tool R1'!$B$12="65abei",IF(E110&gt;0.199,0,ROUND(IF(E110&lt;=0.01,E110*'Reference Standards'!$AI$426+'Reference Standards'!$AI$427, E110^2*'Reference Standards'!$AE$425+E110*'Reference Standards'!$AE$426+'Reference Standards'!$AE$427),2))    )))))))))))))),      IF('Quantification Tool R1'!$B$13&lt;=2.5, IF(OR('Quantification Tool R1'!$B$12="66d",'Quantification Tool R1'!$B$12="66e",'Quantification Tool R1'!$B$12="66g"),IF(E110&gt;0.05,0,ROUND(IF(E110&lt;=0.002,1,IF(E110&lt;=0.005,E110*'Reference Standards'!$AF$464+'Reference Standards'!$AF$465, E110^2*'Reference Standards'!$AB$463+E110*'Reference Standards'!$AB$464+'Reference Standards'!$AB$465)),2)), IF('Quantification Tool R1'!$B$12="67fhi",IF(E110&gt;0.1,0,ROUND(IF(E110&lt;=0.002,1,IF(E110&lt;=0.006,E110*'Reference Standards'!$AG$464+'Reference Standards'!$AG$465, E110^2*'Reference Standards'!$AC$463+E110*'Reference Standards'!$AC$464+'Reference Standards'!$AC$465)),2)), IF('Quantification Tool R1'!$B$12="65abei",IF(E110&gt;0.13,0,ROUND(IF(E110&lt;=0.003,1,IF(E110&lt;=0.008,E110*'Reference Standards'!$AH$464+'Reference Standards'!$AH$465, E110^2*'Reference Standards'!$AD$463+E110*'Reference Standards'!$AD$464+'Reference Standards'!$AD$465)),2)), IF('Quantification Tool R1'!$B$12="68b",IF(E110&gt;0.043,0,ROUND(IF(E110&lt;=0.004,1, IF(E110&lt;=0.005,0.7, E110^2*'Reference Standards'!$AE$463+E110*'Reference Standards'!$AE$464+'Reference Standards'!$AE$465)),2)), IF('Quantification Tool R1'!$B$12="69de",IF(E110&gt;=0.034,0,ROUND(IF(E110&lt;=0.003,1, IF(E110&lt;=0.006,E110*'Reference Standards'!$AG$500+'Reference Standards'!$AG$501, E110*'Reference Standards'!$AB$500+'Reference Standards'!$AB$501)),2)), IF(OR('Quantification Tool R1'!$B$12="68a",'Quantification Tool R1'!$B$12="68c"),IF(E110&gt;0.202,0,ROUND(IF(E110&lt;=0.003,1, IF(E110&lt;=0.006,E110*'Reference Standards'!$AG$500+'Reference Standards'!$AG$501, IF(E110&gt;=0.04,E110*'Reference Standards'!$AC$500+'Reference Standards'!$AC$501,E110*'Reference Standards'!$AE$500+'Reference Standards'!$AE$501))),2)), IF(OR('Quantification Tool R1'!$B$12="71f",'Quantification Tool R1'!$B$12="71g"),IF(E110&gt;0.631,0,ROUND(IF(E110&lt;=0.003,1, IF(E110&lt;=0.006,E110*'Reference Standards'!$AG$500+'Reference Standards'!$AG$501, IF(E110&gt;=0.17,E110*'Reference Standards'!$AD$500+'Reference Standards'!$AD$501,E110*'Reference Standards'!$AF$500+'Reference Standards'!$AF$501))),2)),   IF('Quantification Tool R1'!$B$12="71e",IF(E110&gt;1.23,0,ROUND(IF(E110&lt;=0.004,1,IF(E110&lt;=0.006,E110*'Reference Standards'!$AF$538+'Reference Standards'!$AF$539, E110^2*'Reference Standards'!$AB$537+E110*'Reference Standards'!$AB$538+'Reference Standards'!$AB$539)),2)), IF('Quantification Tool R1'!$B$12="67g",IF(E110&gt;0.11,0,ROUND(IF(E110&lt;=0.006,1,IF(E110&lt;=0.011,E110*'Reference Standards'!$AG$538+'Reference Standards'!$AG$539, E110^2*'Reference Standards'!$AC$537+E110*'Reference Standards'!$AC$538+'Reference Standards'!$AC$539)),2)), IF('Quantification Tool R1'!$B$12="65j",IF(E110&gt;0.046,0,ROUND(IF(E110&lt;=0.007,1,IF(E110&lt;=0.012,E110*'Reference Standards'!$AH$538+'Reference Standards'!$AH$539, E110^2*'Reference Standards'!$AD$537+E110*'Reference Standards'!$AD$538+'Reference Standards'!$AD$539)),2)), IF('Quantification Tool R1'!$B$12="66f",IF(E110&gt;0.081,0,ROUND(IF(E110&lt;=0.008,1,IF(E110&lt;=0.011,E110*'Reference Standards'!$AI$538+'Reference Standards'!$AI$539, E110^2*'Reference Standards'!$AE$537+E110*'Reference Standards'!$AE$538+'Reference Standards'!$AE$539)),2)), IF(OR('Quantification Tool R1'!$B$12="71h",'Quantification Tool R1'!$B$12="71i"),IF(E110&gt;0.37,0,ROUND(IF(E110&lt;=0.013,1,IF(E110&lt;=0.032,E110*'Reference Standards'!$AH$576+'Reference Standards'!$AH$577, IF(E110&lt;=0.3,E110*'Reference Standards'!$AF$576+'Reference Standards'!$AF$577,E110*'Reference Standards'!$AB$576+'Reference Standards'!$AB$577))),2)), IF('Quantification Tool R1'!$B$12="73a",IF(E110&gt;0.448,0,ROUND(IF(E110&lt;=0.071,1,IF(E110&lt;=0.086,E110*'Reference Standards'!$AJ$576+'Reference Standards'!$AJ$577, IF(E110&lt;=0.165,E110*'Reference Standards'!$AG$576+'Reference Standards'!$AG$577,E110*'Reference Standards'!$AE$576+'Reference Standards'!$AE$577))),2)),  IF('Quantification Tool R1'!$B$12="74b",IF(E110&gt;0.43,0,ROUND(IF(E110&lt;=0.018,1,IF(E110&lt;=0.019,0.85, IF(E110&lt;=0.02,0.7, E110^2*'Reference Standards'!$AC$575+E110*'Reference Standards'!$AC$576+'Reference Standards'!$AC$577))),2)), IF('Quantification Tool R1'!$B$12="74a",IF(E110&gt;0.217,0,ROUND(IF(E110&lt;=0.02,1,IF(E110&lt;=0.033,E110*'Reference Standards'!$AI$576+'Reference Standards'!$AI$577, E110^2*'Reference Standards'!$AD$575+E110*'Reference Standards'!$AD$576+'Reference Standards'!$AD$577)),2))     )))))))))))))))))))</f>
        <v/>
      </c>
      <c r="G110" s="87" t="str">
        <f>IFERROR(AVERAGE(F110),"")</f>
        <v/>
      </c>
      <c r="H110" s="549"/>
      <c r="I110" s="536"/>
      <c r="J110" s="555"/>
      <c r="K110" s="555"/>
      <c r="L110" s="21"/>
    </row>
    <row r="111" spans="1:13" ht="15.6" x14ac:dyDescent="0.3">
      <c r="A111" s="550" t="s">
        <v>59</v>
      </c>
      <c r="B111" s="560" t="s">
        <v>340</v>
      </c>
      <c r="C111" s="125" t="s">
        <v>331</v>
      </c>
      <c r="D111" s="126"/>
      <c r="E111" s="166"/>
      <c r="F111" s="345" t="str">
        <f>IF(E111="","",IF(OR('Quantification Tool R1'!B$12="73a",'Quantification Tool R1'!B$12="73b"),IF(E111&lt;1,0,IF(E111&gt;=30,1,ROUND(IF(E111&lt;22,'Reference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531" t="str">
        <f>IFERROR(AVERAGE(F111:F114),"")</f>
        <v/>
      </c>
      <c r="H111" s="568" t="str">
        <f>IFERROR(ROUND(AVERAGE(G111:G116),2),"")</f>
        <v/>
      </c>
      <c r="I111" s="519" t="str">
        <f>IF(H111="","",IF(H111&gt;0.69,"Functioning",IF(H111&gt;0.29,"Functioning At Risk",IF(H111&gt;-1,"Not Functioning"))))</f>
        <v/>
      </c>
      <c r="J111" s="555"/>
      <c r="K111" s="555"/>
      <c r="L111" s="21"/>
    </row>
    <row r="112" spans="1:13" ht="15.6" x14ac:dyDescent="0.3">
      <c r="A112" s="556"/>
      <c r="B112" s="561"/>
      <c r="C112" s="174" t="s">
        <v>335</v>
      </c>
      <c r="D112" s="175"/>
      <c r="E112" s="165"/>
      <c r="F112" s="346" t="str">
        <f>IF(E112="","",IF(AND('Quantification Tool R1'!$B$12="74b",'Quantification Tool R1'!$B$13&lt;=2),IF(E112&lt;0,0,IF(E112&gt;15.6,0.69,ROUND('Reference Standards'!$AL$54*E112^2+'Reference Standards'!$AL$55*E112+'Reference Standards'!$AL$56,2))),IF(AND('Quantification Tool R1'!$B$12="65abei",'Quantification Tool R1'!$B$13&lt;=2),IF(E112&lt;0,0,IF(E112&gt;=20,0.69,ROUND('Reference Standards'!$AM$54*E112^2+'Reference Standards'!$AM$55*E112+'Reference Standards'!$AM$56,2))),IF(OR(AND('Quantification Tool R1'!$B$12="74a",'Quantification Tool R1'!$B$13&gt;2,'Quantification Tool R1'!$B$19="January - June"),AND('Quantification Tool R1'!$B$12="71i",'Quantification Tool R1'!$B$13&gt;2,'Quantification Tool R1'!$B$20="SQBANK")),IF(E112&lt;0,0,IF(E112&gt;24.7,0.69,ROUND('Reference Standards'!$AN$54*E112^2+'Reference Standards'!$AN$55*E112+'Reference Standards'!$AN$56,2))),IF(OR('Quantification Tool R1'!$B$12="74b",'Quantification Tool R1'!$B$12="65abei"),IF(E112&lt;0,0,IF(E112&gt;32.7,0.69,ROUND('Reference Standards'!$AO$54*E112^2+'Reference Standards'!$AO$55*E112+'Reference Standards'!$AO$56,2))),IF(AND('Quantification Tool R1'!$B$12="68b",'Quantification Tool R1'!$B$13&gt;2),IF(E112&lt;0,0,IF(E112&gt;41.2,0.69,ROUND('Reference Standards'!$AP$54*E112^2+'Reference Standards'!$AP$55*E112+'Reference Standards'!$AP$56,2))),IF(OR(AND('Quantification Tool R1'!$B$12="71i",'Quantification Tool R1'!$B$13&lt;=2),AND(OR('Quantification Tool R1'!$B$12="68c",'Quantification Tool R1'!$B$12="68d"),'Quantification Tool R1'!$B$19="January - June")),IF(E112&lt;0,0,IF(E112&gt;49.2,0.69,ROUND('Reference Standards'!$AL$94*E112^2+'Reference Standards'!$AL$95*E112+'Reference Standards'!$AL$96,2))),IF(OR(AND('Quantification Tool R1'!$B$12="68a",'Quantification Tool R1'!$B$19="January - June"),AND(OR('Quantification Tool R1'!$B$12="68c",'Quantification Tool R1'!$B$12="68d"),'Quantification Tool R1'!$B$19="July - December")),IF(E112&lt;0,0,IF(E112&gt;53.4,0.69,ROUND('Reference Standards'!$AM$94*E112^2+'Reference Standards'!$AM$95*E112+'Reference Standards'!$AM$96,2))),IF(OR(AND('Quantification Tool R1'!$B$12="71i",'Quantification Tool R1'!$B$13&gt;2,'Quantification Tool R1'!$B$20="SQKICK"),AND(OR('Quantification Tool R1'!$B$12="67fhi",'Quantification Tool R1'!$B$12="67g"),'Quantification Tool R1'!$B$13&lt;=2),'Quantification Tool R1'!$B$12="65j"),IF(E112&lt;0,0,IF(E112&gt;57.8,0.69,ROUND('Reference Standards'!$AN$94*E112^2+'Reference Standards'!$AN$95*E112+'Reference Standards'!$AN$96,2))),IF(OR(AND('Quantification Tool R1'!$B$12="74a",'Quantification Tool R1'!$B$13&gt;2,'Quantification Tool R1'!$B$19="July - December"),AND(OR('Quantification Tool R1'!$B$12="67fhi",'Quantification Tool R1'!$B$12="67g"),'Quantification Tool R1'!$B$13&gt;2),'Quantification Tool R1'!$B$12="69de"),IF(E112&lt;0,0,IF(E112&gt;62.5,0.69,ROUND('Reference Standards'!$AO$94*E112^2+'Reference Standards'!$AO$95*E112+'Reference Standards'!$AO$96,2))),  IF(OR('Quantification Tool R1'!$B$12="66d",'Quantification Tool R1'!$B$12="66e",'Quantification Tool R1'!$B$12="66ik",'Quantification Tool R1'!$B$12="71e",'Quantification Tool R1'!$B$12="71f",'Quantification Tool R1'!$B$12="71g",'Quantification Tool R1'!$B$12="71h"),IF(E112&lt;0,0,IF(E112&gt;66.5,0.69,ROUND('Reference Standards'!$AP$94*E112^2+'Reference Standards'!$AP$95*E112+'Reference Standards'!$AP$96,2))),IF(OR('Quantification Tool R1'!$B$12="66f",'Quantification Tool R1'!$B$12="66g",'Quantification Tool R1'!$B$12="66j",AND('Quantification Tool R1'!$B$12="68a",'Quantification Tool R1'!$B$19="July - December")), IF(E112&lt;0,0,IF(E112&gt;69,0.69,ROUND('Reference Standards'!$AQ$94*E112^2+'Reference Standards'!$AQ$95*E112+'Reference Standards'!$AQ$96,2))))   )))))))))))</f>
        <v/>
      </c>
      <c r="G112" s="531"/>
      <c r="H112" s="568"/>
      <c r="I112" s="519"/>
      <c r="J112" s="555"/>
      <c r="K112" s="555"/>
      <c r="L112" s="21"/>
    </row>
    <row r="113" spans="1:12" ht="15.6" x14ac:dyDescent="0.3">
      <c r="A113" s="556"/>
      <c r="B113" s="561"/>
      <c r="C113" s="174" t="s">
        <v>339</v>
      </c>
      <c r="D113" s="175"/>
      <c r="E113" s="165"/>
      <c r="F113" s="346" t="str">
        <f>IF(E113="","",IF(AND('Quantification Tool R1'!$B$12="74b",'Quantification Tool R1'!$B$13&lt;=2),IF(E113&lt;0,0,IF(E113&gt;8.1,0.69,ROUND('Reference Standards'!$AL$131*E113^2+'Reference Standards'!$AL$132*E113+'Reference Standards'!$AL$133,2))),IF(OR('Quantification Tool R1'!$B$12="73a",'Quantification Tool R1'!$B$12="73b"),IF(E113&lt;0,0,IF(E113&gt;=28,0.69,ROUND('Reference Standards'!$AM$131*E113^2+'Reference Standards'!$AM$132*E113+'Reference Standards'!$AM$133,2))),IF(AND('Quantification Tool R1'!$B$12="74a",'Quantification Tool R1'!$B$13&gt;2,'Quantification Tool R1'!$B$19="January - June"),IF(E113&lt;0,0,IF(E113&gt;=32.5,0.69,ROUND('Reference Standards'!$AN$131*E113^2+'Reference Standards'!$AN$132*E113+'Reference Standards'!$AN$133,2))),IF(AND('Quantification Tool R1'!$B$12="71i",'Quantification Tool R1'!$B$13&gt;2,'Quantification Tool R1'!$B$20="SQBANK"),IF(E113&lt;0,0,IF(E113&gt;=37,0.69,ROUND('Reference Standards'!$AO$131*E113^2+'Reference Standards'!$AO$132*E113+'Reference Standards'!$AO$133,2))),IF(OR(AND(OR('Quantification Tool R1'!$B$12="65abei",'Quantification Tool R1'!$B$12="74b"),'Quantification Tool R1'!$B$13&gt;2),AND('Quantification Tool R1'!$B$12="71i",'Quantification Tool R1'!$B$13&gt;2,'Quantification Tool R1'!$B$20="SQKICK")),IF(E113&lt;0,0,IF(E113&gt;42.6,0.69,ROUND('Reference Standards'!$AP$131*E113^2+'Reference Standards'!$AP$132*E113+'Reference Standards'!$AP$133,2))),     IF(OR(AND('Quantification Tool R1'!$B$12="65abei",'Quantification Tool R1'!$B$13&lt;=2),AND(OR('Quantification Tool R1'!$B$12="68c",'Quantification Tool R1'!$B$12="68d"),'Quantification Tool R1'!$B$19="July - December"),'Quantification Tool R1'!$B$12="71e"),IF(E113&lt;0,0,IF(E113&gt;=48,0.69,ROUND('Reference Standards'!$AL$171*E113^2+'Reference Standards'!$AL$172*E113+'Reference Standards'!$AL$173,2))),IF(OR('Quantification Tool R1'!$B$12="65j",'Quantification Tool R1'!$B$12="67fhi",'Quantification Tool R1'!$B$12="67g",AND('Quantification Tool R1'!$B$12="74a",'Quantification Tool R1'!$B$19="July - December",'Quantification Tool R1'!$B$13&gt;2),AND('Quantification Tool R1'!$B$12="71i",'Quantification Tool R1'!$B$13&lt;=2)),IF(E113&lt;0,0,IF(E113&gt;=53,0.69,ROUND('Reference Standards'!$AM$171*E113^2+'Reference Standards'!$AM$172*E113+'Reference Standards'!$AM$173,2))),IF(OR(AND(OR('Quantification Tool R1'!$B$12="68b",'Quantification Tool R1'!$B$12="71f",'Quantification Tool R1'!$B$12="71g",'Quantification Tool R1'!$B$12="71h"),'Quantification Tool R1'!$B$13&gt;2),'Quantification Tool R1'!$B$12="68a"),IF(E113&lt;0,0,IF(E113&gt;=57,0.69,ROUND('Reference Standards'!$AN$171*E113^2+'Reference Standards'!$AN$172*E113+'Reference Standards'!$AN$173,2))),IF(OR('Quantification Tool R1'!$B$12="66f",'Quantification Tool R1'!$B$12="66g",'Quantification Tool R1'!$B$12="66j",AND(OR('Quantification Tool R1'!$B$12="71f",'Quantification Tool R1'!$B$12="71g",'Quantification Tool R1'!$B$12="71h"),'Quantification Tool R1'!$B$13&lt;=2)),IF(E113&lt;0,0,IF(E113&gt;=60,0.69,ROUND('Reference Standards'!$AO$171*E113^2+'Reference Standards'!$AO$172*E113+'Reference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December")),IF(E113&lt;0,0,IF(E113&gt;=67.5,0.69,ROUND('Reference Standards'!$AP$171*E113^2+'Reference Standards'!$AP$172*E113+'Reference Standards'!$AP$173,2))),IF(AND('Quantification Tool R1'!$B$12="69de",'Quantification Tool R1'!$B$19="January - June"), IF(E113&lt;0,0,IF(E113&gt;=72,0.69,ROUND('Reference Standards'!$AQ$171*E113^2+'Reference Standards'!$AQ$172*E113+'Reference Standards'!$AQ$173,2))))   )))))))))))</f>
        <v/>
      </c>
      <c r="G113" s="531"/>
      <c r="H113" s="568"/>
      <c r="I113" s="519"/>
      <c r="J113" s="555"/>
      <c r="K113" s="555"/>
      <c r="L113" s="21"/>
    </row>
    <row r="114" spans="1:12" ht="15.6" x14ac:dyDescent="0.3">
      <c r="A114" s="556"/>
      <c r="B114" s="562"/>
      <c r="C114" s="127" t="s">
        <v>336</v>
      </c>
      <c r="D114" s="71"/>
      <c r="E114" s="167"/>
      <c r="F114" s="346" t="str">
        <f>IF(E114="","",IF(OR('Quantification Tool R1'!$B$12="67fhi",'Quantification Tool R1'!$B$12="67g",'Quantification Tool R1'!$B$12="71e",'Quantification Tool R1'!$B$12="73a",'Quantification Tool R1'!$B$12="73b",AND(OR('Quantification Tool R1'!$B$12="71f",'Quantification Tool R1'!$B$12="71g",'Quantification Tool R1'!$B$12="71h"),'Quantification Tool R1'!$B$13&gt;2)),IF(E114&gt;100,0,IF(E114&lt;15,0.69,ROUND('Reference Standards'!$AL$208*E114^2+'Reference Standards'!$AL$209*E114+'Reference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),IF(E114&gt;100,0,IF(E114&lt;19,0.69,ROUND('Reference Standards'!$AM$208*E114^2+'Reference Standards'!$AM$209*E114+'Reference Standards'!$AM$210,2))),    IF(OR(AND('Quantification Tool R1'!$B$12="69de",'Quantification Tool R1'!$B$19="January - June"),AND('Quantification Tool R1'!$B$12="71i",'Quantification Tool R1'!$B$13&gt;2,'Quantification Tool R1'!$B$20="SQKICK" )),IF(E114&gt;100,0,IF(E114&lt;22,0.69,ROUND('Reference Standards'!$AN$208*E114^2+'Reference Standards'!$AN$209*E114+'Reference Standards'!$AN$210,2))),    IF(OR('Quantification Tool R1'!$B$12="65j",AND('Quantification Tool R1'!$B$12="68b",'Quantification Tool R1'!$B$13&gt;2)),IF(E114&gt;100,0,IF(E114&lt;24,0.69,ROUND('Reference Standards'!$AO$208*E114^2+'Reference Standards'!$AO$209*E114+'Reference Standards'!$AO$210,2))),    IF(AND(OR('Quantification Tool R1'!$B$12="65abei",'Quantification Tool R1'!$B$12="71f",'Quantification Tool R1'!$B$12="71g",'Quantification Tool R1'!$B$12="71h"),'Quantification Tool R1'!$B$13&lt;=2),IF(E114&gt;95,0,IF(E114&lt;33,0.69,ROUND('Reference Standards'!$AL$246*E114^2+'Reference Standards'!$AL$247*E114+'Reference Standards'!$AL$248,2))),   IF(AND(OR('Quantification Tool R1'!$B$12="65abei",'Quantification Tool R1'!$B$12="74b"),'Quantification Tool R1'!$B$13&gt;2),IF(E114&gt;97,0,IF(E114&lt;36,0.69,ROUND('Reference Standards'!$AM$246*E114^2+'Reference Standards'!$AM$247*E114+'Reference Standards'!$AM$248,2))),  IF(AND('Quantification Tool R1'!$B$12="74a",'Quantification Tool R1'!$B$19="January - June",'Quantification Tool R1'!$B$13&gt;2),IF(E114&gt;93,0,IF(E114&lt;52,0.69,ROUND('Reference Standards'!$AN$246*E114^2+'Reference Standards'!$AN$247*E114+'Reference Standards'!$AN$248,2))),   IF(AND('Quantification Tool R1'!$B$12="74b",'Quantification Tool R1'!$B$13&lt;=2),IF(E114&gt;97,0,IF(E114&lt;62,0.69,ROUND('Reference Standards'!$AO$246*E114^2+'Reference Standards'!$AO$247*E114+'Reference Standards'!$AO$248,2)))  )))))))))</f>
        <v/>
      </c>
      <c r="G114" s="531"/>
      <c r="H114" s="568"/>
      <c r="I114" s="519"/>
      <c r="J114" s="555"/>
      <c r="K114" s="555"/>
      <c r="L114" s="21"/>
    </row>
    <row r="115" spans="1:12" ht="15.6" x14ac:dyDescent="0.3">
      <c r="A115" s="556"/>
      <c r="B115" s="563" t="s">
        <v>74</v>
      </c>
      <c r="C115" s="125" t="s">
        <v>211</v>
      </c>
      <c r="D115" s="126"/>
      <c r="E115" s="166"/>
      <c r="F115" s="345" t="str">
        <f>IF(E115="","",IF(E115=1,0.15,IF(E115=3,0.5,IF(E115=5,0.85,0))))</f>
        <v/>
      </c>
      <c r="G115" s="564" t="str">
        <f>IFERROR(AVERAGE(F115:F116),"")</f>
        <v/>
      </c>
      <c r="H115" s="568"/>
      <c r="I115" s="519"/>
      <c r="J115" s="555"/>
      <c r="K115" s="555"/>
      <c r="L115" s="21"/>
    </row>
    <row r="116" spans="1:12" ht="15.6" x14ac:dyDescent="0.3">
      <c r="A116" s="551"/>
      <c r="B116" s="563"/>
      <c r="C116" s="127" t="s">
        <v>332</v>
      </c>
      <c r="D116" s="71"/>
      <c r="E116" s="167"/>
      <c r="F116" s="347" t="str">
        <f>IF(E116="","",IF(E116=1,0.15,IF(E116=3,0.5,IF(E116=5,0.85,0))))</f>
        <v/>
      </c>
      <c r="G116" s="565"/>
      <c r="H116" s="568"/>
      <c r="I116" s="519"/>
      <c r="J116" s="555"/>
      <c r="K116" s="555"/>
      <c r="L116" s="21"/>
    </row>
    <row r="117" spans="1:12" x14ac:dyDescent="0.3">
      <c r="L117" s="21"/>
    </row>
    <row r="118" spans="1:12" ht="21" x14ac:dyDescent="0.4">
      <c r="A118" s="148" t="s">
        <v>135</v>
      </c>
      <c r="B118" s="246">
        <v>5</v>
      </c>
      <c r="C118" s="249" t="s">
        <v>324</v>
      </c>
      <c r="D118" s="246"/>
      <c r="E118" s="247"/>
      <c r="F118" s="248"/>
      <c r="G118" s="544" t="s">
        <v>18</v>
      </c>
      <c r="H118" s="545"/>
      <c r="I118" s="545"/>
      <c r="J118" s="545"/>
      <c r="K118" s="546"/>
      <c r="L118" s="21"/>
    </row>
    <row r="119" spans="1:12" ht="15.6" x14ac:dyDescent="0.3">
      <c r="A119" s="158" t="s">
        <v>1</v>
      </c>
      <c r="B119" s="158" t="s">
        <v>2</v>
      </c>
      <c r="C119" s="542" t="s">
        <v>3</v>
      </c>
      <c r="D119" s="644"/>
      <c r="E119" s="158" t="s">
        <v>15</v>
      </c>
      <c r="F119" s="158" t="s">
        <v>16</v>
      </c>
      <c r="G119" s="158" t="s">
        <v>19</v>
      </c>
      <c r="H119" s="158" t="s">
        <v>20</v>
      </c>
      <c r="I119" s="314" t="s">
        <v>20</v>
      </c>
      <c r="J119" s="314" t="s">
        <v>21</v>
      </c>
      <c r="K119" s="315" t="s">
        <v>21</v>
      </c>
    </row>
    <row r="120" spans="1:12" ht="15.6" x14ac:dyDescent="0.3">
      <c r="A120" s="540" t="s">
        <v>60</v>
      </c>
      <c r="B120" s="308" t="s">
        <v>86</v>
      </c>
      <c r="C120" s="52" t="s">
        <v>388</v>
      </c>
      <c r="D120" s="52"/>
      <c r="E120" s="162"/>
      <c r="F120" s="338" t="str">
        <f>IF(E120="","",IF(E120&lt;=0,0,IF(E120&gt;=0.95,1,ROUND('Reference Standards'!C$14*E120+'Reference Standards'!C$15,2))))</f>
        <v/>
      </c>
      <c r="G120" s="83" t="str">
        <f>IFERROR(AVERAGE(F120),"")</f>
        <v/>
      </c>
      <c r="H120" s="522" t="str">
        <f>IFERROR(ROUND(AVERAGE(G120:G121),2),"")</f>
        <v/>
      </c>
      <c r="I120" s="519" t="str">
        <f>IF(H120="","",IF(H120&gt;0.69,"Functioning",IF(H120&gt;0.29,"Functioning At Risk",IF(H120&gt;-1,"Not Functioning"))))</f>
        <v/>
      </c>
      <c r="J120" s="555" t="str">
        <f>IF(AND(H120="",H122="",H124="",H146="",H150=""),"",ROUND((IF(H120="",0,H120)*0.2)+(IF(H122="",0,H122)*0.2)+(IF(H124="",0,H124)*0.2)+(IF(H146="",0,H146)*0.2)+(IF(H150="",0,H150)*0.2),2))</f>
        <v/>
      </c>
      <c r="K120" s="555" t="str">
        <f>IF(J120="","",IF(J120&lt;0.3, "Not Functioning",IF(OR(H120&lt;0.7,H122&lt;0.7,H124&lt;0.7,H146&lt;0.7,H150&lt;0.7),"Functioning At Risk",IF(J120&lt;0.7,"Functioning At Risk","Functioning"))))</f>
        <v/>
      </c>
    </row>
    <row r="121" spans="1:12" ht="15.6" x14ac:dyDescent="0.3">
      <c r="A121" s="541"/>
      <c r="B121" s="371" t="s">
        <v>128</v>
      </c>
      <c r="C121" s="373" t="s">
        <v>161</v>
      </c>
      <c r="D121" s="374"/>
      <c r="E121" s="43"/>
      <c r="F121" s="372" t="str">
        <f>IF(E121="","",IF(E121&gt;=1,1,IF(E121&lt;=0,0,ROUND(E121,2))))</f>
        <v/>
      </c>
      <c r="G121" s="367" t="str">
        <f>IFERROR(AVERAGE(F121:F121),"")</f>
        <v/>
      </c>
      <c r="H121" s="523"/>
      <c r="I121" s="519"/>
      <c r="J121" s="555"/>
      <c r="K121" s="555"/>
    </row>
    <row r="122" spans="1:12" ht="15.6" x14ac:dyDescent="0.3">
      <c r="A122" s="524" t="s">
        <v>6</v>
      </c>
      <c r="B122" s="572" t="s">
        <v>7</v>
      </c>
      <c r="C122" s="54" t="s">
        <v>8</v>
      </c>
      <c r="D122" s="54"/>
      <c r="E122" s="162"/>
      <c r="F122" s="339" t="str">
        <f>IF(E122="","",ROUND(IF(E122&gt;1.6,0,IF(E122&lt;=1,1,E122^2*'Reference Standards'!K$14+E122*'Reference Standards'!K$15+'Reference Standards'!K$16)),2))</f>
        <v/>
      </c>
      <c r="G122" s="579" t="str">
        <f>IFERROR(AVERAGE(F122:F123),"")</f>
        <v/>
      </c>
      <c r="H122" s="579" t="str">
        <f>IFERROR(ROUND(AVERAGE(G122),2),"")</f>
        <v/>
      </c>
      <c r="I122" s="569" t="str">
        <f>IF(H122="","",IF(H122&gt;0.69,"Functioning",IF(H122&gt;0.29,"Functioning At Risk",IF(H122&gt;-1,"Not Functioning"))))</f>
        <v/>
      </c>
      <c r="J122" s="555"/>
      <c r="K122" s="555"/>
    </row>
    <row r="123" spans="1:12" ht="15.6" x14ac:dyDescent="0.3">
      <c r="A123" s="525"/>
      <c r="B123" s="572"/>
      <c r="C123" s="54" t="s">
        <v>9</v>
      </c>
      <c r="D123" s="54"/>
      <c r="E123" s="163"/>
      <c r="F123" s="339" t="str">
        <f>IF(E123="","",(IF(OR('Quantification Tool R1'!B$11="A",'Quantification Tool R1'!B$11="B",'Quantification Tool R1'!$B$11="Bc"),IF(E123&lt;1.2,0,IF(E123&gt;=2.2,1,ROUND(IF(E123&lt;1.4,E123*'Reference Standards'!$K$84+'Reference Standards'!$K$85,E123*'Reference Standards'!$L$84+'Reference Standards'!$L$85),2))),IF(OR('Quantification Tool R1'!B$11="C",'Quantification Tool R1'!B$11="E"),IF(E123&lt;2,0,IF(E123&gt;=5,1,ROUND(IF(E123&lt;2.4,E123*'Reference Standards'!$L$49+'Reference Standards'!$L$50,E123*'Reference Standards'!$K$49+'Reference Standards'!$K$50),2)))))))</f>
        <v/>
      </c>
      <c r="G123" s="581"/>
      <c r="H123" s="580"/>
      <c r="I123" s="570"/>
      <c r="J123" s="555"/>
      <c r="K123" s="555"/>
    </row>
    <row r="124" spans="1:12" ht="15.6" x14ac:dyDescent="0.3">
      <c r="A124" s="526" t="s">
        <v>26</v>
      </c>
      <c r="B124" s="557" t="s">
        <v>27</v>
      </c>
      <c r="C124" s="60" t="s">
        <v>333</v>
      </c>
      <c r="D124" s="244"/>
      <c r="E124" s="61"/>
      <c r="F124" s="340" t="str">
        <f>IF(E124="","",IF(OR(LEFT('Quantification Tool R1'!$B$12,2)="65",LEFT('Quantification Tool R1'!$B$12,2)="66",LEFT('Quantification Tool R1'!$B$12,2)="71"),IF(E124&gt;=850,1,IF(E124&lt;250,ROUND('Reference Standards'!$S$17*(E124)+'Reference Standards'!$S$18,2),ROUND('Reference Standards'!$T$17*E124+'Reference Standards'!$T$18,2))),  IF(E124&gt;=345,1,IF(E124&lt;=180,ROUND('Reference Standards'!$U$17*(E124)+'Reference Standards'!$U$18,2),ROUND('Reference Standards'!$V$17*E124+'Reference Standards'!$V$18,2))))    )</f>
        <v/>
      </c>
      <c r="G124" s="528" t="str">
        <f>IFERROR(AVERAGE(F124:F125),"")</f>
        <v/>
      </c>
      <c r="H124" s="566" t="str">
        <f>IFERROR(ROUND(AVERAGE(G124:G145),2),"")</f>
        <v/>
      </c>
      <c r="I124" s="555" t="str">
        <f>IF(H124="","",IF(H124&gt;0.69,"Functioning",IF(H124&gt;0.29,"Functioning At Risk",IF(H124&gt;-1,"Not Functioning"))))</f>
        <v/>
      </c>
      <c r="J124" s="555"/>
      <c r="K124" s="555"/>
    </row>
    <row r="125" spans="1:12" ht="15.6" x14ac:dyDescent="0.3">
      <c r="A125" s="520"/>
      <c r="B125" s="558"/>
      <c r="C125" s="63" t="s">
        <v>323</v>
      </c>
      <c r="D125" s="245"/>
      <c r="E125" s="53"/>
      <c r="F125" s="341" t="str">
        <f>IF(E125="","",IF(OR(LEFT('Quantification Tool R1'!$B$12,2)="65",LEFT('Quantification Tool R1'!$B$12,2)="66",LEFT('Quantification Tool R1'!$B$12,2)="71"),IF(E125&gt;=30,1,IF(E125&lt;13,ROUND('Reference Standards'!$S$53*(E125)+'Reference Standards'!$S$54,2),ROUND('Reference Standards'!$T$53*E125+'Reference Standards'!$T$54,2))),  IF(E125&gt;=16,1,IF(E125&lt;=9,ROUND('Reference Standards'!$U$53*(E125)+'Reference Standards'!$U$54,2),ROUND('Reference Standards'!$V$53*E125+'Reference Standards'!$V$54,2))))    )</f>
        <v/>
      </c>
      <c r="G125" s="530"/>
      <c r="H125" s="566"/>
      <c r="I125" s="555"/>
      <c r="J125" s="555"/>
      <c r="K125" s="555"/>
    </row>
    <row r="126" spans="1:12" ht="15.6" x14ac:dyDescent="0.3">
      <c r="A126" s="520"/>
      <c r="B126" s="520" t="s">
        <v>395</v>
      </c>
      <c r="C126" s="58" t="s">
        <v>80</v>
      </c>
      <c r="D126" s="58"/>
      <c r="E126" s="165"/>
      <c r="F126" s="340" t="str">
        <f>IF(E126="","",ROUND(IF(E126&gt;0.7,0,IF(E126&lt;=0.1,1,E126^3*'Reference Standards'!S$87+E126^2*'Reference Standards'!S$88+E126*'Reference Standards'!S$89+'Reference Standards'!S$90)),2))</f>
        <v/>
      </c>
      <c r="G126" s="528" t="str">
        <f>IFERROR(ROUND(AVERAGE(F126:F129),2),"")</f>
        <v/>
      </c>
      <c r="H126" s="567"/>
      <c r="I126" s="555"/>
      <c r="J126" s="555"/>
      <c r="K126" s="555"/>
    </row>
    <row r="127" spans="1:12" ht="15.6" x14ac:dyDescent="0.3">
      <c r="A127" s="520"/>
      <c r="B127" s="520"/>
      <c r="C127" s="58" t="s">
        <v>49</v>
      </c>
      <c r="D127" s="58"/>
      <c r="E127" s="165"/>
      <c r="F127" s="84"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529"/>
      <c r="H127" s="567"/>
      <c r="I127" s="555"/>
      <c r="J127" s="555"/>
      <c r="K127" s="555"/>
    </row>
    <row r="128" spans="1:12" ht="15.6" x14ac:dyDescent="0.3">
      <c r="A128" s="520"/>
      <c r="B128" s="520"/>
      <c r="C128" s="58" t="s">
        <v>87</v>
      </c>
      <c r="D128" s="58"/>
      <c r="E128" s="165"/>
      <c r="F128" s="84" t="str">
        <f>IF(E128="","",ROUND(IF(E128&gt;40,0,IF(E128&lt;5,1,E128^3*'Reference Standards'!S$122+E128^2*'Reference Standards'!S$123+E128*'Reference Standards'!S$124+'Reference Standards'!S$125)),2))</f>
        <v/>
      </c>
      <c r="G128" s="529"/>
      <c r="H128" s="567"/>
      <c r="I128" s="555"/>
      <c r="J128" s="555"/>
      <c r="K128" s="555"/>
    </row>
    <row r="129" spans="1:13" ht="15.6" x14ac:dyDescent="0.3">
      <c r="A129" s="520"/>
      <c r="B129" s="521"/>
      <c r="C129" s="59" t="s">
        <v>394</v>
      </c>
      <c r="D129" s="59"/>
      <c r="E129" s="167"/>
      <c r="F129" s="341" t="str">
        <f>IF(E129="","",ROUND(IF(E129&gt;=30,0,IF(E129&lt;=0,1,E129*'Reference Standards'!S$156+'Reference Standards'!S$157)),2))</f>
        <v/>
      </c>
      <c r="G129" s="530"/>
      <c r="H129" s="567"/>
      <c r="I129" s="555"/>
      <c r="J129" s="555"/>
      <c r="K129" s="555"/>
    </row>
    <row r="130" spans="1:13" ht="15.6" x14ac:dyDescent="0.3">
      <c r="A130" s="520"/>
      <c r="B130" s="520" t="s">
        <v>50</v>
      </c>
      <c r="C130" s="60" t="s">
        <v>377</v>
      </c>
      <c r="D130" s="64"/>
      <c r="E130" s="136"/>
      <c r="F130" s="294" t="str">
        <f>IF(E130="","",ROUND(IF(E130&gt;9.2,1,E130*'Reference Standards'!$S$189+'Reference Standards'!$S$190),2))</f>
        <v/>
      </c>
      <c r="G130" s="552" t="str">
        <f>IFERROR(ROUND(AVERAGE(F130:F139),2),"")</f>
        <v/>
      </c>
      <c r="H130" s="567"/>
      <c r="I130" s="555"/>
      <c r="J130" s="555"/>
      <c r="K130" s="555"/>
    </row>
    <row r="131" spans="1:13" ht="15.6" x14ac:dyDescent="0.3">
      <c r="A131" s="520"/>
      <c r="B131" s="520"/>
      <c r="C131" s="62" t="s">
        <v>378</v>
      </c>
      <c r="D131" s="58"/>
      <c r="E131" s="162"/>
      <c r="F131" s="294" t="str">
        <f>IF(E131="","",ROUND(IF(E131&gt;9.2,1,E131*'Reference Standards'!$S$189+'Reference Standards'!$S$190),2))</f>
        <v/>
      </c>
      <c r="G131" s="553"/>
      <c r="H131" s="567"/>
      <c r="I131" s="555"/>
      <c r="J131" s="555"/>
      <c r="K131" s="555"/>
    </row>
    <row r="132" spans="1:13" ht="15.6" x14ac:dyDescent="0.3">
      <c r="A132" s="520"/>
      <c r="B132" s="520"/>
      <c r="C132" s="62" t="s">
        <v>379</v>
      </c>
      <c r="D132" s="58"/>
      <c r="E132" s="162"/>
      <c r="F132" s="294" t="str">
        <f>IF(E132="","",ROUND( IF(E132&gt;=200,1,IF(E132&lt;50, E132^2*'Reference Standards'!S$224+E132*'Reference Standards'!S$225+'Reference Standards'!S$226, E132*'Reference Standards'!T$224+'Reference Standards'!T$225)),2))</f>
        <v/>
      </c>
      <c r="G132" s="553"/>
      <c r="H132" s="567"/>
      <c r="I132" s="555"/>
      <c r="J132" s="555"/>
      <c r="K132" s="555"/>
    </row>
    <row r="133" spans="1:13" ht="15.6" x14ac:dyDescent="0.3">
      <c r="A133" s="520"/>
      <c r="B133" s="520"/>
      <c r="C133" s="62" t="s">
        <v>380</v>
      </c>
      <c r="D133" s="58"/>
      <c r="E133" s="162"/>
      <c r="F133" s="294" t="str">
        <f>IF(E133="","",ROUND( IF(E133&gt;=200,1,IF(E133&lt;50, E133^2*'Reference Standards'!S$224+E133*'Reference Standards'!S$225+'Reference Standards'!S$226, E133*'Reference Standards'!T$224+'Reference Standards'!T$225)),2))</f>
        <v/>
      </c>
      <c r="G133" s="553"/>
      <c r="H133" s="567"/>
      <c r="I133" s="555"/>
      <c r="J133" s="555"/>
      <c r="K133" s="555"/>
    </row>
    <row r="134" spans="1:13" ht="15.6" x14ac:dyDescent="0.3">
      <c r="A134" s="520"/>
      <c r="B134" s="520"/>
      <c r="C134" s="58" t="s">
        <v>381</v>
      </c>
      <c r="D134" s="58"/>
      <c r="E134" s="162"/>
      <c r="F134" s="294" t="str">
        <f>IF(E134="","",ROUND(IF(AND(E134&gt;=135,E134&lt;=262),1,IF(  E134&gt;=366,0.5, IF(E134&lt;135,E134*'Reference Standards'!S$259+'Reference Standards'!S$260, E134*'Reference Standards'!T$259+'Reference Standards'!T$260))),2))</f>
        <v/>
      </c>
      <c r="G134" s="553"/>
      <c r="H134" s="567"/>
      <c r="I134" s="555"/>
      <c r="J134" s="555"/>
      <c r="K134" s="555"/>
    </row>
    <row r="135" spans="1:13" ht="15.6" x14ac:dyDescent="0.3">
      <c r="A135" s="520"/>
      <c r="B135" s="520"/>
      <c r="C135" s="58" t="s">
        <v>382</v>
      </c>
      <c r="D135" s="58"/>
      <c r="E135" s="162"/>
      <c r="F135" s="294" t="str">
        <f>IF(E135="","",ROUND(IF(AND(E135&gt;=135,E135&lt;=262),1,IF(  E135&gt;=366,0.5, IF(E135&lt;135,E135*'Reference Standards'!S$259+'Reference Standards'!S$260, E135*'Reference Standards'!T$259+'Reference Standards'!T$260))),2))</f>
        <v/>
      </c>
      <c r="G135" s="553"/>
      <c r="H135" s="567"/>
      <c r="I135" s="555"/>
      <c r="J135" s="555"/>
      <c r="K135" s="555"/>
    </row>
    <row r="136" spans="1:13" ht="15.6" x14ac:dyDescent="0.3">
      <c r="A136" s="520"/>
      <c r="B136" s="520"/>
      <c r="C136" s="58" t="s">
        <v>383</v>
      </c>
      <c r="D136" s="58"/>
      <c r="E136" s="162"/>
      <c r="F136" s="84" t="str">
        <f>IF(E136="","",ROUND(IF(E136&gt;=75,1,IF(E136&lt;=0,0,E136*'Reference Standards'!S$330)),2))</f>
        <v/>
      </c>
      <c r="G136" s="553"/>
      <c r="H136" s="567"/>
      <c r="I136" s="555"/>
      <c r="J136" s="555"/>
      <c r="K136" s="555"/>
    </row>
    <row r="137" spans="1:13" ht="15.6" x14ac:dyDescent="0.3">
      <c r="A137" s="520"/>
      <c r="B137" s="520"/>
      <c r="C137" s="58" t="s">
        <v>384</v>
      </c>
      <c r="D137" s="58"/>
      <c r="E137" s="162"/>
      <c r="F137" s="84" t="str">
        <f>IF(E137="","",ROUND(IF(E137&gt;=75,1,IF(E137&lt;=0,0,E137*'Reference Standards'!S$330)),2))</f>
        <v/>
      </c>
      <c r="G137" s="553"/>
      <c r="H137" s="567"/>
      <c r="I137" s="555"/>
      <c r="J137" s="555"/>
      <c r="K137" s="555"/>
    </row>
    <row r="138" spans="1:13" ht="15.6" x14ac:dyDescent="0.3">
      <c r="A138" s="520"/>
      <c r="B138" s="520"/>
      <c r="C138" s="58" t="s">
        <v>385</v>
      </c>
      <c r="D138" s="58"/>
      <c r="E138" s="162"/>
      <c r="F138" s="294" t="str">
        <f>IF(E138="","",ROUND(IF(AND(E138&gt;=36.3,E138&lt;=68),1,IF(E138&gt;100,0,IF(E138&lt;36.3,(('Reference Standards'!S$297*(E138^2))+('Reference Standards'!S$298*E138)+'Reference Standards'!S$299),IF(E138&gt;68,(('Reference Standards'!T$297*(E138^2))+('Reference Standards'!T$298*E138)+'Reference Standards'!T$299))))),2))</f>
        <v/>
      </c>
      <c r="G138" s="553"/>
      <c r="H138" s="567"/>
      <c r="I138" s="555"/>
      <c r="J138" s="555"/>
      <c r="K138" s="555"/>
      <c r="M138" s="21"/>
    </row>
    <row r="139" spans="1:13" ht="15.6" x14ac:dyDescent="0.3">
      <c r="A139" s="520"/>
      <c r="B139" s="521"/>
      <c r="C139" s="58" t="s">
        <v>386</v>
      </c>
      <c r="D139" s="65"/>
      <c r="E139" s="162"/>
      <c r="F139" s="294" t="str">
        <f>IF(E139="","",ROUND(IF(AND(E139&gt;=36.3,E139&lt;=68),1,IF(E139&gt;100,0,IF(E139&lt;36.3,(('Reference Standards'!S$297*(E139^2))+('Reference Standards'!S$298*E139)+'Reference Standards'!S$299),IF(E139&gt;68,(('Reference Standards'!T$297*(E139^2))+('Reference Standards'!T$298*E139)+'Reference Standards'!T$299))))),2))</f>
        <v/>
      </c>
      <c r="G139" s="554"/>
      <c r="H139" s="567"/>
      <c r="I139" s="555"/>
      <c r="J139" s="555"/>
      <c r="K139" s="555"/>
    </row>
    <row r="140" spans="1:13" ht="15.6" x14ac:dyDescent="0.3">
      <c r="A140" s="520"/>
      <c r="B140" s="56" t="s">
        <v>108</v>
      </c>
      <c r="C140" s="72" t="s">
        <v>130</v>
      </c>
      <c r="D140" s="58"/>
      <c r="E140" s="43"/>
      <c r="F140" s="82" t="str">
        <f>IF(E140="","",IF(OR('Quantification Tool R1'!B$14="Gravel",'Quantification Tool R1'!B$14="Cobble"),IF(E140&gt;0.1,1,IF(E140&lt;=0.01,0,ROUND(E140*'Reference Standards'!$S$362+'Reference Standards'!$S$363,2)))))</f>
        <v/>
      </c>
      <c r="G140" s="82" t="str">
        <f>IFERROR(AVERAGE(F140),"")</f>
        <v/>
      </c>
      <c r="H140" s="567"/>
      <c r="I140" s="555"/>
      <c r="J140" s="555"/>
      <c r="K140" s="555"/>
    </row>
    <row r="141" spans="1:13" ht="15.6" x14ac:dyDescent="0.3">
      <c r="A141" s="520"/>
      <c r="B141" s="526" t="s">
        <v>51</v>
      </c>
      <c r="C141" s="64" t="s">
        <v>52</v>
      </c>
      <c r="D141" s="64"/>
      <c r="E141" s="166"/>
      <c r="F141" s="337" t="str">
        <f>IF(E141="","", IF(ISNUMBER('Quantification Tool R1'!$B$17), IF('Quantification Tool R1'!$B$17&lt;=2,   IF(AND(E141&gt;=3,E141&lt;=5),1, IF(OR(E141&lt;=1,E141&gt;=7), 0, ROUND( IF(E141&lt;3, E141*'Reference Standards'!S$398+'Reference Standards'!S$399,E141*'Reference Standards'!T$398+'Reference Standards'!T$399),2) ) ),   IF(E141&lt;=2.5,1, IF(E141&gt;=5.8,0, ROUND(E141*'Reference Standards'!S$430+'Reference Standards'!S$431,2))))   ))</f>
        <v/>
      </c>
      <c r="G141" s="528" t="str">
        <f>IFERROR(AVERAGE(F141:F144),"")</f>
        <v/>
      </c>
      <c r="H141" s="567"/>
      <c r="I141" s="555"/>
      <c r="J141" s="555"/>
      <c r="K141" s="555"/>
    </row>
    <row r="142" spans="1:13" ht="15.6" x14ac:dyDescent="0.3">
      <c r="A142" s="520"/>
      <c r="B142" s="520"/>
      <c r="C142" s="58" t="s">
        <v>53</v>
      </c>
      <c r="D142" s="58"/>
      <c r="E142" s="165"/>
      <c r="F142" s="84" t="str">
        <f>IF(E142="","", IF( E142&gt;=2.4,1, IF(E142&lt;=1,0,  ROUND(IF(E142&lt;2.4, E142*'Reference Standards'!$S$464+'Reference Standards'!$S$465  ),2))))</f>
        <v/>
      </c>
      <c r="G142" s="529"/>
      <c r="H142" s="567"/>
      <c r="I142" s="555"/>
      <c r="J142" s="555"/>
      <c r="K142" s="555"/>
    </row>
    <row r="143" spans="1:13" ht="15.6" x14ac:dyDescent="0.3">
      <c r="A143" s="520"/>
      <c r="B143" s="520"/>
      <c r="C143" s="58" t="s">
        <v>334</v>
      </c>
      <c r="D143" s="58"/>
      <c r="E143" s="165"/>
      <c r="F143" s="390" t="str">
        <f>IF(E143="","", IF(LEFT('Quantification Tool R1'!$B$12,2)="67",  IF( AND(E143&gt;=45,E143&lt;=65),1, IF(OR(E143&lt;=20,E143&gt;=90),0, ROUND(  IF(E143&lt;45, E143*'Reference Standards'!$S$498+'Reference Standards'!$S$499,E143*'Reference Standards'!$T$498+'Reference Standards'!$T$499),2))), IF(OR(  LEFT('Quantification Tool R1'!$B$12,2)="68", LEFT('Quantification Tool R1'!$B$12,2)="69",LEFT('Quantification Tool R1'!$B$12,2)="71"),  IF( AND(E143&gt;=30,E143&lt;=50),1, IF(OR(E143&lt;=10,E143&gt;=70),0, ROUND(  IF(E143&lt;30, E143*'Reference Standards'!$S$533+'Reference Standards'!$S$534,E143*'Reference Standards'!$T$533+'Reference Standards'!$T$534),2))), IF(LEFT('Quantification Tool R1'!$B$12,2)="66",  IF( AND(E143&gt;=20,E143&lt;=45),1, IF(OR(E143&lt;=0,E143&gt;=90),0, ROUND(  IF(E143&lt;20, E143*'Reference Standards'!$S$567+'Reference Standards'!$S$568,E143*'Reference Standards'!$T$567+'Reference Standards'!$T$568),2))), IF(OR(  LEFT('Quantification Tool R1'!$B$12,2)="65", LEFT('Quantification Tool R1'!$B$12,2)="74", LEFT('Quantification Tool R1'!$B$12,2)="73"),  IF( AND(E143&gt;=20,E143&lt;=30),1, IF(OR(E143&lt;=0,E143&gt;=50),0, ROUND(  IF(E143&lt;20, E143*'Reference Standards'!$S$601+'Reference Standards'!$S$602,E143*'Reference Standards'!$T$601+'Reference Standards'!$T$602),2))))))))</f>
        <v/>
      </c>
      <c r="G143" s="529"/>
      <c r="H143" s="567"/>
      <c r="I143" s="555"/>
      <c r="J143" s="555"/>
      <c r="K143" s="555"/>
    </row>
    <row r="144" spans="1:13" ht="15.6" x14ac:dyDescent="0.3">
      <c r="A144" s="520"/>
      <c r="B144" s="521"/>
      <c r="C144" s="62" t="s">
        <v>210</v>
      </c>
      <c r="D144" s="58"/>
      <c r="E144" s="167"/>
      <c r="F144" s="391" t="str">
        <f>IF(E144="","",IF(E144&gt;=1.6,0,IF(E144&lt;=1,1,ROUND('Reference Standards'!$S$633*E144^3+'Reference Standards'!$S$634*E144^2+'Reference Standards'!$S$635*E144+'Reference Standards'!$S$636,2))))</f>
        <v/>
      </c>
      <c r="G144" s="530"/>
      <c r="H144" s="567"/>
      <c r="I144" s="555"/>
      <c r="J144" s="555"/>
      <c r="K144" s="555"/>
      <c r="L144" s="13"/>
    </row>
    <row r="145" spans="1:12" ht="15.6" x14ac:dyDescent="0.3">
      <c r="A145" s="521"/>
      <c r="B145" s="309" t="s">
        <v>55</v>
      </c>
      <c r="C145" s="242" t="s">
        <v>54</v>
      </c>
      <c r="D145" s="243"/>
      <c r="E145" s="163"/>
      <c r="F145" s="342" t="str">
        <f>IF(E145="","",IF(AND('Quantification Tool R1'!B$11="E",'Quantification Tool R1'!$B$14="Sand",'Quantification Tool R1'!$B$21="Unconfined Alluvial"),ROUND(IF(OR(E145&gt;1.8,E145&lt;1.3),0,IF(E145&lt;=1.6,1,E145*'Reference Standards'!S$667+'Reference Standards'!S$668)),2),    IF('Quantification Tool R1'!$B$21="Unconfined Alluvial",ROUND(IF(OR(E145&lt;1.2, E145&gt;1.5),0,IF(E145&lt;=1.4,1,E145*'Reference Standards'!$S$700+'Reference Standards'!$S$701)),2), IF('Quantification Tool R1'!$B$21="Confined Alluvial",ROUND(IF(E145&lt;1.15,0,IF(E145&lt;=1.4,E145*'Reference Standards'!$S$729+'Reference Standards'!$S$730,1)),2),  IF('Quantification Tool R1'!$B$21="Colluvial",ROUND(IF(E145&gt;1.3,0,IF(E145&gt;1.2,E145*'Reference Standards'!$S$760+'Reference Standards'!$S$761,1)),2) )))))</f>
        <v/>
      </c>
      <c r="G145" s="84" t="str">
        <f>IFERROR(AVERAGE(F145),"")</f>
        <v/>
      </c>
      <c r="H145" s="567"/>
      <c r="I145" s="555"/>
      <c r="J145" s="555"/>
      <c r="K145" s="555"/>
      <c r="L145" s="13"/>
    </row>
    <row r="146" spans="1:12" ht="15.6" x14ac:dyDescent="0.3">
      <c r="A146" s="537" t="s">
        <v>58</v>
      </c>
      <c r="B146" s="67" t="s">
        <v>88</v>
      </c>
      <c r="C146" s="70" t="s">
        <v>338</v>
      </c>
      <c r="D146" s="70"/>
      <c r="E146" s="43"/>
      <c r="F146" s="343" t="str">
        <f>IF(E146="","",ROUND(IF(E146&gt;=942,0,IF(E146&lt;=487,E146*'Reference Standards'!AB$15+'Reference Standards'!AB$16,E146*'Reference Standards'!$AC$15+'Reference Standards'!$AC$16)),2))</f>
        <v/>
      </c>
      <c r="G146" s="85" t="str">
        <f>IFERROR(AVERAGE(F146),"")</f>
        <v/>
      </c>
      <c r="H146" s="547" t="str">
        <f>IFERROR(ROUND(AVERAGE(G146:G149),2),"")</f>
        <v/>
      </c>
      <c r="I146" s="534" t="str">
        <f>IF(H146="","",IF(H146&gt;0.69,"Functioning",IF(H146&gt;0.29,"Functioning At Risk",IF(H146&gt;-1,"Not Functioning"))))</f>
        <v/>
      </c>
      <c r="J146" s="555"/>
      <c r="K146" s="555"/>
      <c r="L146" s="21"/>
    </row>
    <row r="147" spans="1:12" ht="15.6" x14ac:dyDescent="0.3">
      <c r="A147" s="538"/>
      <c r="B147" s="306" t="s">
        <v>362</v>
      </c>
      <c r="C147" s="66" t="s">
        <v>354</v>
      </c>
      <c r="D147" s="66"/>
      <c r="E147" s="163"/>
      <c r="F147" s="344" t="str">
        <f>IF(E147="","",IF(OR('Quantification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June")),IF(E147&gt;93,0,IF(E147&lt;13,1,ROUND('Reference Standards'!$AB$53*E147^2+'Reference Standards'!$AB$54*E147+'Reference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R1'!$B$12="73b"),IF(E147&gt;94,0,IF(E147&lt;17,1,ROUND('Reference Standards'!$AC$53*E147^2+'Reference Standards'!$AC$54*E147+'Reference Standards'!$AC$55,2))),    IF(OR(AND(OR('Quantification Tool R1'!$B$12="68b",'Quantification Tool R1'!$B$12="71i"),'Quantification Tool R1'!$B$13&gt;2), 'Quantification Tool R1'!$B$12="71e"),IF(E147&gt;91,0,IF(E147&lt;24,1,ROUND('Reference Standards'!$AD$53*E147^2+'Reference Standards'!$AD$54*E147+'Reference Standards'!$AD$55,2))),  IF(OR(AND(OR('Quantification Tool R1'!$B$12="71f",'Quantification Tool R1'!$B$12="71g",'Quantification Tool R1'!$B$12="71h",'Quantification Tool R1'!$B$12="71i"),'Quantification Tool R1'!$B$13&lt;=2), AND('Quantification Tool R1'!$B$12="74a",'Quantification Tool R1'!$B$13&gt;2)),IF(E147&gt;95,0,IF(E147&lt;=36,1,ROUND('Reference Standards'!$AE$53*E147^2+'Reference Standards'!$AE$54*E147+'Reference Standards'!$AE$55,2))))))))</f>
        <v/>
      </c>
      <c r="G147" s="236" t="str">
        <f>IFERROR(AVERAGE(F147:F147),"")</f>
        <v/>
      </c>
      <c r="H147" s="548"/>
      <c r="I147" s="535"/>
      <c r="J147" s="555"/>
      <c r="K147" s="555"/>
      <c r="L147" s="21"/>
    </row>
    <row r="148" spans="1:12" ht="15.6" x14ac:dyDescent="0.3">
      <c r="A148" s="538"/>
      <c r="B148" s="67" t="s">
        <v>81</v>
      </c>
      <c r="C148" s="68" t="s">
        <v>281</v>
      </c>
      <c r="D148" s="68"/>
      <c r="E148" s="162"/>
      <c r="F148" s="344" t="str">
        <f>IF(E148="","",IF(ISNUMBER('Quantification Tool R1'!$B$13), IF(OR('Quantification Tool R1'!$B$12="66e",'Quantification Tool R1'!$B$12="66f",'Quantification Tool R1'!$B$12="66g"), ROUND(IF(E148&gt;=0.61,0,IF(E148&lt;=0.01,1,IF(E148&lt;=0.06,E148*'Reference Standards'!$AD$197+'Reference Standards'!$AD$198,E148^2*'Reference Standards'!$AB$196+E148*'Reference Standards'!$AB$197+'Reference Standards'!$AB$198))),2),  IF('Quantification Tool R1'!$B$12="68b", ROUND(IF(E148&gt;=1.1,0,IF(E148&lt;=0.17,1,IF(E148&lt;=0.22,E148*'Reference Standards'!$AE$197+'Reference Standards'!$AE$198,E148^2*'Reference Standards'!$AC$196+E148*'Reference Standards'!$AC$197+'Reference Standards'!$AC$198))),2),IF('Quantification Tool R1'!$B$13&lt;=2.5,   IF('Quantification Tool R1'!$B$12="69de",ROUND(IF(E148&gt;=0.22,0,IF(E148&lt;=0.01,1,E148^2*'Reference Standards'!$AB$90+E148*'Reference Standards'!$AB$91+'Reference Standards'!$AB$92)),2),   IF('Quantification Tool R1'!$B$12="68c",ROUND(IF(E148&gt;=0.87,0,IF(E148&lt;=0.01,1,E148^2*'Reference Standards'!$AC$90+E148*'Reference Standards'!$AC$91+'Reference Standards'!$AC$92)),2),   IF('Quantification Tool R1'!$B$12="68a",ROUND(IF(E148&gt;=0.81,0,IF(E148&lt;=0.01,1,E148^2*'Reference Standards'!$AD$90+E148*'Reference Standards'!$AD$91+'Reference Standards'!$AD$92)),2),   IF('Quantification Tool R1'!$B$12="65abei",ROUND(IF(E148&gt;=0.67,0,IF(E148&lt;=0.01,1,IF(E148&lt;=0.18,E148*'Reference Standards'!$AG$91+'Reference Standards'!$AG$92,E148*'Reference Standards'!$AE$91+'Reference Standards'!$AE$92))),2),   IF('Quantification Tool R1'!$B$12="65j",ROUND(IF(E148&gt;=0.32,0,IF(E148&lt;=0.01,1,IF(E148&lt;=0.25,E148*'Reference Standards'!$AH$91+'Reference Standards'!$AH$92,E148*'Reference Standards'!$AF$91+'Reference Standards'!$AF$92))),2),   IF('Quantification Tool R1'!$B$12="71f",ROUND(IF(E148&gt;=3,0,IF(E148&lt;=0,1,IF(E148&lt;=0.01,0.7,E148^2*'Reference Standards'!$AB$126+E148*'Reference Standards'!$AB$127+'Reference Standards'!$AB$128))),2),   IF('Quantification Tool R1'!$B$12="74a",ROUND(IF(E148&gt;=0.14,0,IF(E148&lt;=0.01,1,IF(E148&lt;=0.02,0.7,E148^2*'Reference Standards'!$AC$126+E148*'Reference Standards'!$AC$127+'Reference Standards'!$AC$128))),2),   IF(OR('Quantification Tool R1'!$B$12="67fhi",'Quantification Tool R1'!$B$12="67g"),ROUND(IF(E148&gt;=1.9,0,IF(E148&lt;=0.01,1,IF(E148&lt;=0.05,E148*'Reference Standards'!$AF$127+'Reference Standards'!$AF$128,E148^2*'Reference Standards'!$AD$126+E148*'Reference Standards'!$AD$127+'Reference Standards'!$AD$128))),2),   IF('Quantification Tool R1'!$B$12="73a",ROUND(IF(E148&gt;=1.44,0,IF(E148&lt;=0.01,1,IF(E148&lt;=0.12,E148*'Reference Standards'!$AG$127+'Reference Standards'!$AG$128,E148^2*'Reference Standards'!$AE$126+E148*'Reference Standards'!$AE$127+'Reference Standards'!$AE$128))),2),   IF('Quantification Tool R1'!$B$12="66d",ROUND(IF(E148&gt;=0.46,0,IF(E148&lt;=0.02,1,IF(E148&lt;=0.08,E148*'Reference Standards'!$AF$163+'Reference Standards'!$AF$164,E148^2*'Reference Standards'!$AB$162+E148*'Reference Standards'!$AB$163+'Reference Standards'!$AB$164))),2),   IF(OR('Quantification Tool R1'!$B$12="71g",'Quantification Tool R1'!$B$12="71h",'Quantification Tool R1'!$B$12="71i"),ROUND(IF(E148&gt;=3,0,IF(E148&lt;=0.06,1,IF(E148&lt;=0.24,E148*'Reference Standards'!$AG$163+'Reference Standards'!$AG$164, E148^2*'Reference Standards'!$AC$162+E148*'Reference Standards'!$AC$163+'Reference Standards'!$AC$164))),2),   IF('Quantification Tool R1'!$B$12="74b",ROUND(IF(E148&gt;=1.3,0,IF(E148&lt;=0.29,1,IF(E148&lt;=0.48,E148*'Reference Standards'!$AH$163+'Reference Standards'!$AH$164,E148^2*'Reference Standards'!$AD$162+E148*'Reference Standards'!$AD$163+'Reference Standards'!$AD$164))),2),   IF('Quantification Tool R1'!$B$12="71e",ROUND(IF(E148&gt;=4.3,0,IF(E148&lt;=0.53,1,IF(E148&lt;=0.67,E148*'Reference Standards'!$AI$163+'Reference Standards'!$AI$164,E148^2*'Reference Standards'!$AE$162+E148*'Reference Standards'!$AE$163+'Reference Standards'!$AE$164))),2)       ))))))))))))),IF('Quantification Tool R1'!$B$13&gt;2.5,    IF('Quantification Tool R1'!$B$12="73a",ROUND(IF(E148&gt;=0.55,0,IF(E148&lt;=0,1,E148^2*'Reference Standards'!$AB$232+E148*'Reference Standards'!$AB$233+'Reference Standards'!$AB$234)),2),   IF('Quantification Tool R1'!$B$12="68a",ROUND(IF(E148&gt;=0.54,0,IF(E148&lt;=0,1, IF(E148&lt;=0.01,0.85, E148^2*'Reference Standards'!$AC$232+E148*'Reference Standards'!$AC$233+'Reference Standards'!$AC$234))),2),   IF('Quantification Tool R1'!$B$12="74a",ROUND(IF(E148&gt;=0.47,0,IF(E148&lt;=0.01,1, IF(E148&lt;=0.02,0.7, E148^2*'Reference Standards'!$AD$232+E148*'Reference Standards'!$AD$233+'Reference Standards'!$AD$234))),2),    IF('Quantification Tool R1'!$B$12="69de",ROUND(IF(E148&gt;=0.26,0,IF(E148&lt;=0.01,1, IF(E148&lt;=0.02,0.85, E148^2*'Reference Standards'!$AE$232+E148*'Reference Standards'!$AE$233+'Reference Standards'!$AE$234))),2),   IF('Quantification Tool R1'!$B$12="71f",ROUND(IF(E148&gt;=0.87,0,IF(E148&lt;=0.01,1,IF(E148&lt;=0.04,E148*'Reference Standards'!$AF$269+'Reference Standards'!$AF$270,E148^2*'Reference Standards'!$AB$268+E148*'Reference Standards'!$AB$269+'Reference Standards'!$AB$270))),2),  IF('Quantification Tool R1'!$B$12="65abei",ROUND(IF(E148&gt;=0.82,0,IF(E148&lt;=0.01,1,IF(E148&lt;=0.06,E148*'Reference Standards'!$AG$269+'Reference Standards'!$AG$270,E148^2*'Reference Standards'!$AC$268+E148*'Reference Standards'!$AC$269+'Reference Standards'!$AC$270))),2),  IF('Quantification Tool R1'!$B$12="65j",ROUND(IF(E148&gt;=0.33,0,IF(E148&lt;=0.03,1,IF(E148&lt;=0.09,E148*'Reference Standards'!$AH$269+'Reference Standards'!$AH$270,E148^2*'Reference Standards'!$AD$268+E148*'Reference Standards'!$AD$269+'Reference Standards'!$AD$270))),2),  IF('Quantification Tool R1'!$B$12="68c",ROUND(IF(E148&gt;=0.7,0,IF(E148&lt;=0.07,1,IF(E148&lt;=0.12,E148*'Reference Standards'!$AI$269+'Reference Standards'!$AI$270,E148^2*'Reference Standards'!$AE$268+E148*'Reference Standards'!$AE$269+'Reference Standards'!$AE$270))),2),   IF(OR('Quantification Tool R1'!$B$12="67fhi",'Quantification Tool R1'!$B$12="67g"),ROUND(IF(E148&gt;=1.8,0,IF(E148&lt;=0.08,1,IF(E148&lt;=0.2,E148*'Reference Standards'!$AF$306+'Reference Standards'!$AF$307,E148^2*'Reference Standards'!$AB$305+E148*'Reference Standards'!$AB$306+'Reference Standards'!$AB$307))),2),   IF('Quantification Tool R1'!$B$12="74b",ROUND(IF(E148&gt;=0.96,0,IF(E148&lt;=0.12,1,IF(E148&lt;=0.16,E148*'Reference Standards'!$AG$306+'Reference Standards'!$AG$307,E148^2*'Reference Standards'!$AC$305+E148*'Reference Standards'!$AC$306+'Reference Standards'!$AC$307))),2),   IF('Quantification Tool R1'!$B$12="66d",ROUND(IF(E148&gt;=0.75,0,IF(E148&lt;=0.13,1,IF(E148&lt;=0.2,E148*'Reference Standards'!$AH$306+'Reference Standards'!$AH$307,E148^2*'Reference Standards'!$AD$305+E148*'Reference Standards'!$AD$306+'Reference Standards'!$AD$307))),2),    IF(OR('Quantification Tool R1'!$B$12="71g",'Quantification Tool R1'!$B$12="71h",'Quantification Tool R1'!$B$12="71i"),ROUND(IF(E148&gt;=1.68,0,IF(E148&lt;=0.08,1,IF(E148&lt;=0.23,E148*'Reference Standards'!$AI$306+'Reference Standards'!$AI$307,E148^2*'Reference Standards'!$AE$305+E148*'Reference Standards'!$AE$306+'Reference Standards'!$AE$307))),2),   IF('Quantification Tool R1'!$B$12="71e",ROUND(IF(E148&gt;=5.3,0,IF(E148&lt;=0.94,1,IF(E148&lt;=1.4,E148*'Reference Standards'!$AF$310+'Reference Standards'!$AF$311,E148^2*'Reference Standards'!$AB$309+E148*'Reference Standards'!$AB$310+'Reference Standards'!$AB$311))),2))    ))))))))))))))))))</f>
        <v/>
      </c>
      <c r="G148" s="86" t="str">
        <f>IFERROR(AVERAGE(F148),"")</f>
        <v/>
      </c>
      <c r="H148" s="548"/>
      <c r="I148" s="535"/>
      <c r="J148" s="555"/>
      <c r="K148" s="555"/>
      <c r="L148" s="21"/>
    </row>
    <row r="149" spans="1:12" ht="15.6" x14ac:dyDescent="0.3">
      <c r="A149" s="539"/>
      <c r="B149" s="307" t="s">
        <v>82</v>
      </c>
      <c r="C149" s="66" t="s">
        <v>280</v>
      </c>
      <c r="D149" s="66"/>
      <c r="E149" s="136"/>
      <c r="F149" s="343" t="str">
        <f>IF(E149="","", IF(ISNUMBER('Quantification Tool R1'!$B$13),IF('Quantification Tool R1'!$B$13&gt;2.5,IF(OR('Quantification Tool R1'!$B$12="71h",'Quantification Tool R1'!$B$12="71i",'Quantification Tool R1'!$B$12="73a",'Quantification Tool R1'!$B$12="74a"),IF(E149&lt;=0.01,1,IF(OR('Quantification Tool R1'!$B$12="71h",'Quantification Tool R1'!$B$12="71i"),IF(E149&gt;0.37,0,ROUND(IF(E149&gt;0.03,'Reference Standards'!$AB$425*E149^2+'Reference Standards'!$AB$426*E149+'Reference Standards'!$AB$427,'Reference Standards'!$AF$426*E149+'Reference Standards'!$AF$427),2)),  IF('Quantification Tool R1'!$B$12="73a",IF(E149&gt;0.405,0,ROUND(IF(E149&gt;0.046,'Reference Standards'!$AC$425*E149^2+'Reference Standards'!$AC$426*E149+'Reference Standards'!$AC$427,'Reference Standards'!$AG$426*E149+'Reference Standards'!$AG$427),2)),IF('Quantification Tool R1'!$B$12="74a",IF(E149&gt;0.3,0,ROUND(IF(E149&gt;0.052,'Reference Standards'!$AD$425*E149^2+'Reference Standards'!$AD$426*E149+'Reference Standards'!$AD$427,'Reference Standards'!$AH$426*E149+'Reference Standards'!$AH$427),2)))))),   IF(E149&lt;=0.002,1,IF(OR('Quantification Tool R1'!$B$12="66d",'Quantification Tool R1'!$B$12="66e",'Quantification Tool R1'!$B$12="66g"),IF(E149&gt;0.053,0,ROUND(E149^2*'Reference Standards'!$AB$347+E149*'Reference Standards'!$AB$348+'Reference Standards'!$AB$349,2)), IF('Quantification Tool R1'!$B$12="68b",IF(E149&gt;0.05,0,ROUND(E149^2*'Reference Standards'!$AC$347+E149*'Reference Standards'!$AC$348+'Reference Standards'!$AC$349,2)),  IF(OR('Quantification Tool R1'!$B$12="68a",'Quantification Tool R1'!$B$12="68c"),IF(E149&gt;0.07,0,ROUND(E149^2*'Reference Standards'!$AD$347+E149*'Reference Standards'!$AD$348+'Reference Standards'!$AD$349,2)), IF(OR('Quantification Tool R1'!$B$12="71f",'Quantification Tool R1'!$B$12="71g"),IF(E149&gt;0.13,0,ROUND(IF(E149&gt;0.042,E149*'Reference Standards'!$AE$348+'Reference Standards'!$AE$349,E149*'Reference Standards'!$AF$348+'Reference Standards'!$AF$349),2)), IF('Quantification Tool R1'!$B$12="67fhi",IF(E149&gt;0.16,0,ROUND(E149^2*'Reference Standards'!$AG$347+E149*'Reference Standards'!$AG$348+'Reference Standards'!$AG$349,2)),  IF('Quantification Tool R1'!$B$12="65j",IF(E149&gt;0.035,0,ROUND(IF(E149&lt;=0.003,0.7,E149^2*'Reference Standards'!$AB$387+E149*'Reference Standards'!$AB$388+'Reference Standards'!$AB$389),2)),IF('Quantification Tool R1'!$B$12="69de",IF(E149&gt;0.037,0,ROUND(IF(E149&lt;=0.003,0.7,E149^2*'Reference Standards'!$AC$387+E149*'Reference Standards'!$AC$388+'Reference Standards'!$AC$389),2)),IF('Quantification Tool R1'!$B$12="71e",IF(E149&gt;0.23,0,ROUND(IF(E149&lt;=0.003,0.7,E149^2*'Reference Standards'!$AD$387+E149*'Reference Standards'!$AD$388+'Reference Standards'!$AD$389),2)),IF('Quantification Tool R1'!$B$12="66f",IF(E149&gt;0.06,0,ROUND(IF(E149&lt;=0.003,0.85,IF(E149&lt;=0.004,0.7,E149^2*'Reference Standards'!$AE$387+E149*'Reference Standards'!$AE$388+'Reference Standards'!$AE$389)),2)),IF('Quantification Tool R1'!$B$12="67g",IF(E149&gt;0.11,0,ROUND(IF(E149&lt;=0.01,E149*'Reference Standards'!$AH$388+'Reference Standards'!$AH$389, E149^2*'Reference Standards'!$AF$387+E149*'Reference Standards'!$AF$388+'Reference Standards'!$AF$389),2)),IF('Quantification Tool R1'!$B$12="74b",IF(E149&gt;0.49,0,ROUND(IF(E149&lt;=0.01,E149*'Reference Standards'!$AH$388+'Reference Standards'!$AH$389, E149^2*'Reference Standards'!$AG$387+E149*'Reference Standards'!$AG$388+'Reference Standards'!$AG$389),2)),IF('Quantification Tool R1'!$B$12="65abei",IF(E149&gt;0.199,0,ROUND(IF(E149&lt;=0.01,E149*'Reference Standards'!$AI$426+'Reference Standards'!$AI$427, E149^2*'Reference Standards'!$AE$425+E149*'Reference Standards'!$AE$426+'Reference Standards'!$AE$427),2))    )))))))))))))),      IF('Quantification Tool R1'!$B$13&lt;=2.5, IF(OR('Quantification Tool R1'!$B$12="66d",'Quantification Tool R1'!$B$12="66e",'Quantification Tool R1'!$B$12="66g"),IF(E149&gt;0.05,0,ROUND(IF(E149&lt;=0.002,1,IF(E149&lt;=0.005,E149*'Reference Standards'!$AF$464+'Reference Standards'!$AF$465, E149^2*'Reference Standards'!$AB$463+E149*'Reference Standards'!$AB$464+'Reference Standards'!$AB$465)),2)), IF('Quantification Tool R1'!$B$12="67fhi",IF(E149&gt;0.1,0,ROUND(IF(E149&lt;=0.002,1,IF(E149&lt;=0.006,E149*'Reference Standards'!$AG$464+'Reference Standards'!$AG$465, E149^2*'Reference Standards'!$AC$463+E149*'Reference Standards'!$AC$464+'Reference Standards'!$AC$465)),2)), IF('Quantification Tool R1'!$B$12="65abei",IF(E149&gt;0.13,0,ROUND(IF(E149&lt;=0.003,1,IF(E149&lt;=0.008,E149*'Reference Standards'!$AH$464+'Reference Standards'!$AH$465, E149^2*'Reference Standards'!$AD$463+E149*'Reference Standards'!$AD$464+'Reference Standards'!$AD$465)),2)), IF('Quantification Tool R1'!$B$12="68b",IF(E149&gt;0.043,0,ROUND(IF(E149&lt;=0.004,1, IF(E149&lt;=0.005,0.7, E149^2*'Reference Standards'!$AE$463+E149*'Reference Standards'!$AE$464+'Reference Standards'!$AE$465)),2)), IF('Quantification Tool R1'!$B$12="69de",IF(E149&gt;=0.034,0,ROUND(IF(E149&lt;=0.003,1, IF(E149&lt;=0.006,E149*'Reference Standards'!$AG$500+'Reference Standards'!$AG$501, E149*'Reference Standards'!$AB$500+'Reference Standards'!$AB$501)),2)), IF(OR('Quantification Tool R1'!$B$12="68a",'Quantification Tool R1'!$B$12="68c"),IF(E149&gt;0.202,0,ROUND(IF(E149&lt;=0.003,1, IF(E149&lt;=0.006,E149*'Reference Standards'!$AG$500+'Reference Standards'!$AG$501, IF(E149&gt;=0.04,E149*'Reference Standards'!$AC$500+'Reference Standards'!$AC$501,E149*'Reference Standards'!$AE$500+'Reference Standards'!$AE$501))),2)), IF(OR('Quantification Tool R1'!$B$12="71f",'Quantification Tool R1'!$B$12="71g"),IF(E149&gt;0.631,0,ROUND(IF(E149&lt;=0.003,1, IF(E149&lt;=0.006,E149*'Reference Standards'!$AG$500+'Reference Standards'!$AG$501, IF(E149&gt;=0.17,E149*'Reference Standards'!$AD$500+'Reference Standards'!$AD$501,E149*'Reference Standards'!$AF$500+'Reference Standards'!$AF$501))),2)),   IF('Quantification Tool R1'!$B$12="71e",IF(E149&gt;1.23,0,ROUND(IF(E149&lt;=0.004,1,IF(E149&lt;=0.006,E149*'Reference Standards'!$AF$538+'Reference Standards'!$AF$539, E149^2*'Reference Standards'!$AB$537+E149*'Reference Standards'!$AB$538+'Reference Standards'!$AB$539)),2)), IF('Quantification Tool R1'!$B$12="67g",IF(E149&gt;0.11,0,ROUND(IF(E149&lt;=0.006,1,IF(E149&lt;=0.011,E149*'Reference Standards'!$AG$538+'Reference Standards'!$AG$539, E149^2*'Reference Standards'!$AC$537+E149*'Reference Standards'!$AC$538+'Reference Standards'!$AC$539)),2)), IF('Quantification Tool R1'!$B$12="65j",IF(E149&gt;0.046,0,ROUND(IF(E149&lt;=0.007,1,IF(E149&lt;=0.012,E149*'Reference Standards'!$AH$538+'Reference Standards'!$AH$539, E149^2*'Reference Standards'!$AD$537+E149*'Reference Standards'!$AD$538+'Reference Standards'!$AD$539)),2)), IF('Quantification Tool R1'!$B$12="66f",IF(E149&gt;0.081,0,ROUND(IF(E149&lt;=0.008,1,IF(E149&lt;=0.011,E149*'Reference Standards'!$AI$538+'Reference Standards'!$AI$539, E149^2*'Reference Standards'!$AE$537+E149*'Reference Standards'!$AE$538+'Reference Standards'!$AE$539)),2)), IF(OR('Quantification Tool R1'!$B$12="71h",'Quantification Tool R1'!$B$12="71i"),IF(E149&gt;0.37,0,ROUND(IF(E149&lt;=0.013,1,IF(E149&lt;=0.032,E149*'Reference Standards'!$AH$576+'Reference Standards'!$AH$577, IF(E149&lt;=0.3,E149*'Reference Standards'!$AF$576+'Reference Standards'!$AF$577,E149*'Reference Standards'!$AB$576+'Reference Standards'!$AB$577))),2)), IF('Quantification Tool R1'!$B$12="73a",IF(E149&gt;0.448,0,ROUND(IF(E149&lt;=0.071,1,IF(E149&lt;=0.086,E149*'Reference Standards'!$AJ$576+'Reference Standards'!$AJ$577, IF(E149&lt;=0.165,E149*'Reference Standards'!$AG$576+'Reference Standards'!$AG$577,E149*'Reference Standards'!$AE$576+'Reference Standards'!$AE$577))),2)),  IF('Quantification Tool R1'!$B$12="74b",IF(E149&gt;0.43,0,ROUND(IF(E149&lt;=0.018,1,IF(E149&lt;=0.019,0.85, IF(E149&lt;=0.02,0.7, E149^2*'Reference Standards'!$AC$575+E149*'Reference Standards'!$AC$576+'Reference Standards'!$AC$577))),2)), IF('Quantification Tool R1'!$B$12="74a",IF(E149&gt;0.217,0,ROUND(IF(E149&lt;=0.02,1,IF(E149&lt;=0.033,E149*'Reference Standards'!$AI$576+'Reference Standards'!$AI$577, E149^2*'Reference Standards'!$AD$575+E149*'Reference Standards'!$AD$576+'Reference Standards'!$AD$577)),2))     )))))))))))))))))))</f>
        <v/>
      </c>
      <c r="G149" s="87" t="str">
        <f>IFERROR(AVERAGE(F149),"")</f>
        <v/>
      </c>
      <c r="H149" s="549"/>
      <c r="I149" s="536"/>
      <c r="J149" s="555"/>
      <c r="K149" s="555"/>
      <c r="L149" s="21"/>
    </row>
    <row r="150" spans="1:12" ht="15.6" x14ac:dyDescent="0.3">
      <c r="A150" s="550" t="s">
        <v>59</v>
      </c>
      <c r="B150" s="560" t="s">
        <v>340</v>
      </c>
      <c r="C150" s="125" t="s">
        <v>331</v>
      </c>
      <c r="D150" s="126"/>
      <c r="E150" s="166"/>
      <c r="F150" s="345" t="str">
        <f>IF(E150="","",IF(OR('Quantification Tool R1'!B$12="73a",'Quantification Tool R1'!B$12="73b"),IF(E150&lt;1,0,IF(E150&gt;=30,1,ROUND(IF(E150&lt;22,'Reference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531" t="str">
        <f>IFERROR(AVERAGE(F150:F153),"")</f>
        <v/>
      </c>
      <c r="H150" s="568" t="str">
        <f>IFERROR(ROUND(AVERAGE(G150:G155),2),"")</f>
        <v/>
      </c>
      <c r="I150" s="519" t="str">
        <f>IF(H150="","",IF(H150&gt;0.69,"Functioning",IF(H150&gt;0.29,"Functioning At Risk",IF(H150&gt;-1,"Not Functioning"))))</f>
        <v/>
      </c>
      <c r="J150" s="555"/>
      <c r="K150" s="555"/>
      <c r="L150" s="21"/>
    </row>
    <row r="151" spans="1:12" ht="15.6" x14ac:dyDescent="0.3">
      <c r="A151" s="556"/>
      <c r="B151" s="561"/>
      <c r="C151" s="174" t="s">
        <v>335</v>
      </c>
      <c r="D151" s="175"/>
      <c r="E151" s="165"/>
      <c r="F151" s="346" t="str">
        <f>IF(E151="","",IF(AND('Quantification Tool R1'!$B$12="74b",'Quantification Tool R1'!$B$13&lt;=2),IF(E151&lt;0,0,IF(E151&gt;15.6,0.69,ROUND('Reference Standards'!$AL$54*E151^2+'Reference Standards'!$AL$55*E151+'Reference Standards'!$AL$56,2))),IF(AND('Quantification Tool R1'!$B$12="65abei",'Quantification Tool R1'!$B$13&lt;=2),IF(E151&lt;0,0,IF(E151&gt;=20,0.69,ROUND('Reference Standards'!$AM$54*E151^2+'Reference Standards'!$AM$55*E151+'Reference Standards'!$AM$56,2))),IF(OR(AND('Quantification Tool R1'!$B$12="74a",'Quantification Tool R1'!$B$13&gt;2,'Quantification Tool R1'!$B$19="January - June"),AND('Quantification Tool R1'!$B$12="71i",'Quantification Tool R1'!$B$13&gt;2,'Quantification Tool R1'!$B$20="SQBANK")),IF(E151&lt;0,0,IF(E151&gt;24.7,0.69,ROUND('Reference Standards'!$AN$54*E151^2+'Reference Standards'!$AN$55*E151+'Reference Standards'!$AN$56,2))),IF(OR('Quantification Tool R1'!$B$12="74b",'Quantification Tool R1'!$B$12="65abei"),IF(E151&lt;0,0,IF(E151&gt;32.7,0.69,ROUND('Reference Standards'!$AO$54*E151^2+'Reference Standards'!$AO$55*E151+'Reference Standards'!$AO$56,2))),IF(AND('Quantification Tool R1'!$B$12="68b",'Quantification Tool R1'!$B$13&gt;2),IF(E151&lt;0,0,IF(E151&gt;41.2,0.69,ROUND('Reference Standards'!$AP$54*E151^2+'Reference Standards'!$AP$55*E151+'Reference Standards'!$AP$56,2))),IF(OR(AND('Quantification Tool R1'!$B$12="71i",'Quantification Tool R1'!$B$13&lt;=2),AND(OR('Quantification Tool R1'!$B$12="68c",'Quantification Tool R1'!$B$12="68d"),'Quantification Tool R1'!$B$19="January - June")),IF(E151&lt;0,0,IF(E151&gt;49.2,0.69,ROUND('Reference Standards'!$AL$94*E151^2+'Reference Standards'!$AL$95*E151+'Reference Standards'!$AL$96,2))),IF(OR(AND('Quantification Tool R1'!$B$12="68a",'Quantification Tool R1'!$B$19="January - June"),AND(OR('Quantification Tool R1'!$B$12="68c",'Quantification Tool R1'!$B$12="68d"),'Quantification Tool R1'!$B$19="July - December")),IF(E151&lt;0,0,IF(E151&gt;53.4,0.69,ROUND('Reference Standards'!$AM$94*E151^2+'Reference Standards'!$AM$95*E151+'Reference Standards'!$AM$96,2))),IF(OR(AND('Quantification Tool R1'!$B$12="71i",'Quantification Tool R1'!$B$13&gt;2,'Quantification Tool R1'!$B$20="SQKICK"),AND(OR('Quantification Tool R1'!$B$12="67fhi",'Quantification Tool R1'!$B$12="67g"),'Quantification Tool R1'!$B$13&lt;=2),'Quantification Tool R1'!$B$12="65j"),IF(E151&lt;0,0,IF(E151&gt;57.8,0.69,ROUND('Reference Standards'!$AN$94*E151^2+'Reference Standards'!$AN$95*E151+'Reference Standards'!$AN$96,2))),IF(OR(AND('Quantification Tool R1'!$B$12="74a",'Quantification Tool R1'!$B$13&gt;2,'Quantification Tool R1'!$B$19="July - December"),AND(OR('Quantification Tool R1'!$B$12="67fhi",'Quantification Tool R1'!$B$12="67g"),'Quantification Tool R1'!$B$13&gt;2),'Quantification Tool R1'!$B$12="69de"),IF(E151&lt;0,0,IF(E151&gt;62.5,0.69,ROUND('Reference Standards'!$AO$94*E151^2+'Reference Standards'!$AO$95*E151+'Reference Standards'!$AO$96,2))),  IF(OR('Quantification Tool R1'!$B$12="66d",'Quantification Tool R1'!$B$12="66e",'Quantification Tool R1'!$B$12="66ik",'Quantification Tool R1'!$B$12="71e",'Quantification Tool R1'!$B$12="71f",'Quantification Tool R1'!$B$12="71g",'Quantification Tool R1'!$B$12="71h"),IF(E151&lt;0,0,IF(E151&gt;66.5,0.69,ROUND('Reference Standards'!$AP$94*E151^2+'Reference Standards'!$AP$95*E151+'Reference Standards'!$AP$96,2))),IF(OR('Quantification Tool R1'!$B$12="66f",'Quantification Tool R1'!$B$12="66g",'Quantification Tool R1'!$B$12="66j",AND('Quantification Tool R1'!$B$12="68a",'Quantification Tool R1'!$B$19="July - December")), IF(E151&lt;0,0,IF(E151&gt;69,0.69,ROUND('Reference Standards'!$AQ$94*E151^2+'Reference Standards'!$AQ$95*E151+'Reference Standards'!$AQ$96,2))))   )))))))))))</f>
        <v/>
      </c>
      <c r="G151" s="531"/>
      <c r="H151" s="568"/>
      <c r="I151" s="519"/>
      <c r="J151" s="555"/>
      <c r="K151" s="555"/>
      <c r="L151" s="21"/>
    </row>
    <row r="152" spans="1:12" ht="15.6" x14ac:dyDescent="0.3">
      <c r="A152" s="556"/>
      <c r="B152" s="561"/>
      <c r="C152" s="174" t="s">
        <v>339</v>
      </c>
      <c r="D152" s="175"/>
      <c r="E152" s="165"/>
      <c r="F152" s="346" t="str">
        <f>IF(E152="","",IF(AND('Quantification Tool R1'!$B$12="74b",'Quantification Tool R1'!$B$13&lt;=2),IF(E152&lt;0,0,IF(E152&gt;8.1,0.69,ROUND('Reference Standards'!$AL$131*E152^2+'Reference Standards'!$AL$132*E152+'Reference Standards'!$AL$133,2))),IF(OR('Quantification Tool R1'!$B$12="73a",'Quantification Tool R1'!$B$12="73b"),IF(E152&lt;0,0,IF(E152&gt;=28,0.69,ROUND('Reference Standards'!$AM$131*E152^2+'Reference Standards'!$AM$132*E152+'Reference Standards'!$AM$133,2))),IF(AND('Quantification Tool R1'!$B$12="74a",'Quantification Tool R1'!$B$13&gt;2,'Quantification Tool R1'!$B$19="January - June"),IF(E152&lt;0,0,IF(E152&gt;=32.5,0.69,ROUND('Reference Standards'!$AN$131*E152^2+'Reference Standards'!$AN$132*E152+'Reference Standards'!$AN$133,2))),IF(AND('Quantification Tool R1'!$B$12="71i",'Quantification Tool R1'!$B$13&gt;2,'Quantification Tool R1'!$B$20="SQBANK"),IF(E152&lt;0,0,IF(E152&gt;=37,0.69,ROUND('Reference Standards'!$AO$131*E152^2+'Reference Standards'!$AO$132*E152+'Reference Standards'!$AO$133,2))),IF(OR(AND(OR('Quantification Tool R1'!$B$12="65abei",'Quantification Tool R1'!$B$12="74b"),'Quantification Tool R1'!$B$13&gt;2),AND('Quantification Tool R1'!$B$12="71i",'Quantification Tool R1'!$B$13&gt;2,'Quantification Tool R1'!$B$20="SQKICK")),IF(E152&lt;0,0,IF(E152&gt;42.6,0.69,ROUND('Reference Standards'!$AP$131*E152^2+'Reference Standards'!$AP$132*E152+'Reference Standards'!$AP$133,2))),     IF(OR(AND('Quantification Tool R1'!$B$12="65abei",'Quantification Tool R1'!$B$13&lt;=2),AND(OR('Quantification Tool R1'!$B$12="68c",'Quantification Tool R1'!$B$12="68d"),'Quantification Tool R1'!$B$19="July - December"),'Quantification Tool R1'!$B$12="71e"),IF(E152&lt;0,0,IF(E152&gt;=48,0.69,ROUND('Reference Standards'!$AL$171*E152^2+'Reference Standards'!$AL$172*E152+'Reference Standards'!$AL$173,2))),IF(OR('Quantification Tool R1'!$B$12="65j",'Quantification Tool R1'!$B$12="67fhi",'Quantification Tool R1'!$B$12="67g",AND('Quantification Tool R1'!$B$12="74a",'Quantification Tool R1'!$B$19="July - December",'Quantification Tool R1'!$B$13&gt;2),AND('Quantification Tool R1'!$B$12="71i",'Quantification Tool R1'!$B$13&lt;=2)),IF(E152&lt;0,0,IF(E152&gt;=53,0.69,ROUND('Reference Standards'!$AM$171*E152^2+'Reference Standards'!$AM$172*E152+'Reference Standards'!$AM$173,2))),IF(OR(AND(OR('Quantification Tool R1'!$B$12="68b",'Quantification Tool R1'!$B$12="71f",'Quantification Tool R1'!$B$12="71g",'Quantification Tool R1'!$B$12="71h"),'Quantification Tool R1'!$B$13&gt;2),'Quantification Tool R1'!$B$12="68a"),IF(E152&lt;0,0,IF(E152&gt;=57,0.69,ROUND('Reference Standards'!$AN$171*E152^2+'Reference Standards'!$AN$172*E152+'Reference Standards'!$AN$173,2))),IF(OR('Quantification Tool R1'!$B$12="66f",'Quantification Tool R1'!$B$12="66g",'Quantification Tool R1'!$B$12="66j",AND(OR('Quantification Tool R1'!$B$12="71f",'Quantification Tool R1'!$B$12="71g",'Quantification Tool R1'!$B$12="71h"),'Quantification Tool R1'!$B$13&lt;=2)),IF(E152&lt;0,0,IF(E152&gt;=60,0.69,ROUND('Reference Standards'!$AO$171*E152^2+'Reference Standards'!$AO$172*E152+'Reference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December")),IF(E152&lt;0,0,IF(E152&gt;=67.5,0.69,ROUND('Reference Standards'!$AP$171*E152^2+'Reference Standards'!$AP$172*E152+'Reference Standards'!$AP$173,2))),IF(AND('Quantification Tool R1'!$B$12="69de",'Quantification Tool R1'!$B$19="January - June"), IF(E152&lt;0,0,IF(E152&gt;=72,0.69,ROUND('Reference Standards'!$AQ$171*E152^2+'Reference Standards'!$AQ$172*E152+'Reference Standards'!$AQ$173,2))))   )))))))))))</f>
        <v/>
      </c>
      <c r="G152" s="531"/>
      <c r="H152" s="568"/>
      <c r="I152" s="519"/>
      <c r="J152" s="555"/>
      <c r="K152" s="555"/>
      <c r="L152" s="21"/>
    </row>
    <row r="153" spans="1:12" ht="15.6" x14ac:dyDescent="0.3">
      <c r="A153" s="556"/>
      <c r="B153" s="562"/>
      <c r="C153" s="127" t="s">
        <v>336</v>
      </c>
      <c r="D153" s="71"/>
      <c r="E153" s="167"/>
      <c r="F153" s="346" t="str">
        <f>IF(E153="","",IF(OR('Quantification Tool R1'!$B$12="67fhi",'Quantification Tool R1'!$B$12="67g",'Quantification Tool R1'!$B$12="71e",'Quantification Tool R1'!$B$12="73a",'Quantification Tool R1'!$B$12="73b",AND(OR('Quantification Tool R1'!$B$12="71f",'Quantification Tool R1'!$B$12="71g",'Quantification Tool R1'!$B$12="71h"),'Quantification Tool R1'!$B$13&gt;2)),IF(E153&gt;100,0,IF(E153&lt;15,0.69,ROUND('Reference Standards'!$AL$208*E153^2+'Reference Standards'!$AL$209*E153+'Reference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),IF(E153&gt;100,0,IF(E153&lt;19,0.69,ROUND('Reference Standards'!$AM$208*E153^2+'Reference Standards'!$AM$209*E153+'Reference Standards'!$AM$210,2))),    IF(OR(AND('Quantification Tool R1'!$B$12="69de",'Quantification Tool R1'!$B$19="January - June"),AND('Quantification Tool R1'!$B$12="71i",'Quantification Tool R1'!$B$13&gt;2,'Quantification Tool R1'!$B$20="SQKICK" )),IF(E153&gt;100,0,IF(E153&lt;22,0.69,ROUND('Reference Standards'!$AN$208*E153^2+'Reference Standards'!$AN$209*E153+'Reference Standards'!$AN$210,2))),    IF(OR('Quantification Tool R1'!$B$12="65j",AND('Quantification Tool R1'!$B$12="68b",'Quantification Tool R1'!$B$13&gt;2)),IF(E153&gt;100,0,IF(E153&lt;24,0.69,ROUND('Reference Standards'!$AO$208*E153^2+'Reference Standards'!$AO$209*E153+'Reference Standards'!$AO$210,2))),    IF(AND(OR('Quantification Tool R1'!$B$12="65abei",'Quantification Tool R1'!$B$12="71f",'Quantification Tool R1'!$B$12="71g",'Quantification Tool R1'!$B$12="71h"),'Quantification Tool R1'!$B$13&lt;=2),IF(E153&gt;95,0,IF(E153&lt;33,0.69,ROUND('Reference Standards'!$AL$246*E153^2+'Reference Standards'!$AL$247*E153+'Reference Standards'!$AL$248,2))),   IF(AND(OR('Quantification Tool R1'!$B$12="65abei",'Quantification Tool R1'!$B$12="74b"),'Quantification Tool R1'!$B$13&gt;2),IF(E153&gt;97,0,IF(E153&lt;36,0.69,ROUND('Reference Standards'!$AM$246*E153^2+'Reference Standards'!$AM$247*E153+'Reference Standards'!$AM$248,2))),  IF(AND('Quantification Tool R1'!$B$12="74a",'Quantification Tool R1'!$B$19="January - June",'Quantification Tool R1'!$B$13&gt;2),IF(E153&gt;93,0,IF(E153&lt;52,0.69,ROUND('Reference Standards'!$AN$246*E153^2+'Reference Standards'!$AN$247*E153+'Reference Standards'!$AN$248,2))),   IF(AND('Quantification Tool R1'!$B$12="74b",'Quantification Tool R1'!$B$13&lt;=2),IF(E153&gt;97,0,IF(E153&lt;62,0.69,ROUND('Reference Standards'!$AO$246*E153^2+'Reference Standards'!$AO$247*E153+'Reference Standards'!$AO$248,2)))  )))))))))</f>
        <v/>
      </c>
      <c r="G153" s="531"/>
      <c r="H153" s="568"/>
      <c r="I153" s="519"/>
      <c r="J153" s="555"/>
      <c r="K153" s="555"/>
      <c r="L153" s="21"/>
    </row>
    <row r="154" spans="1:12" ht="15.6" x14ac:dyDescent="0.3">
      <c r="A154" s="556"/>
      <c r="B154" s="563" t="s">
        <v>74</v>
      </c>
      <c r="C154" s="125" t="s">
        <v>211</v>
      </c>
      <c r="D154" s="126"/>
      <c r="E154" s="166"/>
      <c r="F154" s="345" t="str">
        <f>IF(E154="","",IF(E154=1,0.15,IF(E154=3,0.5,IF(E154=5,0.85,0))))</f>
        <v/>
      </c>
      <c r="G154" s="564" t="str">
        <f>IFERROR(AVERAGE(F154:F155),"")</f>
        <v/>
      </c>
      <c r="H154" s="568"/>
      <c r="I154" s="519"/>
      <c r="J154" s="555"/>
      <c r="K154" s="555"/>
      <c r="L154" s="21"/>
    </row>
    <row r="155" spans="1:12" ht="15.6" x14ac:dyDescent="0.3">
      <c r="A155" s="551"/>
      <c r="B155" s="563"/>
      <c r="C155" s="127" t="s">
        <v>332</v>
      </c>
      <c r="D155" s="71"/>
      <c r="E155" s="167"/>
      <c r="F155" s="347" t="str">
        <f>IF(E155="","",IF(E155=1,0.15,IF(E155=3,0.5,IF(E155=5,0.85,0))))</f>
        <v/>
      </c>
      <c r="G155" s="565"/>
      <c r="H155" s="568"/>
      <c r="I155" s="519"/>
      <c r="J155" s="555"/>
      <c r="K155" s="555"/>
      <c r="L155" s="21"/>
    </row>
    <row r="156" spans="1:12" x14ac:dyDescent="0.3">
      <c r="L156" s="21"/>
    </row>
    <row r="157" spans="1:12" ht="21" x14ac:dyDescent="0.4">
      <c r="A157" s="148" t="s">
        <v>135</v>
      </c>
      <c r="B157" s="246"/>
      <c r="C157" s="249" t="s">
        <v>324</v>
      </c>
      <c r="D157" s="246"/>
      <c r="E157" s="247"/>
      <c r="F157" s="248"/>
      <c r="G157" s="544" t="s">
        <v>18</v>
      </c>
      <c r="H157" s="545"/>
      <c r="I157" s="545"/>
      <c r="J157" s="545"/>
      <c r="K157" s="546"/>
      <c r="L157" s="21"/>
    </row>
    <row r="158" spans="1:12" ht="15.6" x14ac:dyDescent="0.3">
      <c r="A158" s="158" t="s">
        <v>1</v>
      </c>
      <c r="B158" s="158" t="s">
        <v>2</v>
      </c>
      <c r="C158" s="542" t="s">
        <v>3</v>
      </c>
      <c r="D158" s="644"/>
      <c r="E158" s="158" t="s">
        <v>15</v>
      </c>
      <c r="F158" s="158" t="s">
        <v>16</v>
      </c>
      <c r="G158" s="158" t="s">
        <v>19</v>
      </c>
      <c r="H158" s="158" t="s">
        <v>20</v>
      </c>
      <c r="I158" s="314" t="s">
        <v>20</v>
      </c>
      <c r="J158" s="314" t="s">
        <v>21</v>
      </c>
      <c r="K158" s="315" t="s">
        <v>21</v>
      </c>
    </row>
    <row r="159" spans="1:12" ht="15.6" x14ac:dyDescent="0.3">
      <c r="A159" s="540" t="s">
        <v>60</v>
      </c>
      <c r="B159" s="308" t="s">
        <v>86</v>
      </c>
      <c r="C159" s="52" t="s">
        <v>388</v>
      </c>
      <c r="D159" s="52"/>
      <c r="E159" s="162"/>
      <c r="F159" s="338" t="str">
        <f>IF(E159="","",IF(E159&lt;=0,0,IF(E159&gt;=0.95,1,ROUND('Reference Standards'!C$14*E159+'Reference Standards'!C$15,2))))</f>
        <v/>
      </c>
      <c r="G159" s="83" t="str">
        <f>IFERROR(AVERAGE(F159),"")</f>
        <v/>
      </c>
      <c r="H159" s="522" t="str">
        <f>IFERROR(ROUND(AVERAGE(G159:G160),2),"")</f>
        <v/>
      </c>
      <c r="I159" s="519" t="str">
        <f>IF(H159="","",IF(H159&gt;0.69,"Functioning",IF(H159&gt;0.29,"Functioning At Risk",IF(H159&gt;-1,"Not Functioning"))))</f>
        <v/>
      </c>
      <c r="J159" s="555" t="str">
        <f>IF(AND(H159="",H161="",H163="",H185="",H189=""),"",ROUND((IF(H159="",0,H159)*0.2)+(IF(H161="",0,H161)*0.2)+(IF(H163="",0,H163)*0.2)+(IF(H185="",0,H185)*0.2)+(IF(H189="",0,H189)*0.2),2))</f>
        <v/>
      </c>
      <c r="K159" s="555" t="str">
        <f>IF(J159="","",IF(J159&lt;0.3, "Not Functioning",IF(OR(H159&lt;0.7,H161&lt;0.7,H163&lt;0.7,H185&lt;0.7,H189&lt;0.7),"Functioning At Risk",IF(J159&lt;0.7,"Functioning At Risk","Functioning"))))</f>
        <v/>
      </c>
    </row>
    <row r="160" spans="1:12" ht="15.6" x14ac:dyDescent="0.3">
      <c r="A160" s="541"/>
      <c r="B160" s="371" t="s">
        <v>128</v>
      </c>
      <c r="C160" s="373" t="s">
        <v>161</v>
      </c>
      <c r="D160" s="374"/>
      <c r="E160" s="43"/>
      <c r="F160" s="372" t="str">
        <f>IF(E160="","",IF(E160&gt;=1,1,IF(E160&lt;=0,0,ROUND(E160,2))))</f>
        <v/>
      </c>
      <c r="G160" s="367" t="str">
        <f>IFERROR(AVERAGE(F160:F160),"")</f>
        <v/>
      </c>
      <c r="H160" s="523"/>
      <c r="I160" s="519"/>
      <c r="J160" s="555"/>
      <c r="K160" s="555"/>
    </row>
    <row r="161" spans="1:11" ht="15.6" x14ac:dyDescent="0.3">
      <c r="A161" s="524" t="s">
        <v>6</v>
      </c>
      <c r="B161" s="572" t="s">
        <v>7</v>
      </c>
      <c r="C161" s="54" t="s">
        <v>8</v>
      </c>
      <c r="D161" s="54"/>
      <c r="E161" s="162"/>
      <c r="F161" s="339" t="str">
        <f>IF(E161="","",ROUND(IF(E161&gt;1.6,0,IF(E161&lt;=1,1,E161^2*'Reference Standards'!K$14+E161*'Reference Standards'!K$15+'Reference Standards'!K$16)),2))</f>
        <v/>
      </c>
      <c r="G161" s="579" t="str">
        <f>IFERROR(AVERAGE(F161:F162),"")</f>
        <v/>
      </c>
      <c r="H161" s="579" t="str">
        <f>IFERROR(ROUND(AVERAGE(G161),2),"")</f>
        <v/>
      </c>
      <c r="I161" s="569" t="str">
        <f>IF(H161="","",IF(H161&gt;0.69,"Functioning",IF(H161&gt;0.29,"Functioning At Risk",IF(H161&gt;-1,"Not Functioning"))))</f>
        <v/>
      </c>
      <c r="J161" s="555"/>
      <c r="K161" s="555"/>
    </row>
    <row r="162" spans="1:11" ht="15.6" x14ac:dyDescent="0.3">
      <c r="A162" s="525"/>
      <c r="B162" s="572"/>
      <c r="C162" s="54" t="s">
        <v>9</v>
      </c>
      <c r="D162" s="54"/>
      <c r="E162" s="163"/>
      <c r="F162" s="339" t="str">
        <f>IF(E162="","",(IF(OR('Quantification Tool R1'!B$11="A",'Quantification Tool R1'!B$11="B",'Quantification Tool R1'!$B$11="Bc"),IF(E162&lt;1.2,0,IF(E162&gt;=2.2,1,ROUND(IF(E162&lt;1.4,E162*'Reference Standards'!$K$84+'Reference Standards'!$K$85,E162*'Reference Standards'!$L$84+'Reference Standards'!$L$85),2))),IF(OR('Quantification Tool R1'!B$11="C",'Quantification Tool R1'!B$11="E"),IF(E162&lt;2,0,IF(E162&gt;=5,1,ROUND(IF(E162&lt;2.4,E162*'Reference Standards'!$L$49+'Reference Standards'!$L$50,E162*'Reference Standards'!$K$49+'Reference Standards'!$K$50),2)))))))</f>
        <v/>
      </c>
      <c r="G162" s="581"/>
      <c r="H162" s="580"/>
      <c r="I162" s="570"/>
      <c r="J162" s="555"/>
      <c r="K162" s="555"/>
    </row>
    <row r="163" spans="1:11" ht="15.6" x14ac:dyDescent="0.3">
      <c r="A163" s="526" t="s">
        <v>26</v>
      </c>
      <c r="B163" s="557" t="s">
        <v>27</v>
      </c>
      <c r="C163" s="60" t="s">
        <v>333</v>
      </c>
      <c r="D163" s="244"/>
      <c r="E163" s="61"/>
      <c r="F163" s="340" t="str">
        <f>IF(E163="","",IF(OR(LEFT('Quantification Tool R1'!$B$12,2)="65",LEFT('Quantification Tool R1'!$B$12,2)="66",LEFT('Quantification Tool R1'!$B$12,2)="71"),IF(E163&gt;=850,1,IF(E163&lt;250,ROUND('Reference Standards'!$S$17*(E163)+'Reference Standards'!$S$18,2),ROUND('Reference Standards'!$T$17*E163+'Reference Standards'!$T$18,2))),  IF(E163&gt;=345,1,IF(E163&lt;=180,ROUND('Reference Standards'!$U$17*(E163)+'Reference Standards'!$U$18,2),ROUND('Reference Standards'!$V$17*E163+'Reference Standards'!$V$18,2))))    )</f>
        <v/>
      </c>
      <c r="G163" s="528" t="str">
        <f>IFERROR(AVERAGE(F163:F164),"")</f>
        <v/>
      </c>
      <c r="H163" s="566" t="str">
        <f>IFERROR(ROUND(AVERAGE(G163:G184),2),"")</f>
        <v/>
      </c>
      <c r="I163" s="555" t="str">
        <f>IF(H163="","",IF(H163&gt;0.69,"Functioning",IF(H163&gt;0.29,"Functioning At Risk",IF(H163&gt;-1,"Not Functioning"))))</f>
        <v/>
      </c>
      <c r="J163" s="555"/>
      <c r="K163" s="555"/>
    </row>
    <row r="164" spans="1:11" ht="15.6" x14ac:dyDescent="0.3">
      <c r="A164" s="520"/>
      <c r="B164" s="558"/>
      <c r="C164" s="63" t="s">
        <v>323</v>
      </c>
      <c r="D164" s="245"/>
      <c r="E164" s="53"/>
      <c r="F164" s="341" t="str">
        <f>IF(E164="","",IF(OR(LEFT('Quantification Tool R1'!$B$12,2)="65",LEFT('Quantification Tool R1'!$B$12,2)="66",LEFT('Quantification Tool R1'!$B$12,2)="71"),IF(E164&gt;=30,1,IF(E164&lt;13,ROUND('Reference Standards'!$S$53*(E164)+'Reference Standards'!$S$54,2),ROUND('Reference Standards'!$T$53*E164+'Reference Standards'!$T$54,2))),  IF(E164&gt;=16,1,IF(E164&lt;=9,ROUND('Reference Standards'!$U$53*(E164)+'Reference Standards'!$U$54,2),ROUND('Reference Standards'!$V$53*E164+'Reference Standards'!$V$54,2))))    )</f>
        <v/>
      </c>
      <c r="G164" s="530"/>
      <c r="H164" s="566"/>
      <c r="I164" s="555"/>
      <c r="J164" s="555"/>
      <c r="K164" s="555"/>
    </row>
    <row r="165" spans="1:11" ht="15.6" x14ac:dyDescent="0.3">
      <c r="A165" s="520"/>
      <c r="B165" s="520" t="s">
        <v>395</v>
      </c>
      <c r="C165" s="58" t="s">
        <v>80</v>
      </c>
      <c r="D165" s="58"/>
      <c r="E165" s="165"/>
      <c r="F165" s="340" t="str">
        <f>IF(E165="","",ROUND(IF(E165&gt;0.7,0,IF(E165&lt;=0.1,1,E165^3*'Reference Standards'!S$87+E165^2*'Reference Standards'!S$88+E165*'Reference Standards'!S$89+'Reference Standards'!S$90)),2))</f>
        <v/>
      </c>
      <c r="G165" s="528" t="str">
        <f>IFERROR(ROUND(AVERAGE(F165:F168),2),"")</f>
        <v/>
      </c>
      <c r="H165" s="567"/>
      <c r="I165" s="555"/>
      <c r="J165" s="555"/>
      <c r="K165" s="555"/>
    </row>
    <row r="166" spans="1:11" ht="15.6" x14ac:dyDescent="0.3">
      <c r="A166" s="520"/>
      <c r="B166" s="520"/>
      <c r="C166" s="58" t="s">
        <v>49</v>
      </c>
      <c r="D166" s="58"/>
      <c r="E166" s="165"/>
      <c r="F166" s="84"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529"/>
      <c r="H166" s="567"/>
      <c r="I166" s="555"/>
      <c r="J166" s="555"/>
      <c r="K166" s="555"/>
    </row>
    <row r="167" spans="1:11" ht="15.6" x14ac:dyDescent="0.3">
      <c r="A167" s="520"/>
      <c r="B167" s="520"/>
      <c r="C167" s="58" t="s">
        <v>87</v>
      </c>
      <c r="D167" s="58"/>
      <c r="E167" s="165"/>
      <c r="F167" s="84" t="str">
        <f>IF(E167="","",ROUND(IF(E167&gt;40,0,IF(E167&lt;5,1,E167^3*'Reference Standards'!S$122+E167^2*'Reference Standards'!S$123+E167*'Reference Standards'!S$124+'Reference Standards'!S$125)),2))</f>
        <v/>
      </c>
      <c r="G167" s="529"/>
      <c r="H167" s="567"/>
      <c r="I167" s="555"/>
      <c r="J167" s="555"/>
      <c r="K167" s="555"/>
    </row>
    <row r="168" spans="1:11" ht="15.6" x14ac:dyDescent="0.3">
      <c r="A168" s="520"/>
      <c r="B168" s="521"/>
      <c r="C168" s="59" t="s">
        <v>394</v>
      </c>
      <c r="D168" s="59"/>
      <c r="E168" s="167"/>
      <c r="F168" s="341" t="str">
        <f>IF(E168="","",ROUND(IF(E168&gt;=30,0,IF(E168&lt;=0,1,E168*'Reference Standards'!S$156+'Reference Standards'!S$157)),2))</f>
        <v/>
      </c>
      <c r="G168" s="530"/>
      <c r="H168" s="567"/>
      <c r="I168" s="555"/>
      <c r="J168" s="555"/>
      <c r="K168" s="555"/>
    </row>
    <row r="169" spans="1:11" ht="15.6" x14ac:dyDescent="0.3">
      <c r="A169" s="520"/>
      <c r="B169" s="520" t="s">
        <v>50</v>
      </c>
      <c r="C169" s="60" t="s">
        <v>377</v>
      </c>
      <c r="D169" s="64"/>
      <c r="E169" s="136"/>
      <c r="F169" s="294" t="str">
        <f>IF(E169="","",ROUND(IF(E169&gt;9.2,1,E169*'Reference Standards'!$S$189+'Reference Standards'!$S$190),2))</f>
        <v/>
      </c>
      <c r="G169" s="552" t="str">
        <f>IFERROR(ROUND(AVERAGE(F169:F178),2),"")</f>
        <v/>
      </c>
      <c r="H169" s="567"/>
      <c r="I169" s="555"/>
      <c r="J169" s="555"/>
      <c r="K169" s="555"/>
    </row>
    <row r="170" spans="1:11" ht="15.6" x14ac:dyDescent="0.3">
      <c r="A170" s="520"/>
      <c r="B170" s="520"/>
      <c r="C170" s="62" t="s">
        <v>378</v>
      </c>
      <c r="D170" s="58"/>
      <c r="E170" s="162"/>
      <c r="F170" s="294" t="str">
        <f>IF(E170="","",ROUND(IF(E170&gt;9.2,1,E170*'Reference Standards'!$S$189+'Reference Standards'!$S$190),2))</f>
        <v/>
      </c>
      <c r="G170" s="553"/>
      <c r="H170" s="567"/>
      <c r="I170" s="555"/>
      <c r="J170" s="555"/>
      <c r="K170" s="555"/>
    </row>
    <row r="171" spans="1:11" ht="15.6" x14ac:dyDescent="0.3">
      <c r="A171" s="520"/>
      <c r="B171" s="520"/>
      <c r="C171" s="62" t="s">
        <v>379</v>
      </c>
      <c r="D171" s="58"/>
      <c r="E171" s="162"/>
      <c r="F171" s="294" t="str">
        <f>IF(E171="","",ROUND( IF(E171&gt;=200,1,IF(E171&lt;50, E171^2*'Reference Standards'!S$224+E171*'Reference Standards'!S$225+'Reference Standards'!S$226, E171*'Reference Standards'!T$224+'Reference Standards'!T$225)),2))</f>
        <v/>
      </c>
      <c r="G171" s="553"/>
      <c r="H171" s="567"/>
      <c r="I171" s="555"/>
      <c r="J171" s="555"/>
      <c r="K171" s="555"/>
    </row>
    <row r="172" spans="1:11" ht="15.6" x14ac:dyDescent="0.3">
      <c r="A172" s="520"/>
      <c r="B172" s="520"/>
      <c r="C172" s="62" t="s">
        <v>380</v>
      </c>
      <c r="D172" s="58"/>
      <c r="E172" s="162"/>
      <c r="F172" s="294" t="str">
        <f>IF(E172="","",ROUND( IF(E172&gt;=200,1,IF(E172&lt;50, E172^2*'Reference Standards'!S$224+E172*'Reference Standards'!S$225+'Reference Standards'!S$226, E172*'Reference Standards'!T$224+'Reference Standards'!T$225)),2))</f>
        <v/>
      </c>
      <c r="G172" s="553"/>
      <c r="H172" s="567"/>
      <c r="I172" s="555"/>
      <c r="J172" s="555"/>
      <c r="K172" s="555"/>
    </row>
    <row r="173" spans="1:11" ht="15.6" x14ac:dyDescent="0.3">
      <c r="A173" s="520"/>
      <c r="B173" s="520"/>
      <c r="C173" s="58" t="s">
        <v>381</v>
      </c>
      <c r="D173" s="58"/>
      <c r="E173" s="162"/>
      <c r="F173" s="294" t="str">
        <f>IF(E173="","",ROUND(IF(AND(E173&gt;=135,E173&lt;=262),1,IF(  E173&gt;=366,0.5, IF(E173&lt;135,E173*'Reference Standards'!S$259+'Reference Standards'!S$260, E173*'Reference Standards'!T$259+'Reference Standards'!T$260))),2))</f>
        <v/>
      </c>
      <c r="G173" s="553"/>
      <c r="H173" s="567"/>
      <c r="I173" s="555"/>
      <c r="J173" s="555"/>
      <c r="K173" s="555"/>
    </row>
    <row r="174" spans="1:11" ht="15.6" x14ac:dyDescent="0.3">
      <c r="A174" s="520"/>
      <c r="B174" s="520"/>
      <c r="C174" s="58" t="s">
        <v>382</v>
      </c>
      <c r="D174" s="58"/>
      <c r="E174" s="162"/>
      <c r="F174" s="294" t="str">
        <f>IF(E174="","",ROUND(IF(AND(E174&gt;=135,E174&lt;=262),1,IF(  E174&gt;=366,0.5, IF(E174&lt;135,E174*'Reference Standards'!S$259+'Reference Standards'!S$260, E174*'Reference Standards'!T$259+'Reference Standards'!T$260))),2))</f>
        <v/>
      </c>
      <c r="G174" s="553"/>
      <c r="H174" s="567"/>
      <c r="I174" s="555"/>
      <c r="J174" s="555"/>
      <c r="K174" s="555"/>
    </row>
    <row r="175" spans="1:11" ht="15.6" x14ac:dyDescent="0.3">
      <c r="A175" s="520"/>
      <c r="B175" s="520"/>
      <c r="C175" s="58" t="s">
        <v>383</v>
      </c>
      <c r="D175" s="58"/>
      <c r="E175" s="162"/>
      <c r="F175" s="84" t="str">
        <f>IF(E175="","",ROUND(IF(E175&gt;=75,1,IF(E175&lt;=0,0,E175*'Reference Standards'!S$330)),2))</f>
        <v/>
      </c>
      <c r="G175" s="553"/>
      <c r="H175" s="567"/>
      <c r="I175" s="555"/>
      <c r="J175" s="555"/>
      <c r="K175" s="555"/>
    </row>
    <row r="176" spans="1:11" ht="15.6" x14ac:dyDescent="0.3">
      <c r="A176" s="520"/>
      <c r="B176" s="520"/>
      <c r="C176" s="58" t="s">
        <v>384</v>
      </c>
      <c r="D176" s="58"/>
      <c r="E176" s="162"/>
      <c r="F176" s="84" t="str">
        <f>IF(E176="","",ROUND(IF(E176&gt;=75,1,IF(E176&lt;=0,0,E176*'Reference Standards'!S$330)),2))</f>
        <v/>
      </c>
      <c r="G176" s="553"/>
      <c r="H176" s="567"/>
      <c r="I176" s="555"/>
      <c r="J176" s="555"/>
      <c r="K176" s="555"/>
    </row>
    <row r="177" spans="1:13" ht="15.6" x14ac:dyDescent="0.3">
      <c r="A177" s="520"/>
      <c r="B177" s="520"/>
      <c r="C177" s="58" t="s">
        <v>385</v>
      </c>
      <c r="D177" s="58"/>
      <c r="E177" s="162"/>
      <c r="F177" s="294" t="str">
        <f>IF(E177="","",ROUND(IF(AND(E177&gt;=36.3,E177&lt;=68),1,IF(E177&gt;100,0,IF(E177&lt;36.3,(('Reference Standards'!S$297*(E177^2))+('Reference Standards'!S$298*E177)+'Reference Standards'!S$299),IF(E177&gt;68,(('Reference Standards'!T$297*(E177^2))+('Reference Standards'!T$298*E177)+'Reference Standards'!T$299))))),2))</f>
        <v/>
      </c>
      <c r="G177" s="553"/>
      <c r="H177" s="567"/>
      <c r="I177" s="555"/>
      <c r="J177" s="555"/>
      <c r="K177" s="555"/>
      <c r="M177" s="21"/>
    </row>
    <row r="178" spans="1:13" ht="15.6" x14ac:dyDescent="0.3">
      <c r="A178" s="520"/>
      <c r="B178" s="521"/>
      <c r="C178" s="58" t="s">
        <v>386</v>
      </c>
      <c r="D178" s="65"/>
      <c r="E178" s="162"/>
      <c r="F178" s="294" t="str">
        <f>IF(E178="","",ROUND(IF(AND(E178&gt;=36.3,E178&lt;=68),1,IF(E178&gt;100,0,IF(E178&lt;36.3,(('Reference Standards'!S$297*(E178^2))+('Reference Standards'!S$298*E178)+'Reference Standards'!S$299),IF(E178&gt;68,(('Reference Standards'!T$297*(E178^2))+('Reference Standards'!T$298*E178)+'Reference Standards'!T$299))))),2))</f>
        <v/>
      </c>
      <c r="G178" s="554"/>
      <c r="H178" s="567"/>
      <c r="I178" s="555"/>
      <c r="J178" s="555"/>
      <c r="K178" s="555"/>
    </row>
    <row r="179" spans="1:13" ht="15.6" x14ac:dyDescent="0.3">
      <c r="A179" s="520"/>
      <c r="B179" s="56" t="s">
        <v>108</v>
      </c>
      <c r="C179" s="72" t="s">
        <v>130</v>
      </c>
      <c r="D179" s="58"/>
      <c r="E179" s="43"/>
      <c r="F179" s="82" t="str">
        <f>IF(E179="","",IF(OR('Quantification Tool R1'!B$14="Gravel",'Quantification Tool R1'!B$14="Cobble"),IF(E179&gt;0.1,1,IF(E179&lt;=0.01,0,ROUND(E179*'Reference Standards'!$S$362+'Reference Standards'!$S$363,2)))))</f>
        <v/>
      </c>
      <c r="G179" s="82" t="str">
        <f>IFERROR(AVERAGE(F179),"")</f>
        <v/>
      </c>
      <c r="H179" s="567"/>
      <c r="I179" s="555"/>
      <c r="J179" s="555"/>
      <c r="K179" s="555"/>
    </row>
    <row r="180" spans="1:13" ht="15.6" x14ac:dyDescent="0.3">
      <c r="A180" s="520"/>
      <c r="B180" s="526" t="s">
        <v>51</v>
      </c>
      <c r="C180" s="64" t="s">
        <v>52</v>
      </c>
      <c r="D180" s="64"/>
      <c r="E180" s="166"/>
      <c r="F180" s="337" t="str">
        <f>IF(E180="","", IF(ISNUMBER('Quantification Tool R1'!$B$17), IF('Quantification Tool R1'!$B$17&lt;=2,   IF(AND(E180&gt;=3,E180&lt;=5),1, IF(OR(E180&lt;=1,E180&gt;=7), 0, ROUND( IF(E180&lt;3, E180*'Reference Standards'!S$398+'Reference Standards'!S$399,E180*'Reference Standards'!T$398+'Reference Standards'!T$399),2) ) ),   IF(E180&lt;=2.5,1, IF(E180&gt;=5.8,0, ROUND(E180*'Reference Standards'!S$430+'Reference Standards'!S$431,2))))   ))</f>
        <v/>
      </c>
      <c r="G180" s="528" t="str">
        <f>IFERROR(AVERAGE(F180:F183),"")</f>
        <v/>
      </c>
      <c r="H180" s="567"/>
      <c r="I180" s="555"/>
      <c r="J180" s="555"/>
      <c r="K180" s="555"/>
    </row>
    <row r="181" spans="1:13" ht="15.6" x14ac:dyDescent="0.3">
      <c r="A181" s="520"/>
      <c r="B181" s="520"/>
      <c r="C181" s="58" t="s">
        <v>53</v>
      </c>
      <c r="D181" s="58"/>
      <c r="E181" s="165"/>
      <c r="F181" s="84" t="str">
        <f>IF(E181="","", IF( E181&gt;=2.4,1, IF(E181&lt;=1,0,  ROUND(IF(E181&lt;2.4, E181*'Reference Standards'!$S$464+'Reference Standards'!$S$465  ),2))))</f>
        <v/>
      </c>
      <c r="G181" s="529"/>
      <c r="H181" s="567"/>
      <c r="I181" s="555"/>
      <c r="J181" s="555"/>
      <c r="K181" s="555"/>
    </row>
    <row r="182" spans="1:13" ht="15.6" x14ac:dyDescent="0.3">
      <c r="A182" s="520"/>
      <c r="B182" s="520"/>
      <c r="C182" s="58" t="s">
        <v>334</v>
      </c>
      <c r="D182" s="58"/>
      <c r="E182" s="165"/>
      <c r="F182" s="390" t="str">
        <f>IF(E182="","", IF(LEFT('Quantification Tool R1'!$B$12,2)="67",  IF( AND(E182&gt;=45,E182&lt;=65),1, IF(OR(E182&lt;=20,E182&gt;=90),0, ROUND(  IF(E182&lt;45, E182*'Reference Standards'!$S$498+'Reference Standards'!$S$499,E182*'Reference Standards'!$T$498+'Reference Standards'!$T$499),2))), IF(OR(  LEFT('Quantification Tool R1'!$B$12,2)="68", LEFT('Quantification Tool R1'!$B$12,2)="69",LEFT('Quantification Tool R1'!$B$12,2)="71"),  IF( AND(E182&gt;=30,E182&lt;=50),1, IF(OR(E182&lt;=10,E182&gt;=70),0, ROUND(  IF(E182&lt;30, E182*'Reference Standards'!$S$533+'Reference Standards'!$S$534,E182*'Reference Standards'!$T$533+'Reference Standards'!$T$534),2))), IF(LEFT('Quantification Tool R1'!$B$12,2)="66",  IF( AND(E182&gt;=20,E182&lt;=45),1, IF(OR(E182&lt;=0,E182&gt;=90),0, ROUND(  IF(E182&lt;20, E182*'Reference Standards'!$S$567+'Reference Standards'!$S$568,E182*'Reference Standards'!$T$567+'Reference Standards'!$T$568),2))), IF(OR(  LEFT('Quantification Tool R1'!$B$12,2)="65", LEFT('Quantification Tool R1'!$B$12,2)="74", LEFT('Quantification Tool R1'!$B$12,2)="73"),  IF( AND(E182&gt;=20,E182&lt;=30),1, IF(OR(E182&lt;=0,E182&gt;=50),0, ROUND(  IF(E182&lt;20, E182*'Reference Standards'!$S$601+'Reference Standards'!$S$602,E182*'Reference Standards'!$T$601+'Reference Standards'!$T$602),2))))))))</f>
        <v/>
      </c>
      <c r="G182" s="529"/>
      <c r="H182" s="567"/>
      <c r="I182" s="555"/>
      <c r="J182" s="555"/>
      <c r="K182" s="555"/>
    </row>
    <row r="183" spans="1:13" ht="15.6" x14ac:dyDescent="0.3">
      <c r="A183" s="520"/>
      <c r="B183" s="521"/>
      <c r="C183" s="62" t="s">
        <v>210</v>
      </c>
      <c r="D183" s="58"/>
      <c r="E183" s="167"/>
      <c r="F183" s="391" t="str">
        <f>IF(E183="","",IF(E183&gt;=1.6,0,IF(E183&lt;=1,1,ROUND('Reference Standards'!$S$633*E183^3+'Reference Standards'!$S$634*E183^2+'Reference Standards'!$S$635*E183+'Reference Standards'!$S$636,2))))</f>
        <v/>
      </c>
      <c r="G183" s="530"/>
      <c r="H183" s="567"/>
      <c r="I183" s="555"/>
      <c r="J183" s="555"/>
      <c r="K183" s="555"/>
      <c r="L183" s="13"/>
    </row>
    <row r="184" spans="1:13" ht="15.6" x14ac:dyDescent="0.3">
      <c r="A184" s="521"/>
      <c r="B184" s="309" t="s">
        <v>55</v>
      </c>
      <c r="C184" s="242" t="s">
        <v>54</v>
      </c>
      <c r="D184" s="243"/>
      <c r="E184" s="163"/>
      <c r="F184" s="342" t="str">
        <f>IF(E184="","",IF(AND('Quantification Tool R1'!B$11="E",'Quantification Tool R1'!$B$14="Sand",'Quantification Tool R1'!$B$21="Unconfined Alluvial"),ROUND(IF(OR(E184&gt;1.8,E184&lt;1.3),0,IF(E184&lt;=1.6,1,E184*'Reference Standards'!S$667+'Reference Standards'!S$668)),2),    IF('Quantification Tool R1'!$B$21="Unconfined Alluvial",ROUND(IF(OR(E184&lt;1.2, E184&gt;1.5),0,IF(E184&lt;=1.4,1,E184*'Reference Standards'!$S$700+'Reference Standards'!$S$701)),2), IF('Quantification Tool R1'!$B$21="Confined Alluvial",ROUND(IF(E184&lt;1.15,0,IF(E184&lt;=1.4,E184*'Reference Standards'!$S$729+'Reference Standards'!$S$730,1)),2),  IF('Quantification Tool R1'!$B$21="Colluvial",ROUND(IF(E184&gt;1.3,0,IF(E184&gt;1.2,E184*'Reference Standards'!$S$760+'Reference Standards'!$S$761,1)),2) )))))</f>
        <v/>
      </c>
      <c r="G184" s="84" t="str">
        <f>IFERROR(AVERAGE(F184),"")</f>
        <v/>
      </c>
      <c r="H184" s="567"/>
      <c r="I184" s="555"/>
      <c r="J184" s="555"/>
      <c r="K184" s="555"/>
      <c r="L184" s="13"/>
    </row>
    <row r="185" spans="1:13" ht="15.6" x14ac:dyDescent="0.3">
      <c r="A185" s="537" t="s">
        <v>58</v>
      </c>
      <c r="B185" s="67" t="s">
        <v>88</v>
      </c>
      <c r="C185" s="70" t="s">
        <v>338</v>
      </c>
      <c r="D185" s="70"/>
      <c r="E185" s="43"/>
      <c r="F185" s="343" t="str">
        <f>IF(E185="","",ROUND(IF(E185&gt;=942,0,IF(E185&lt;=487,E185*'Reference Standards'!AB$15+'Reference Standards'!AB$16,E185*'Reference Standards'!$AC$15+'Reference Standards'!$AC$16)),2))</f>
        <v/>
      </c>
      <c r="G185" s="85" t="str">
        <f>IFERROR(AVERAGE(F185),"")</f>
        <v/>
      </c>
      <c r="H185" s="547" t="str">
        <f>IFERROR(ROUND(AVERAGE(G185:G188),2),"")</f>
        <v/>
      </c>
      <c r="I185" s="534" t="str">
        <f>IF(H185="","",IF(H185&gt;0.69,"Functioning",IF(H185&gt;0.29,"Functioning At Risk",IF(H185&gt;-1,"Not Functioning"))))</f>
        <v/>
      </c>
      <c r="J185" s="555"/>
      <c r="K185" s="555"/>
      <c r="L185" s="21"/>
    </row>
    <row r="186" spans="1:13" ht="15.6" x14ac:dyDescent="0.3">
      <c r="A186" s="538"/>
      <c r="B186" s="306" t="s">
        <v>362</v>
      </c>
      <c r="C186" s="66" t="s">
        <v>354</v>
      </c>
      <c r="D186" s="66"/>
      <c r="E186" s="163"/>
      <c r="F186" s="344" t="str">
        <f>IF(E186="","",IF(OR('Quantification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June")),IF(E186&gt;93,0,IF(E186&lt;13,1,ROUND('Reference Standards'!$AB$53*E186^2+'Reference Standards'!$AB$54*E186+'Reference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R1'!$B$12="73b"),IF(E186&gt;94,0,IF(E186&lt;17,1,ROUND('Reference Standards'!$AC$53*E186^2+'Reference Standards'!$AC$54*E186+'Reference Standards'!$AC$55,2))),    IF(OR(AND(OR('Quantification Tool R1'!$B$12="68b",'Quantification Tool R1'!$B$12="71i"),'Quantification Tool R1'!$B$13&gt;2), 'Quantification Tool R1'!$B$12="71e"),IF(E186&gt;91,0,IF(E186&lt;24,1,ROUND('Reference Standards'!$AD$53*E186^2+'Reference Standards'!$AD$54*E186+'Reference Standards'!$AD$55,2))),  IF(OR(AND(OR('Quantification Tool R1'!$B$12="71f",'Quantification Tool R1'!$B$12="71g",'Quantification Tool R1'!$B$12="71h",'Quantification Tool R1'!$B$12="71i"),'Quantification Tool R1'!$B$13&lt;=2), AND('Quantification Tool R1'!$B$12="74a",'Quantification Tool R1'!$B$13&gt;2)),IF(E186&gt;95,0,IF(E186&lt;=36,1,ROUND('Reference Standards'!$AE$53*E186^2+'Reference Standards'!$AE$54*E186+'Reference Standards'!$AE$55,2))))))))</f>
        <v/>
      </c>
      <c r="G186" s="236" t="str">
        <f>IFERROR(AVERAGE(F186:F186),"")</f>
        <v/>
      </c>
      <c r="H186" s="548"/>
      <c r="I186" s="535"/>
      <c r="J186" s="555"/>
      <c r="K186" s="555"/>
      <c r="L186" s="21"/>
    </row>
    <row r="187" spans="1:13" ht="15.6" x14ac:dyDescent="0.3">
      <c r="A187" s="538"/>
      <c r="B187" s="67" t="s">
        <v>81</v>
      </c>
      <c r="C187" s="68" t="s">
        <v>281</v>
      </c>
      <c r="D187" s="68"/>
      <c r="E187" s="162"/>
      <c r="F187" s="344" t="str">
        <f>IF(E187="","",IF(ISNUMBER('Quantification Tool R1'!$B$13), IF(OR('Quantification Tool R1'!$B$12="66e",'Quantification Tool R1'!$B$12="66f",'Quantification Tool R1'!$B$12="66g"), ROUND(IF(E187&gt;=0.61,0,IF(E187&lt;=0.01,1,IF(E187&lt;=0.06,E187*'Reference Standards'!$AD$197+'Reference Standards'!$AD$198,E187^2*'Reference Standards'!$AB$196+E187*'Reference Standards'!$AB$197+'Reference Standards'!$AB$198))),2),  IF('Quantification Tool R1'!$B$12="68b", ROUND(IF(E187&gt;=1.1,0,IF(E187&lt;=0.17,1,IF(E187&lt;=0.22,E187*'Reference Standards'!$AE$197+'Reference Standards'!$AE$198,E187^2*'Reference Standards'!$AC$196+E187*'Reference Standards'!$AC$197+'Reference Standards'!$AC$198))),2),IF('Quantification Tool R1'!$B$13&lt;=2.5,   IF('Quantification Tool R1'!$B$12="69de",ROUND(IF(E187&gt;=0.22,0,IF(E187&lt;=0.01,1,E187^2*'Reference Standards'!$AB$90+E187*'Reference Standards'!$AB$91+'Reference Standards'!$AB$92)),2),   IF('Quantification Tool R1'!$B$12="68c",ROUND(IF(E187&gt;=0.87,0,IF(E187&lt;=0.01,1,E187^2*'Reference Standards'!$AC$90+E187*'Reference Standards'!$AC$91+'Reference Standards'!$AC$92)),2),   IF('Quantification Tool R1'!$B$12="68a",ROUND(IF(E187&gt;=0.81,0,IF(E187&lt;=0.01,1,E187^2*'Reference Standards'!$AD$90+E187*'Reference Standards'!$AD$91+'Reference Standards'!$AD$92)),2),   IF('Quantification Tool R1'!$B$12="65abei",ROUND(IF(E187&gt;=0.67,0,IF(E187&lt;=0.01,1,IF(E187&lt;=0.18,E187*'Reference Standards'!$AG$91+'Reference Standards'!$AG$92,E187*'Reference Standards'!$AE$91+'Reference Standards'!$AE$92))),2),   IF('Quantification Tool R1'!$B$12="65j",ROUND(IF(E187&gt;=0.32,0,IF(E187&lt;=0.01,1,IF(E187&lt;=0.25,E187*'Reference Standards'!$AH$91+'Reference Standards'!$AH$92,E187*'Reference Standards'!$AF$91+'Reference Standards'!$AF$92))),2),   IF('Quantification Tool R1'!$B$12="71f",ROUND(IF(E187&gt;=3,0,IF(E187&lt;=0,1,IF(E187&lt;=0.01,0.7,E187^2*'Reference Standards'!$AB$126+E187*'Reference Standards'!$AB$127+'Reference Standards'!$AB$128))),2),   IF('Quantification Tool R1'!$B$12="74a",ROUND(IF(E187&gt;=0.14,0,IF(E187&lt;=0.01,1,IF(E187&lt;=0.02,0.7,E187^2*'Reference Standards'!$AC$126+E187*'Reference Standards'!$AC$127+'Reference Standards'!$AC$128))),2),   IF(OR('Quantification Tool R1'!$B$12="67fhi",'Quantification Tool R1'!$B$12="67g"),ROUND(IF(E187&gt;=1.9,0,IF(E187&lt;=0.01,1,IF(E187&lt;=0.05,E187*'Reference Standards'!$AF$127+'Reference Standards'!$AF$128,E187^2*'Reference Standards'!$AD$126+E187*'Reference Standards'!$AD$127+'Reference Standards'!$AD$128))),2),   IF('Quantification Tool R1'!$B$12="73a",ROUND(IF(E187&gt;=1.44,0,IF(E187&lt;=0.01,1,IF(E187&lt;=0.12,E187*'Reference Standards'!$AG$127+'Reference Standards'!$AG$128,E187^2*'Reference Standards'!$AE$126+E187*'Reference Standards'!$AE$127+'Reference Standards'!$AE$128))),2),   IF('Quantification Tool R1'!$B$12="66d",ROUND(IF(E187&gt;=0.46,0,IF(E187&lt;=0.02,1,IF(E187&lt;=0.08,E187*'Reference Standards'!$AF$163+'Reference Standards'!$AF$164,E187^2*'Reference Standards'!$AB$162+E187*'Reference Standards'!$AB$163+'Reference Standards'!$AB$164))),2),   IF(OR('Quantification Tool R1'!$B$12="71g",'Quantification Tool R1'!$B$12="71h",'Quantification Tool R1'!$B$12="71i"),ROUND(IF(E187&gt;=3,0,IF(E187&lt;=0.06,1,IF(E187&lt;=0.24,E187*'Reference Standards'!$AG$163+'Reference Standards'!$AG$164, E187^2*'Reference Standards'!$AC$162+E187*'Reference Standards'!$AC$163+'Reference Standards'!$AC$164))),2),   IF('Quantification Tool R1'!$B$12="74b",ROUND(IF(E187&gt;=1.3,0,IF(E187&lt;=0.29,1,IF(E187&lt;=0.48,E187*'Reference Standards'!$AH$163+'Reference Standards'!$AH$164,E187^2*'Reference Standards'!$AD$162+E187*'Reference Standards'!$AD$163+'Reference Standards'!$AD$164))),2),   IF('Quantification Tool R1'!$B$12="71e",ROUND(IF(E187&gt;=4.3,0,IF(E187&lt;=0.53,1,IF(E187&lt;=0.67,E187*'Reference Standards'!$AI$163+'Reference Standards'!$AI$164,E187^2*'Reference Standards'!$AE$162+E187*'Reference Standards'!$AE$163+'Reference Standards'!$AE$164))),2)       ))))))))))))),IF('Quantification Tool R1'!$B$13&gt;2.5,    IF('Quantification Tool R1'!$B$12="73a",ROUND(IF(E187&gt;=0.55,0,IF(E187&lt;=0,1,E187^2*'Reference Standards'!$AB$232+E187*'Reference Standards'!$AB$233+'Reference Standards'!$AB$234)),2),   IF('Quantification Tool R1'!$B$12="68a",ROUND(IF(E187&gt;=0.54,0,IF(E187&lt;=0,1, IF(E187&lt;=0.01,0.85, E187^2*'Reference Standards'!$AC$232+E187*'Reference Standards'!$AC$233+'Reference Standards'!$AC$234))),2),   IF('Quantification Tool R1'!$B$12="74a",ROUND(IF(E187&gt;=0.47,0,IF(E187&lt;=0.01,1, IF(E187&lt;=0.02,0.7, E187^2*'Reference Standards'!$AD$232+E187*'Reference Standards'!$AD$233+'Reference Standards'!$AD$234))),2),    IF('Quantification Tool R1'!$B$12="69de",ROUND(IF(E187&gt;=0.26,0,IF(E187&lt;=0.01,1, IF(E187&lt;=0.02,0.85, E187^2*'Reference Standards'!$AE$232+E187*'Reference Standards'!$AE$233+'Reference Standards'!$AE$234))),2),   IF('Quantification Tool R1'!$B$12="71f",ROUND(IF(E187&gt;=0.87,0,IF(E187&lt;=0.01,1,IF(E187&lt;=0.04,E187*'Reference Standards'!$AF$269+'Reference Standards'!$AF$270,E187^2*'Reference Standards'!$AB$268+E187*'Reference Standards'!$AB$269+'Reference Standards'!$AB$270))),2),  IF('Quantification Tool R1'!$B$12="65abei",ROUND(IF(E187&gt;=0.82,0,IF(E187&lt;=0.01,1,IF(E187&lt;=0.06,E187*'Reference Standards'!$AG$269+'Reference Standards'!$AG$270,E187^2*'Reference Standards'!$AC$268+E187*'Reference Standards'!$AC$269+'Reference Standards'!$AC$270))),2),  IF('Quantification Tool R1'!$B$12="65j",ROUND(IF(E187&gt;=0.33,0,IF(E187&lt;=0.03,1,IF(E187&lt;=0.09,E187*'Reference Standards'!$AH$269+'Reference Standards'!$AH$270,E187^2*'Reference Standards'!$AD$268+E187*'Reference Standards'!$AD$269+'Reference Standards'!$AD$270))),2),  IF('Quantification Tool R1'!$B$12="68c",ROUND(IF(E187&gt;=0.7,0,IF(E187&lt;=0.07,1,IF(E187&lt;=0.12,E187*'Reference Standards'!$AI$269+'Reference Standards'!$AI$270,E187^2*'Reference Standards'!$AE$268+E187*'Reference Standards'!$AE$269+'Reference Standards'!$AE$270))),2),   IF(OR('Quantification Tool R1'!$B$12="67fhi",'Quantification Tool R1'!$B$12="67g"),ROUND(IF(E187&gt;=1.8,0,IF(E187&lt;=0.08,1,IF(E187&lt;=0.2,E187*'Reference Standards'!$AF$306+'Reference Standards'!$AF$307,E187^2*'Reference Standards'!$AB$305+E187*'Reference Standards'!$AB$306+'Reference Standards'!$AB$307))),2),   IF('Quantification Tool R1'!$B$12="74b",ROUND(IF(E187&gt;=0.96,0,IF(E187&lt;=0.12,1,IF(E187&lt;=0.16,E187*'Reference Standards'!$AG$306+'Reference Standards'!$AG$307,E187^2*'Reference Standards'!$AC$305+E187*'Reference Standards'!$AC$306+'Reference Standards'!$AC$307))),2),   IF('Quantification Tool R1'!$B$12="66d",ROUND(IF(E187&gt;=0.75,0,IF(E187&lt;=0.13,1,IF(E187&lt;=0.2,E187*'Reference Standards'!$AH$306+'Reference Standards'!$AH$307,E187^2*'Reference Standards'!$AD$305+E187*'Reference Standards'!$AD$306+'Reference Standards'!$AD$307))),2),    IF(OR('Quantification Tool R1'!$B$12="71g",'Quantification Tool R1'!$B$12="71h",'Quantification Tool R1'!$B$12="71i"),ROUND(IF(E187&gt;=1.68,0,IF(E187&lt;=0.08,1,IF(E187&lt;=0.23,E187*'Reference Standards'!$AI$306+'Reference Standards'!$AI$307,E187^2*'Reference Standards'!$AE$305+E187*'Reference Standards'!$AE$306+'Reference Standards'!$AE$307))),2),   IF('Quantification Tool R1'!$B$12="71e",ROUND(IF(E187&gt;=5.3,0,IF(E187&lt;=0.94,1,IF(E187&lt;=1.4,E187*'Reference Standards'!$AF$310+'Reference Standards'!$AF$311,E187^2*'Reference Standards'!$AB$309+E187*'Reference Standards'!$AB$310+'Reference Standards'!$AB$311))),2))    ))))))))))))))))))</f>
        <v/>
      </c>
      <c r="G187" s="86" t="str">
        <f>IFERROR(AVERAGE(F187),"")</f>
        <v/>
      </c>
      <c r="H187" s="548"/>
      <c r="I187" s="535"/>
      <c r="J187" s="555"/>
      <c r="K187" s="555"/>
      <c r="L187" s="21"/>
    </row>
    <row r="188" spans="1:13" ht="15.6" x14ac:dyDescent="0.3">
      <c r="A188" s="539"/>
      <c r="B188" s="307" t="s">
        <v>82</v>
      </c>
      <c r="C188" s="66" t="s">
        <v>280</v>
      </c>
      <c r="D188" s="66"/>
      <c r="E188" s="136"/>
      <c r="F188" s="343" t="str">
        <f>IF(E188="","", IF(ISNUMBER('Quantification Tool R1'!$B$13),IF('Quantification Tool R1'!$B$13&gt;2.5,IF(OR('Quantification Tool R1'!$B$12="71h",'Quantification Tool R1'!$B$12="71i",'Quantification Tool R1'!$B$12="73a",'Quantification Tool R1'!$B$12="74a"),IF(E188&lt;=0.01,1,IF(OR('Quantification Tool R1'!$B$12="71h",'Quantification Tool R1'!$B$12="71i"),IF(E188&gt;0.37,0,ROUND(IF(E188&gt;0.03,'Reference Standards'!$AB$425*E188^2+'Reference Standards'!$AB$426*E188+'Reference Standards'!$AB$427,'Reference Standards'!$AF$426*E188+'Reference Standards'!$AF$427),2)),  IF('Quantification Tool R1'!$B$12="73a",IF(E188&gt;0.405,0,ROUND(IF(E188&gt;0.046,'Reference Standards'!$AC$425*E188^2+'Reference Standards'!$AC$426*E188+'Reference Standards'!$AC$427,'Reference Standards'!$AG$426*E188+'Reference Standards'!$AG$427),2)),IF('Quantification Tool R1'!$B$12="74a",IF(E188&gt;0.3,0,ROUND(IF(E188&gt;0.052,'Reference Standards'!$AD$425*E188^2+'Reference Standards'!$AD$426*E188+'Reference Standards'!$AD$427,'Reference Standards'!$AH$426*E188+'Reference Standards'!$AH$427),2)))))),   IF(E188&lt;=0.002,1,IF(OR('Quantification Tool R1'!$B$12="66d",'Quantification Tool R1'!$B$12="66e",'Quantification Tool R1'!$B$12="66g"),IF(E188&gt;0.053,0,ROUND(E188^2*'Reference Standards'!$AB$347+E188*'Reference Standards'!$AB$348+'Reference Standards'!$AB$349,2)), IF('Quantification Tool R1'!$B$12="68b",IF(E188&gt;0.05,0,ROUND(E188^2*'Reference Standards'!$AC$347+E188*'Reference Standards'!$AC$348+'Reference Standards'!$AC$349,2)),  IF(OR('Quantification Tool R1'!$B$12="68a",'Quantification Tool R1'!$B$12="68c"),IF(E188&gt;0.07,0,ROUND(E188^2*'Reference Standards'!$AD$347+E188*'Reference Standards'!$AD$348+'Reference Standards'!$AD$349,2)), IF(OR('Quantification Tool R1'!$B$12="71f",'Quantification Tool R1'!$B$12="71g"),IF(E188&gt;0.13,0,ROUND(IF(E188&gt;0.042,E188*'Reference Standards'!$AE$348+'Reference Standards'!$AE$349,E188*'Reference Standards'!$AF$348+'Reference Standards'!$AF$349),2)), IF('Quantification Tool R1'!$B$12="67fhi",IF(E188&gt;0.16,0,ROUND(E188^2*'Reference Standards'!$AG$347+E188*'Reference Standards'!$AG$348+'Reference Standards'!$AG$349,2)),  IF('Quantification Tool R1'!$B$12="65j",IF(E188&gt;0.035,0,ROUND(IF(E188&lt;=0.003,0.7,E188^2*'Reference Standards'!$AB$387+E188*'Reference Standards'!$AB$388+'Reference Standards'!$AB$389),2)),IF('Quantification Tool R1'!$B$12="69de",IF(E188&gt;0.037,0,ROUND(IF(E188&lt;=0.003,0.7,E188^2*'Reference Standards'!$AC$387+E188*'Reference Standards'!$AC$388+'Reference Standards'!$AC$389),2)),IF('Quantification Tool R1'!$B$12="71e",IF(E188&gt;0.23,0,ROUND(IF(E188&lt;=0.003,0.7,E188^2*'Reference Standards'!$AD$387+E188*'Reference Standards'!$AD$388+'Reference Standards'!$AD$389),2)),IF('Quantification Tool R1'!$B$12="66f",IF(E188&gt;0.06,0,ROUND(IF(E188&lt;=0.003,0.85,IF(E188&lt;=0.004,0.7,E188^2*'Reference Standards'!$AE$387+E188*'Reference Standards'!$AE$388+'Reference Standards'!$AE$389)),2)),IF('Quantification Tool R1'!$B$12="67g",IF(E188&gt;0.11,0,ROUND(IF(E188&lt;=0.01,E188*'Reference Standards'!$AH$388+'Reference Standards'!$AH$389, E188^2*'Reference Standards'!$AF$387+E188*'Reference Standards'!$AF$388+'Reference Standards'!$AF$389),2)),IF('Quantification Tool R1'!$B$12="74b",IF(E188&gt;0.49,0,ROUND(IF(E188&lt;=0.01,E188*'Reference Standards'!$AH$388+'Reference Standards'!$AH$389, E188^2*'Reference Standards'!$AG$387+E188*'Reference Standards'!$AG$388+'Reference Standards'!$AG$389),2)),IF('Quantification Tool R1'!$B$12="65abei",IF(E188&gt;0.199,0,ROUND(IF(E188&lt;=0.01,E188*'Reference Standards'!$AI$426+'Reference Standards'!$AI$427, E188^2*'Reference Standards'!$AE$425+E188*'Reference Standards'!$AE$426+'Reference Standards'!$AE$427),2))    )))))))))))))),      IF('Quantification Tool R1'!$B$13&lt;=2.5, IF(OR('Quantification Tool R1'!$B$12="66d",'Quantification Tool R1'!$B$12="66e",'Quantification Tool R1'!$B$12="66g"),IF(E188&gt;0.05,0,ROUND(IF(E188&lt;=0.002,1,IF(E188&lt;=0.005,E188*'Reference Standards'!$AF$464+'Reference Standards'!$AF$465, E188^2*'Reference Standards'!$AB$463+E188*'Reference Standards'!$AB$464+'Reference Standards'!$AB$465)),2)), IF('Quantification Tool R1'!$B$12="67fhi",IF(E188&gt;0.1,0,ROUND(IF(E188&lt;=0.002,1,IF(E188&lt;=0.006,E188*'Reference Standards'!$AG$464+'Reference Standards'!$AG$465, E188^2*'Reference Standards'!$AC$463+E188*'Reference Standards'!$AC$464+'Reference Standards'!$AC$465)),2)), IF('Quantification Tool R1'!$B$12="65abei",IF(E188&gt;0.13,0,ROUND(IF(E188&lt;=0.003,1,IF(E188&lt;=0.008,E188*'Reference Standards'!$AH$464+'Reference Standards'!$AH$465, E188^2*'Reference Standards'!$AD$463+E188*'Reference Standards'!$AD$464+'Reference Standards'!$AD$465)),2)), IF('Quantification Tool R1'!$B$12="68b",IF(E188&gt;0.043,0,ROUND(IF(E188&lt;=0.004,1, IF(E188&lt;=0.005,0.7, E188^2*'Reference Standards'!$AE$463+E188*'Reference Standards'!$AE$464+'Reference Standards'!$AE$465)),2)), IF('Quantification Tool R1'!$B$12="69de",IF(E188&gt;=0.034,0,ROUND(IF(E188&lt;=0.003,1, IF(E188&lt;=0.006,E188*'Reference Standards'!$AG$500+'Reference Standards'!$AG$501, E188*'Reference Standards'!$AB$500+'Reference Standards'!$AB$501)),2)), IF(OR('Quantification Tool R1'!$B$12="68a",'Quantification Tool R1'!$B$12="68c"),IF(E188&gt;0.202,0,ROUND(IF(E188&lt;=0.003,1, IF(E188&lt;=0.006,E188*'Reference Standards'!$AG$500+'Reference Standards'!$AG$501, IF(E188&gt;=0.04,E188*'Reference Standards'!$AC$500+'Reference Standards'!$AC$501,E188*'Reference Standards'!$AE$500+'Reference Standards'!$AE$501))),2)), IF(OR('Quantification Tool R1'!$B$12="71f",'Quantification Tool R1'!$B$12="71g"),IF(E188&gt;0.631,0,ROUND(IF(E188&lt;=0.003,1, IF(E188&lt;=0.006,E188*'Reference Standards'!$AG$500+'Reference Standards'!$AG$501, IF(E188&gt;=0.17,E188*'Reference Standards'!$AD$500+'Reference Standards'!$AD$501,E188*'Reference Standards'!$AF$500+'Reference Standards'!$AF$501))),2)),   IF('Quantification Tool R1'!$B$12="71e",IF(E188&gt;1.23,0,ROUND(IF(E188&lt;=0.004,1,IF(E188&lt;=0.006,E188*'Reference Standards'!$AF$538+'Reference Standards'!$AF$539, E188^2*'Reference Standards'!$AB$537+E188*'Reference Standards'!$AB$538+'Reference Standards'!$AB$539)),2)), IF('Quantification Tool R1'!$B$12="67g",IF(E188&gt;0.11,0,ROUND(IF(E188&lt;=0.006,1,IF(E188&lt;=0.011,E188*'Reference Standards'!$AG$538+'Reference Standards'!$AG$539, E188^2*'Reference Standards'!$AC$537+E188*'Reference Standards'!$AC$538+'Reference Standards'!$AC$539)),2)), IF('Quantification Tool R1'!$B$12="65j",IF(E188&gt;0.046,0,ROUND(IF(E188&lt;=0.007,1,IF(E188&lt;=0.012,E188*'Reference Standards'!$AH$538+'Reference Standards'!$AH$539, E188^2*'Reference Standards'!$AD$537+E188*'Reference Standards'!$AD$538+'Reference Standards'!$AD$539)),2)), IF('Quantification Tool R1'!$B$12="66f",IF(E188&gt;0.081,0,ROUND(IF(E188&lt;=0.008,1,IF(E188&lt;=0.011,E188*'Reference Standards'!$AI$538+'Reference Standards'!$AI$539, E188^2*'Reference Standards'!$AE$537+E188*'Reference Standards'!$AE$538+'Reference Standards'!$AE$539)),2)), IF(OR('Quantification Tool R1'!$B$12="71h",'Quantification Tool R1'!$B$12="71i"),IF(E188&gt;0.37,0,ROUND(IF(E188&lt;=0.013,1,IF(E188&lt;=0.032,E188*'Reference Standards'!$AH$576+'Reference Standards'!$AH$577, IF(E188&lt;=0.3,E188*'Reference Standards'!$AF$576+'Reference Standards'!$AF$577,E188*'Reference Standards'!$AB$576+'Reference Standards'!$AB$577))),2)), IF('Quantification Tool R1'!$B$12="73a",IF(E188&gt;0.448,0,ROUND(IF(E188&lt;=0.071,1,IF(E188&lt;=0.086,E188*'Reference Standards'!$AJ$576+'Reference Standards'!$AJ$577, IF(E188&lt;=0.165,E188*'Reference Standards'!$AG$576+'Reference Standards'!$AG$577,E188*'Reference Standards'!$AE$576+'Reference Standards'!$AE$577))),2)),  IF('Quantification Tool R1'!$B$12="74b",IF(E188&gt;0.43,0,ROUND(IF(E188&lt;=0.018,1,IF(E188&lt;=0.019,0.85, IF(E188&lt;=0.02,0.7, E188^2*'Reference Standards'!$AC$575+E188*'Reference Standards'!$AC$576+'Reference Standards'!$AC$577))),2)), IF('Quantification Tool R1'!$B$12="74a",IF(E188&gt;0.217,0,ROUND(IF(E188&lt;=0.02,1,IF(E188&lt;=0.033,E188*'Reference Standards'!$AI$576+'Reference Standards'!$AI$577, E188^2*'Reference Standards'!$AD$575+E188*'Reference Standards'!$AD$576+'Reference Standards'!$AD$577)),2))     )))))))))))))))))))</f>
        <v/>
      </c>
      <c r="G188" s="87" t="str">
        <f>IFERROR(AVERAGE(F188),"")</f>
        <v/>
      </c>
      <c r="H188" s="549"/>
      <c r="I188" s="536"/>
      <c r="J188" s="555"/>
      <c r="K188" s="555"/>
      <c r="L188" s="21"/>
    </row>
    <row r="189" spans="1:13" ht="15.6" x14ac:dyDescent="0.3">
      <c r="A189" s="550" t="s">
        <v>59</v>
      </c>
      <c r="B189" s="560" t="s">
        <v>340</v>
      </c>
      <c r="C189" s="125" t="s">
        <v>331</v>
      </c>
      <c r="D189" s="126"/>
      <c r="E189" s="166"/>
      <c r="F189" s="345" t="str">
        <f>IF(E189="","",IF(OR('Quantification Tool R1'!B$12="73a",'Quantification Tool R1'!B$12="73b"),IF(E189&lt;1,0,IF(E189&gt;=30,1,ROUND(IF(E189&lt;22,'Reference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531" t="str">
        <f>IFERROR(AVERAGE(F189:F192),"")</f>
        <v/>
      </c>
      <c r="H189" s="568" t="str">
        <f>IFERROR(ROUND(AVERAGE(G189:G194),2),"")</f>
        <v/>
      </c>
      <c r="I189" s="519" t="str">
        <f>IF(H189="","",IF(H189&gt;0.69,"Functioning",IF(H189&gt;0.29,"Functioning At Risk",IF(H189&gt;-1,"Not Functioning"))))</f>
        <v/>
      </c>
      <c r="J189" s="555"/>
      <c r="K189" s="555"/>
      <c r="L189" s="21"/>
    </row>
    <row r="190" spans="1:13" ht="15.6" x14ac:dyDescent="0.3">
      <c r="A190" s="556"/>
      <c r="B190" s="561"/>
      <c r="C190" s="174" t="s">
        <v>335</v>
      </c>
      <c r="D190" s="175"/>
      <c r="E190" s="165"/>
      <c r="F190" s="346" t="str">
        <f>IF(E190="","",IF(AND('Quantification Tool R1'!$B$12="74b",'Quantification Tool R1'!$B$13&lt;=2),IF(E190&lt;0,0,IF(E190&gt;15.6,0.69,ROUND('Reference Standards'!$AL$54*E190^2+'Reference Standards'!$AL$55*E190+'Reference Standards'!$AL$56,2))),IF(AND('Quantification Tool R1'!$B$12="65abei",'Quantification Tool R1'!$B$13&lt;=2),IF(E190&lt;0,0,IF(E190&gt;=20,0.69,ROUND('Reference Standards'!$AM$54*E190^2+'Reference Standards'!$AM$55*E190+'Reference Standards'!$AM$56,2))),IF(OR(AND('Quantification Tool R1'!$B$12="74a",'Quantification Tool R1'!$B$13&gt;2,'Quantification Tool R1'!$B$19="January - June"),AND('Quantification Tool R1'!$B$12="71i",'Quantification Tool R1'!$B$13&gt;2,'Quantification Tool R1'!$B$20="SQBANK")),IF(E190&lt;0,0,IF(E190&gt;24.7,0.69,ROUND('Reference Standards'!$AN$54*E190^2+'Reference Standards'!$AN$55*E190+'Reference Standards'!$AN$56,2))),IF(OR('Quantification Tool R1'!$B$12="74b",'Quantification Tool R1'!$B$12="65abei"),IF(E190&lt;0,0,IF(E190&gt;32.7,0.69,ROUND('Reference Standards'!$AO$54*E190^2+'Reference Standards'!$AO$55*E190+'Reference Standards'!$AO$56,2))),IF(AND('Quantification Tool R1'!$B$12="68b",'Quantification Tool R1'!$B$13&gt;2),IF(E190&lt;0,0,IF(E190&gt;41.2,0.69,ROUND('Reference Standards'!$AP$54*E190^2+'Reference Standards'!$AP$55*E190+'Reference Standards'!$AP$56,2))),IF(OR(AND('Quantification Tool R1'!$B$12="71i",'Quantification Tool R1'!$B$13&lt;=2),AND(OR('Quantification Tool R1'!$B$12="68c",'Quantification Tool R1'!$B$12="68d"),'Quantification Tool R1'!$B$19="January - June")),IF(E190&lt;0,0,IF(E190&gt;49.2,0.69,ROUND('Reference Standards'!$AL$94*E190^2+'Reference Standards'!$AL$95*E190+'Reference Standards'!$AL$96,2))),IF(OR(AND('Quantification Tool R1'!$B$12="68a",'Quantification Tool R1'!$B$19="January - June"),AND(OR('Quantification Tool R1'!$B$12="68c",'Quantification Tool R1'!$B$12="68d"),'Quantification Tool R1'!$B$19="July - December")),IF(E190&lt;0,0,IF(E190&gt;53.4,0.69,ROUND('Reference Standards'!$AM$94*E190^2+'Reference Standards'!$AM$95*E190+'Reference Standards'!$AM$96,2))),IF(OR(AND('Quantification Tool R1'!$B$12="71i",'Quantification Tool R1'!$B$13&gt;2,'Quantification Tool R1'!$B$20="SQKICK"),AND(OR('Quantification Tool R1'!$B$12="67fhi",'Quantification Tool R1'!$B$12="67g"),'Quantification Tool R1'!$B$13&lt;=2),'Quantification Tool R1'!$B$12="65j"),IF(E190&lt;0,0,IF(E190&gt;57.8,0.69,ROUND('Reference Standards'!$AN$94*E190^2+'Reference Standards'!$AN$95*E190+'Reference Standards'!$AN$96,2))),IF(OR(AND('Quantification Tool R1'!$B$12="74a",'Quantification Tool R1'!$B$13&gt;2,'Quantification Tool R1'!$B$19="July - December"),AND(OR('Quantification Tool R1'!$B$12="67fhi",'Quantification Tool R1'!$B$12="67g"),'Quantification Tool R1'!$B$13&gt;2),'Quantification Tool R1'!$B$12="69de"),IF(E190&lt;0,0,IF(E190&gt;62.5,0.69,ROUND('Reference Standards'!$AO$94*E190^2+'Reference Standards'!$AO$95*E190+'Reference Standards'!$AO$96,2))),  IF(OR('Quantification Tool R1'!$B$12="66d",'Quantification Tool R1'!$B$12="66e",'Quantification Tool R1'!$B$12="66ik",'Quantification Tool R1'!$B$12="71e",'Quantification Tool R1'!$B$12="71f",'Quantification Tool R1'!$B$12="71g",'Quantification Tool R1'!$B$12="71h"),IF(E190&lt;0,0,IF(E190&gt;66.5,0.69,ROUND('Reference Standards'!$AP$94*E190^2+'Reference Standards'!$AP$95*E190+'Reference Standards'!$AP$96,2))),IF(OR('Quantification Tool R1'!$B$12="66f",'Quantification Tool R1'!$B$12="66g",'Quantification Tool R1'!$B$12="66j",AND('Quantification Tool R1'!$B$12="68a",'Quantification Tool R1'!$B$19="July - December")), IF(E190&lt;0,0,IF(E190&gt;69,0.69,ROUND('Reference Standards'!$AQ$94*E190^2+'Reference Standards'!$AQ$95*E190+'Reference Standards'!$AQ$96,2))))   )))))))))))</f>
        <v/>
      </c>
      <c r="G190" s="531"/>
      <c r="H190" s="568"/>
      <c r="I190" s="519"/>
      <c r="J190" s="555"/>
      <c r="K190" s="555"/>
      <c r="L190" s="21"/>
    </row>
    <row r="191" spans="1:13" ht="15.6" x14ac:dyDescent="0.3">
      <c r="A191" s="556"/>
      <c r="B191" s="561"/>
      <c r="C191" s="174" t="s">
        <v>339</v>
      </c>
      <c r="D191" s="175"/>
      <c r="E191" s="165"/>
      <c r="F191" s="346" t="str">
        <f>IF(E191="","",IF(AND('Quantification Tool R1'!$B$12="74b",'Quantification Tool R1'!$B$13&lt;=2),IF(E191&lt;0,0,IF(E191&gt;8.1,0.69,ROUND('Reference Standards'!$AL$131*E191^2+'Reference Standards'!$AL$132*E191+'Reference Standards'!$AL$133,2))),IF(OR('Quantification Tool R1'!$B$12="73a",'Quantification Tool R1'!$B$12="73b"),IF(E191&lt;0,0,IF(E191&gt;=28,0.69,ROUND('Reference Standards'!$AM$131*E191^2+'Reference Standards'!$AM$132*E191+'Reference Standards'!$AM$133,2))),IF(AND('Quantification Tool R1'!$B$12="74a",'Quantification Tool R1'!$B$13&gt;2,'Quantification Tool R1'!$B$19="January - June"),IF(E191&lt;0,0,IF(E191&gt;=32.5,0.69,ROUND('Reference Standards'!$AN$131*E191^2+'Reference Standards'!$AN$132*E191+'Reference Standards'!$AN$133,2))),IF(AND('Quantification Tool R1'!$B$12="71i",'Quantification Tool R1'!$B$13&gt;2,'Quantification Tool R1'!$B$20="SQBANK"),IF(E191&lt;0,0,IF(E191&gt;=37,0.69,ROUND('Reference Standards'!$AO$131*E191^2+'Reference Standards'!$AO$132*E191+'Reference Standards'!$AO$133,2))),IF(OR(AND(OR('Quantification Tool R1'!$B$12="65abei",'Quantification Tool R1'!$B$12="74b"),'Quantification Tool R1'!$B$13&gt;2),AND('Quantification Tool R1'!$B$12="71i",'Quantification Tool R1'!$B$13&gt;2,'Quantification Tool R1'!$B$20="SQKICK")),IF(E191&lt;0,0,IF(E191&gt;42.6,0.69,ROUND('Reference Standards'!$AP$131*E191^2+'Reference Standards'!$AP$132*E191+'Reference Standards'!$AP$133,2))),     IF(OR(AND('Quantification Tool R1'!$B$12="65abei",'Quantification Tool R1'!$B$13&lt;=2),AND(OR('Quantification Tool R1'!$B$12="68c",'Quantification Tool R1'!$B$12="68d"),'Quantification Tool R1'!$B$19="July - December"),'Quantification Tool R1'!$B$12="71e"),IF(E191&lt;0,0,IF(E191&gt;=48,0.69,ROUND('Reference Standards'!$AL$171*E191^2+'Reference Standards'!$AL$172*E191+'Reference Standards'!$AL$173,2))),IF(OR('Quantification Tool R1'!$B$12="65j",'Quantification Tool R1'!$B$12="67fhi",'Quantification Tool R1'!$B$12="67g",AND('Quantification Tool R1'!$B$12="74a",'Quantification Tool R1'!$B$19="July - December",'Quantification Tool R1'!$B$13&gt;2),AND('Quantification Tool R1'!$B$12="71i",'Quantification Tool R1'!$B$13&lt;=2)),IF(E191&lt;0,0,IF(E191&gt;=53,0.69,ROUND('Reference Standards'!$AM$171*E191^2+'Reference Standards'!$AM$172*E191+'Reference Standards'!$AM$173,2))),IF(OR(AND(OR('Quantification Tool R1'!$B$12="68b",'Quantification Tool R1'!$B$12="71f",'Quantification Tool R1'!$B$12="71g",'Quantification Tool R1'!$B$12="71h"),'Quantification Tool R1'!$B$13&gt;2),'Quantification Tool R1'!$B$12="68a"),IF(E191&lt;0,0,IF(E191&gt;=57,0.69,ROUND('Reference Standards'!$AN$171*E191^2+'Reference Standards'!$AN$172*E191+'Reference Standards'!$AN$173,2))),IF(OR('Quantification Tool R1'!$B$12="66f",'Quantification Tool R1'!$B$12="66g",'Quantification Tool R1'!$B$12="66j",AND(OR('Quantification Tool R1'!$B$12="71f",'Quantification Tool R1'!$B$12="71g",'Quantification Tool R1'!$B$12="71h"),'Quantification Tool R1'!$B$13&lt;=2)),IF(E191&lt;0,0,IF(E191&gt;=60,0.69,ROUND('Reference Standards'!$AO$171*E191^2+'Reference Standards'!$AO$172*E191+'Reference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December")),IF(E191&lt;0,0,IF(E191&gt;=67.5,0.69,ROUND('Reference Standards'!$AP$171*E191^2+'Reference Standards'!$AP$172*E191+'Reference Standards'!$AP$173,2))),IF(AND('Quantification Tool R1'!$B$12="69de",'Quantification Tool R1'!$B$19="January - June"), IF(E191&lt;0,0,IF(E191&gt;=72,0.69,ROUND('Reference Standards'!$AQ$171*E191^2+'Reference Standards'!$AQ$172*E191+'Reference Standards'!$AQ$173,2))))   )))))))))))</f>
        <v/>
      </c>
      <c r="G191" s="531"/>
      <c r="H191" s="568"/>
      <c r="I191" s="519"/>
      <c r="J191" s="555"/>
      <c r="K191" s="555"/>
      <c r="L191" s="21"/>
    </row>
    <row r="192" spans="1:13" ht="15.6" x14ac:dyDescent="0.3">
      <c r="A192" s="556"/>
      <c r="B192" s="562"/>
      <c r="C192" s="127" t="s">
        <v>336</v>
      </c>
      <c r="D192" s="71"/>
      <c r="E192" s="167"/>
      <c r="F192" s="346" t="str">
        <f>IF(E192="","",IF(OR('Quantification Tool R1'!$B$12="67fhi",'Quantification Tool R1'!$B$12="67g",'Quantification Tool R1'!$B$12="71e",'Quantification Tool R1'!$B$12="73a",'Quantification Tool R1'!$B$12="73b",AND(OR('Quantification Tool R1'!$B$12="71f",'Quantification Tool R1'!$B$12="71g",'Quantification Tool R1'!$B$12="71h"),'Quantification Tool R1'!$B$13&gt;2)),IF(E192&gt;100,0,IF(E192&lt;15,0.69,ROUND('Reference Standards'!$AL$208*E192^2+'Reference Standards'!$AL$209*E192+'Reference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),IF(E192&gt;100,0,IF(E192&lt;19,0.69,ROUND('Reference Standards'!$AM$208*E192^2+'Reference Standards'!$AM$209*E192+'Reference Standards'!$AM$210,2))),    IF(OR(AND('Quantification Tool R1'!$B$12="69de",'Quantification Tool R1'!$B$19="January - June"),AND('Quantification Tool R1'!$B$12="71i",'Quantification Tool R1'!$B$13&gt;2,'Quantification Tool R1'!$B$20="SQKICK" )),IF(E192&gt;100,0,IF(E192&lt;22,0.69,ROUND('Reference Standards'!$AN$208*E192^2+'Reference Standards'!$AN$209*E192+'Reference Standards'!$AN$210,2))),    IF(OR('Quantification Tool R1'!$B$12="65j",AND('Quantification Tool R1'!$B$12="68b",'Quantification Tool R1'!$B$13&gt;2)),IF(E192&gt;100,0,IF(E192&lt;24,0.69,ROUND('Reference Standards'!$AO$208*E192^2+'Reference Standards'!$AO$209*E192+'Reference Standards'!$AO$210,2))),    IF(AND(OR('Quantification Tool R1'!$B$12="65abei",'Quantification Tool R1'!$B$12="71f",'Quantification Tool R1'!$B$12="71g",'Quantification Tool R1'!$B$12="71h"),'Quantification Tool R1'!$B$13&lt;=2),IF(E192&gt;95,0,IF(E192&lt;33,0.69,ROUND('Reference Standards'!$AL$246*E192^2+'Reference Standards'!$AL$247*E192+'Reference Standards'!$AL$248,2))),   IF(AND(OR('Quantification Tool R1'!$B$12="65abei",'Quantification Tool R1'!$B$12="74b"),'Quantification Tool R1'!$B$13&gt;2),IF(E192&gt;97,0,IF(E192&lt;36,0.69,ROUND('Reference Standards'!$AM$246*E192^2+'Reference Standards'!$AM$247*E192+'Reference Standards'!$AM$248,2))),  IF(AND('Quantification Tool R1'!$B$12="74a",'Quantification Tool R1'!$B$19="January - June",'Quantification Tool R1'!$B$13&gt;2),IF(E192&gt;93,0,IF(E192&lt;52,0.69,ROUND('Reference Standards'!$AN$246*E192^2+'Reference Standards'!$AN$247*E192+'Reference Standards'!$AN$248,2))),   IF(AND('Quantification Tool R1'!$B$12="74b",'Quantification Tool R1'!$B$13&lt;=2),IF(E192&gt;97,0,IF(E192&lt;62,0.69,ROUND('Reference Standards'!$AO$246*E192^2+'Reference Standards'!$AO$247*E192+'Reference Standards'!$AO$248,2)))  )))))))))</f>
        <v/>
      </c>
      <c r="G192" s="531"/>
      <c r="H192" s="568"/>
      <c r="I192" s="519"/>
      <c r="J192" s="555"/>
      <c r="K192" s="555"/>
      <c r="L192" s="21"/>
    </row>
    <row r="193" spans="1:12" ht="15.6" x14ac:dyDescent="0.3">
      <c r="A193" s="556"/>
      <c r="B193" s="563" t="s">
        <v>74</v>
      </c>
      <c r="C193" s="125" t="s">
        <v>211</v>
      </c>
      <c r="D193" s="126"/>
      <c r="E193" s="166"/>
      <c r="F193" s="345" t="str">
        <f>IF(E193="","",IF(E193=1,0.15,IF(E193=3,0.5,IF(E193=5,0.85,0))))</f>
        <v/>
      </c>
      <c r="G193" s="564" t="str">
        <f>IFERROR(AVERAGE(F193:F194),"")</f>
        <v/>
      </c>
      <c r="H193" s="568"/>
      <c r="I193" s="519"/>
      <c r="J193" s="555"/>
      <c r="K193" s="555"/>
      <c r="L193" s="21"/>
    </row>
    <row r="194" spans="1:12" ht="15.6" x14ac:dyDescent="0.3">
      <c r="A194" s="551"/>
      <c r="B194" s="563"/>
      <c r="C194" s="127" t="s">
        <v>332</v>
      </c>
      <c r="D194" s="71"/>
      <c r="E194" s="167"/>
      <c r="F194" s="347" t="str">
        <f>IF(E194="","",IF(E194=1,0.15,IF(E194=3,0.5,IF(E194=5,0.85,0))))</f>
        <v/>
      </c>
      <c r="G194" s="565"/>
      <c r="H194" s="568"/>
      <c r="I194" s="519"/>
      <c r="J194" s="555"/>
      <c r="K194" s="555"/>
      <c r="L194" s="21"/>
    </row>
    <row r="195" spans="1:12" ht="13.95" customHeight="1" x14ac:dyDescent="0.3">
      <c r="L195" s="21"/>
    </row>
    <row r="196" spans="1:12" ht="21" x14ac:dyDescent="0.4">
      <c r="A196" s="148" t="s">
        <v>135</v>
      </c>
      <c r="B196" s="246"/>
      <c r="C196" s="249" t="s">
        <v>324</v>
      </c>
      <c r="D196" s="246"/>
      <c r="E196" s="247"/>
      <c r="F196" s="248"/>
      <c r="G196" s="544" t="s">
        <v>18</v>
      </c>
      <c r="H196" s="545"/>
      <c r="I196" s="545"/>
      <c r="J196" s="545"/>
      <c r="K196" s="546"/>
      <c r="L196" s="21"/>
    </row>
    <row r="197" spans="1:12" ht="15.6" x14ac:dyDescent="0.3">
      <c r="A197" s="158" t="s">
        <v>1</v>
      </c>
      <c r="B197" s="158" t="s">
        <v>2</v>
      </c>
      <c r="C197" s="542" t="s">
        <v>3</v>
      </c>
      <c r="D197" s="644"/>
      <c r="E197" s="158" t="s">
        <v>15</v>
      </c>
      <c r="F197" s="158" t="s">
        <v>16</v>
      </c>
      <c r="G197" s="158" t="s">
        <v>19</v>
      </c>
      <c r="H197" s="158" t="s">
        <v>20</v>
      </c>
      <c r="I197" s="314" t="s">
        <v>20</v>
      </c>
      <c r="J197" s="314" t="s">
        <v>21</v>
      </c>
      <c r="K197" s="315" t="s">
        <v>21</v>
      </c>
    </row>
    <row r="198" spans="1:12" ht="15.6" x14ac:dyDescent="0.3">
      <c r="A198" s="540" t="s">
        <v>60</v>
      </c>
      <c r="B198" s="308" t="s">
        <v>86</v>
      </c>
      <c r="C198" s="52" t="s">
        <v>388</v>
      </c>
      <c r="D198" s="52"/>
      <c r="E198" s="162"/>
      <c r="F198" s="338" t="str">
        <f>IF(E198="","",IF(E198&lt;=0,0,IF(E198&gt;=0.95,1,ROUND('Reference Standards'!C$14*E198+'Reference Standards'!C$15,2))))</f>
        <v/>
      </c>
      <c r="G198" s="83" t="str">
        <f>IFERROR(AVERAGE(F198),"")</f>
        <v/>
      </c>
      <c r="H198" s="522" t="str">
        <f>IFERROR(ROUND(AVERAGE(G198:G199),2),"")</f>
        <v/>
      </c>
      <c r="I198" s="519" t="str">
        <f>IF(H198="","",IF(H198&gt;0.69,"Functioning",IF(H198&gt;0.29,"Functioning At Risk",IF(H198&gt;-1,"Not Functioning"))))</f>
        <v/>
      </c>
      <c r="J198" s="555" t="str">
        <f>IF(AND(H198="",H200="",H202="",H224="",H228=""),"",ROUND((IF(H198="",0,H198)*0.2)+(IF(H200="",0,H200)*0.2)+(IF(H202="",0,H202)*0.2)+(IF(H224="",0,H224)*0.2)+(IF(H228="",0,H228)*0.2),2))</f>
        <v/>
      </c>
      <c r="K198" s="555" t="str">
        <f>IF(J198="","",IF(J198&lt;0.3, "Not Functioning",IF(OR(H198&lt;0.7,H200&lt;0.7,H202&lt;0.7,H224&lt;0.7,H228&lt;0.7),"Functioning At Risk",IF(J198&lt;0.7,"Functioning At Risk","Functioning"))))</f>
        <v/>
      </c>
    </row>
    <row r="199" spans="1:12" ht="15.6" x14ac:dyDescent="0.3">
      <c r="A199" s="541"/>
      <c r="B199" s="371" t="s">
        <v>128</v>
      </c>
      <c r="C199" s="373" t="s">
        <v>161</v>
      </c>
      <c r="D199" s="374"/>
      <c r="E199" s="43"/>
      <c r="F199" s="372" t="str">
        <f>IF(E199="","",IF(E199&gt;=1,1,IF(E199&lt;=0,0,ROUND(E199,2))))</f>
        <v/>
      </c>
      <c r="G199" s="367" t="str">
        <f>IFERROR(AVERAGE(F199:F199),"")</f>
        <v/>
      </c>
      <c r="H199" s="523"/>
      <c r="I199" s="519"/>
      <c r="J199" s="555"/>
      <c r="K199" s="555"/>
    </row>
    <row r="200" spans="1:12" ht="15.6" x14ac:dyDescent="0.3">
      <c r="A200" s="524" t="s">
        <v>6</v>
      </c>
      <c r="B200" s="572" t="s">
        <v>7</v>
      </c>
      <c r="C200" s="54" t="s">
        <v>8</v>
      </c>
      <c r="D200" s="54"/>
      <c r="E200" s="162"/>
      <c r="F200" s="339" t="str">
        <f>IF(E200="","",ROUND(IF(E200&gt;1.6,0,IF(E200&lt;=1,1,E200^2*'Reference Standards'!K$14+E200*'Reference Standards'!K$15+'Reference Standards'!K$16)),2))</f>
        <v/>
      </c>
      <c r="G200" s="579" t="str">
        <f>IFERROR(AVERAGE(F200:F201),"")</f>
        <v/>
      </c>
      <c r="H200" s="579" t="str">
        <f>IFERROR(ROUND(AVERAGE(G200),2),"")</f>
        <v/>
      </c>
      <c r="I200" s="569" t="str">
        <f>IF(H200="","",IF(H200&gt;0.69,"Functioning",IF(H200&gt;0.29,"Functioning At Risk",IF(H200&gt;-1,"Not Functioning"))))</f>
        <v/>
      </c>
      <c r="J200" s="555"/>
      <c r="K200" s="555"/>
    </row>
    <row r="201" spans="1:12" ht="15.6" x14ac:dyDescent="0.3">
      <c r="A201" s="525"/>
      <c r="B201" s="572"/>
      <c r="C201" s="54" t="s">
        <v>9</v>
      </c>
      <c r="D201" s="54"/>
      <c r="E201" s="163"/>
      <c r="F201" s="339" t="str">
        <f>IF(E201="","",(IF(OR('Quantification Tool R1'!B$11="A",'Quantification Tool R1'!B$11="B",'Quantification Tool R1'!$B$11="Bc"),IF(E201&lt;1.2,0,IF(E201&gt;=2.2,1,ROUND(IF(E201&lt;1.4,E201*'Reference Standards'!$K$84+'Reference Standards'!$K$85,E201*'Reference Standards'!$L$84+'Reference Standards'!$L$85),2))),IF(OR('Quantification Tool R1'!B$11="C",'Quantification Tool R1'!B$11="E"),IF(E201&lt;2,0,IF(E201&gt;=5,1,ROUND(IF(E201&lt;2.4,E201*'Reference Standards'!$L$49+'Reference Standards'!$L$50,E201*'Reference Standards'!$K$49+'Reference Standards'!$K$50),2)))))))</f>
        <v/>
      </c>
      <c r="G201" s="581"/>
      <c r="H201" s="580"/>
      <c r="I201" s="570"/>
      <c r="J201" s="555"/>
      <c r="K201" s="555"/>
    </row>
    <row r="202" spans="1:12" ht="15.6" x14ac:dyDescent="0.3">
      <c r="A202" s="526" t="s">
        <v>26</v>
      </c>
      <c r="B202" s="557" t="s">
        <v>27</v>
      </c>
      <c r="C202" s="60" t="s">
        <v>333</v>
      </c>
      <c r="D202" s="244"/>
      <c r="E202" s="61"/>
      <c r="F202" s="340" t="str">
        <f>IF(E202="","",IF(OR(LEFT('Quantification Tool R1'!$B$12,2)="65",LEFT('Quantification Tool R1'!$B$12,2)="66",LEFT('Quantification Tool R1'!$B$12,2)="71"),IF(E202&gt;=850,1,IF(E202&lt;250,ROUND('Reference Standards'!$S$17*(E202)+'Reference Standards'!$S$18,2),ROUND('Reference Standards'!$T$17*E202+'Reference Standards'!$T$18,2))),  IF(E202&gt;=345,1,IF(E202&lt;=180,ROUND('Reference Standards'!$U$17*(E202)+'Reference Standards'!$U$18,2),ROUND('Reference Standards'!$V$17*E202+'Reference Standards'!$V$18,2))))    )</f>
        <v/>
      </c>
      <c r="G202" s="528" t="str">
        <f>IFERROR(AVERAGE(F202:F203),"")</f>
        <v/>
      </c>
      <c r="H202" s="566" t="str">
        <f>IFERROR(ROUND(AVERAGE(G202:G223),2),"")</f>
        <v/>
      </c>
      <c r="I202" s="555" t="str">
        <f>IF(H202="","",IF(H202&gt;0.69,"Functioning",IF(H202&gt;0.29,"Functioning At Risk",IF(H202&gt;-1,"Not Functioning"))))</f>
        <v/>
      </c>
      <c r="J202" s="555"/>
      <c r="K202" s="555"/>
    </row>
    <row r="203" spans="1:12" ht="15.6" x14ac:dyDescent="0.3">
      <c r="A203" s="520"/>
      <c r="B203" s="558"/>
      <c r="C203" s="63" t="s">
        <v>323</v>
      </c>
      <c r="D203" s="245"/>
      <c r="E203" s="53"/>
      <c r="F203" s="341" t="str">
        <f>IF(E203="","",IF(OR(LEFT('Quantification Tool R1'!$B$12,2)="65",LEFT('Quantification Tool R1'!$B$12,2)="66",LEFT('Quantification Tool R1'!$B$12,2)="71"),IF(E203&gt;=30,1,IF(E203&lt;13,ROUND('Reference Standards'!$S$53*(E203)+'Reference Standards'!$S$54,2),ROUND('Reference Standards'!$T$53*E203+'Reference Standards'!$T$54,2))),  IF(E203&gt;=16,1,IF(E203&lt;=9,ROUND('Reference Standards'!$U$53*(E203)+'Reference Standards'!$U$54,2),ROUND('Reference Standards'!$V$53*E203+'Reference Standards'!$V$54,2))))    )</f>
        <v/>
      </c>
      <c r="G203" s="530"/>
      <c r="H203" s="566"/>
      <c r="I203" s="555"/>
      <c r="J203" s="555"/>
      <c r="K203" s="555"/>
    </row>
    <row r="204" spans="1:12" ht="15.6" x14ac:dyDescent="0.3">
      <c r="A204" s="520"/>
      <c r="B204" s="520" t="s">
        <v>395</v>
      </c>
      <c r="C204" s="58" t="s">
        <v>80</v>
      </c>
      <c r="D204" s="58"/>
      <c r="E204" s="165"/>
      <c r="F204" s="340" t="str">
        <f>IF(E204="","",ROUND(IF(E204&gt;0.7,0,IF(E204&lt;=0.1,1,E204^3*'Reference Standards'!S$87+E204^2*'Reference Standards'!S$88+E204*'Reference Standards'!S$89+'Reference Standards'!S$90)),2))</f>
        <v/>
      </c>
      <c r="G204" s="528" t="str">
        <f>IFERROR(ROUND(AVERAGE(F204:F207),2),"")</f>
        <v/>
      </c>
      <c r="H204" s="567"/>
      <c r="I204" s="555"/>
      <c r="J204" s="555"/>
      <c r="K204" s="555"/>
    </row>
    <row r="205" spans="1:12" ht="15.6" x14ac:dyDescent="0.3">
      <c r="A205" s="520"/>
      <c r="B205" s="520"/>
      <c r="C205" s="58" t="s">
        <v>49</v>
      </c>
      <c r="D205" s="58"/>
      <c r="E205" s="165"/>
      <c r="F205" s="84"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529"/>
      <c r="H205" s="567"/>
      <c r="I205" s="555"/>
      <c r="J205" s="555"/>
      <c r="K205" s="555"/>
    </row>
    <row r="206" spans="1:12" ht="15.6" x14ac:dyDescent="0.3">
      <c r="A206" s="520"/>
      <c r="B206" s="520"/>
      <c r="C206" s="58" t="s">
        <v>87</v>
      </c>
      <c r="D206" s="58"/>
      <c r="E206" s="165"/>
      <c r="F206" s="84" t="str">
        <f>IF(E206="","",ROUND(IF(E206&gt;40,0,IF(E206&lt;5,1,E206^3*'Reference Standards'!S$122+E206^2*'Reference Standards'!S$123+E206*'Reference Standards'!S$124+'Reference Standards'!S$125)),2))</f>
        <v/>
      </c>
      <c r="G206" s="529"/>
      <c r="H206" s="567"/>
      <c r="I206" s="555"/>
      <c r="J206" s="555"/>
      <c r="K206" s="555"/>
    </row>
    <row r="207" spans="1:12" ht="15.6" x14ac:dyDescent="0.3">
      <c r="A207" s="520"/>
      <c r="B207" s="521"/>
      <c r="C207" s="59" t="s">
        <v>394</v>
      </c>
      <c r="D207" s="59"/>
      <c r="E207" s="167"/>
      <c r="F207" s="341" t="str">
        <f>IF(E207="","",ROUND(IF(E207&gt;=30,0,IF(E207&lt;=0,1,E207*'Reference Standards'!S$156+'Reference Standards'!S$157)),2))</f>
        <v/>
      </c>
      <c r="G207" s="530"/>
      <c r="H207" s="567"/>
      <c r="I207" s="555"/>
      <c r="J207" s="555"/>
      <c r="K207" s="555"/>
    </row>
    <row r="208" spans="1:12" ht="15.6" x14ac:dyDescent="0.3">
      <c r="A208" s="520"/>
      <c r="B208" s="520" t="s">
        <v>50</v>
      </c>
      <c r="C208" s="60" t="s">
        <v>377</v>
      </c>
      <c r="D208" s="64"/>
      <c r="E208" s="136"/>
      <c r="F208" s="294" t="str">
        <f>IF(E208="","",ROUND(IF(E208&gt;9.2,1,E208*'Reference Standards'!$S$189+'Reference Standards'!$S$190),2))</f>
        <v/>
      </c>
      <c r="G208" s="552" t="str">
        <f>IFERROR(ROUND(AVERAGE(F208:F217),2),"")</f>
        <v/>
      </c>
      <c r="H208" s="567"/>
      <c r="I208" s="555"/>
      <c r="J208" s="555"/>
      <c r="K208" s="555"/>
    </row>
    <row r="209" spans="1:13" ht="15.6" x14ac:dyDescent="0.3">
      <c r="A209" s="520"/>
      <c r="B209" s="520"/>
      <c r="C209" s="62" t="s">
        <v>378</v>
      </c>
      <c r="D209" s="58"/>
      <c r="E209" s="162"/>
      <c r="F209" s="294" t="str">
        <f>IF(E209="","",ROUND(IF(E209&gt;9.2,1,E209*'Reference Standards'!$S$189+'Reference Standards'!$S$190),2))</f>
        <v/>
      </c>
      <c r="G209" s="553"/>
      <c r="H209" s="567"/>
      <c r="I209" s="555"/>
      <c r="J209" s="555"/>
      <c r="K209" s="555"/>
    </row>
    <row r="210" spans="1:13" ht="15.6" x14ac:dyDescent="0.3">
      <c r="A210" s="520"/>
      <c r="B210" s="520"/>
      <c r="C210" s="62" t="s">
        <v>379</v>
      </c>
      <c r="D210" s="58"/>
      <c r="E210" s="162"/>
      <c r="F210" s="294" t="str">
        <f>IF(E210="","",ROUND( IF(E210&gt;=200,1,IF(E210&lt;50, E210^2*'Reference Standards'!S$224+E210*'Reference Standards'!S$225+'Reference Standards'!S$226, E210*'Reference Standards'!T$224+'Reference Standards'!T$225)),2))</f>
        <v/>
      </c>
      <c r="G210" s="553"/>
      <c r="H210" s="567"/>
      <c r="I210" s="555"/>
      <c r="J210" s="555"/>
      <c r="K210" s="555"/>
    </row>
    <row r="211" spans="1:13" ht="15.6" x14ac:dyDescent="0.3">
      <c r="A211" s="520"/>
      <c r="B211" s="520"/>
      <c r="C211" s="62" t="s">
        <v>380</v>
      </c>
      <c r="D211" s="58"/>
      <c r="E211" s="162"/>
      <c r="F211" s="294" t="str">
        <f>IF(E211="","",ROUND( IF(E211&gt;=200,1,IF(E211&lt;50, E211^2*'Reference Standards'!S$224+E211*'Reference Standards'!S$225+'Reference Standards'!S$226, E211*'Reference Standards'!T$224+'Reference Standards'!T$225)),2))</f>
        <v/>
      </c>
      <c r="G211" s="553"/>
      <c r="H211" s="567"/>
      <c r="I211" s="555"/>
      <c r="J211" s="555"/>
      <c r="K211" s="555"/>
    </row>
    <row r="212" spans="1:13" ht="15.6" x14ac:dyDescent="0.3">
      <c r="A212" s="520"/>
      <c r="B212" s="520"/>
      <c r="C212" s="58" t="s">
        <v>381</v>
      </c>
      <c r="D212" s="58"/>
      <c r="E212" s="162"/>
      <c r="F212" s="294" t="str">
        <f>IF(E212="","",ROUND(IF(AND(E212&gt;=135,E212&lt;=262),1,IF(  E212&gt;=366,0.5, IF(E212&lt;135,E212*'Reference Standards'!S$259+'Reference Standards'!S$260, E212*'Reference Standards'!T$259+'Reference Standards'!T$260))),2))</f>
        <v/>
      </c>
      <c r="G212" s="553"/>
      <c r="H212" s="567"/>
      <c r="I212" s="555"/>
      <c r="J212" s="555"/>
      <c r="K212" s="555"/>
    </row>
    <row r="213" spans="1:13" ht="15.6" x14ac:dyDescent="0.3">
      <c r="A213" s="520"/>
      <c r="B213" s="520"/>
      <c r="C213" s="58" t="s">
        <v>382</v>
      </c>
      <c r="D213" s="58"/>
      <c r="E213" s="162"/>
      <c r="F213" s="294" t="str">
        <f>IF(E213="","",ROUND(IF(AND(E213&gt;=135,E213&lt;=262),1,IF(  E213&gt;=366,0.5, IF(E213&lt;135,E213*'Reference Standards'!S$259+'Reference Standards'!S$260, E213*'Reference Standards'!T$259+'Reference Standards'!T$260))),2))</f>
        <v/>
      </c>
      <c r="G213" s="553"/>
      <c r="H213" s="567"/>
      <c r="I213" s="555"/>
      <c r="J213" s="555"/>
      <c r="K213" s="555"/>
    </row>
    <row r="214" spans="1:13" ht="15.6" x14ac:dyDescent="0.3">
      <c r="A214" s="520"/>
      <c r="B214" s="520"/>
      <c r="C214" s="58" t="s">
        <v>383</v>
      </c>
      <c r="D214" s="58"/>
      <c r="E214" s="162"/>
      <c r="F214" s="84" t="str">
        <f>IF(E214="","",ROUND(IF(E214&gt;=75,1,IF(E214&lt;=0,0,E214*'Reference Standards'!S$330)),2))</f>
        <v/>
      </c>
      <c r="G214" s="553"/>
      <c r="H214" s="567"/>
      <c r="I214" s="555"/>
      <c r="J214" s="555"/>
      <c r="K214" s="555"/>
    </row>
    <row r="215" spans="1:13" ht="15.6" x14ac:dyDescent="0.3">
      <c r="A215" s="520"/>
      <c r="B215" s="520"/>
      <c r="C215" s="58" t="s">
        <v>384</v>
      </c>
      <c r="D215" s="58"/>
      <c r="E215" s="162"/>
      <c r="F215" s="84" t="str">
        <f>IF(E215="","",ROUND(IF(E215&gt;=75,1,IF(E215&lt;=0,0,E215*'Reference Standards'!S$330)),2))</f>
        <v/>
      </c>
      <c r="G215" s="553"/>
      <c r="H215" s="567"/>
      <c r="I215" s="555"/>
      <c r="J215" s="555"/>
      <c r="K215" s="555"/>
    </row>
    <row r="216" spans="1:13" ht="15.6" x14ac:dyDescent="0.3">
      <c r="A216" s="520"/>
      <c r="B216" s="520"/>
      <c r="C216" s="58" t="s">
        <v>385</v>
      </c>
      <c r="D216" s="58"/>
      <c r="E216" s="162"/>
      <c r="F216" s="294" t="str">
        <f>IF(E216="","",ROUND(IF(AND(E216&gt;=36.3,E216&lt;=68),1,IF(E216&gt;100,0,IF(E216&lt;36.3,(('Reference Standards'!S$297*(E216^2))+('Reference Standards'!S$298*E216)+'Reference Standards'!S$299),IF(E216&gt;68,(('Reference Standards'!T$297*(E216^2))+('Reference Standards'!T$298*E216)+'Reference Standards'!T$299))))),2))</f>
        <v/>
      </c>
      <c r="G216" s="553"/>
      <c r="H216" s="567"/>
      <c r="I216" s="555"/>
      <c r="J216" s="555"/>
      <c r="K216" s="555"/>
      <c r="M216" s="21"/>
    </row>
    <row r="217" spans="1:13" ht="15.6" x14ac:dyDescent="0.3">
      <c r="A217" s="520"/>
      <c r="B217" s="521"/>
      <c r="C217" s="58" t="s">
        <v>386</v>
      </c>
      <c r="D217" s="65"/>
      <c r="E217" s="162"/>
      <c r="F217" s="294" t="str">
        <f>IF(E217="","",ROUND(IF(AND(E217&gt;=36.3,E217&lt;=68),1,IF(E217&gt;100,0,IF(E217&lt;36.3,(('Reference Standards'!S$297*(E217^2))+('Reference Standards'!S$298*E217)+'Reference Standards'!S$299),IF(E217&gt;68,(('Reference Standards'!T$297*(E217^2))+('Reference Standards'!T$298*E217)+'Reference Standards'!T$299))))),2))</f>
        <v/>
      </c>
      <c r="G217" s="554"/>
      <c r="H217" s="567"/>
      <c r="I217" s="555"/>
      <c r="J217" s="555"/>
      <c r="K217" s="555"/>
    </row>
    <row r="218" spans="1:13" ht="15.6" x14ac:dyDescent="0.3">
      <c r="A218" s="520"/>
      <c r="B218" s="56" t="s">
        <v>108</v>
      </c>
      <c r="C218" s="72" t="s">
        <v>130</v>
      </c>
      <c r="D218" s="58"/>
      <c r="E218" s="43"/>
      <c r="F218" s="82" t="str">
        <f>IF(E218="","",IF(OR('Quantification Tool R1'!B$14="Gravel",'Quantification Tool R1'!B$14="Cobble"),IF(E218&gt;0.1,1,IF(E218&lt;=0.01,0,ROUND(E218*'Reference Standards'!$S$362+'Reference Standards'!$S$363,2)))))</f>
        <v/>
      </c>
      <c r="G218" s="82" t="str">
        <f>IFERROR(AVERAGE(F218),"")</f>
        <v/>
      </c>
      <c r="H218" s="567"/>
      <c r="I218" s="555"/>
      <c r="J218" s="555"/>
      <c r="K218" s="555"/>
    </row>
    <row r="219" spans="1:13" ht="15.6" x14ac:dyDescent="0.3">
      <c r="A219" s="520"/>
      <c r="B219" s="526" t="s">
        <v>51</v>
      </c>
      <c r="C219" s="64" t="s">
        <v>52</v>
      </c>
      <c r="D219" s="64"/>
      <c r="E219" s="166"/>
      <c r="F219" s="337" t="str">
        <f>IF(E219="","", IF(ISNUMBER('Quantification Tool R1'!$B$17), IF('Quantification Tool R1'!$B$17&lt;=2,   IF(AND(E219&gt;=3,E219&lt;=5),1, IF(OR(E219&lt;=1,E219&gt;=7), 0, ROUND( IF(E219&lt;3, E219*'Reference Standards'!S$398+'Reference Standards'!S$399,E219*'Reference Standards'!T$398+'Reference Standards'!T$399),2) ) ),   IF(E219&lt;=2.5,1, IF(E219&gt;=5.8,0, ROUND(E219*'Reference Standards'!S$430+'Reference Standards'!S$431,2))))   ))</f>
        <v/>
      </c>
      <c r="G219" s="528" t="str">
        <f>IFERROR(AVERAGE(F219:F222),"")</f>
        <v/>
      </c>
      <c r="H219" s="567"/>
      <c r="I219" s="555"/>
      <c r="J219" s="555"/>
      <c r="K219" s="555"/>
    </row>
    <row r="220" spans="1:13" ht="15.6" x14ac:dyDescent="0.3">
      <c r="A220" s="520"/>
      <c r="B220" s="520"/>
      <c r="C220" s="58" t="s">
        <v>53</v>
      </c>
      <c r="D220" s="58"/>
      <c r="E220" s="165"/>
      <c r="F220" s="84" t="str">
        <f>IF(E220="","", IF( E220&gt;=2.4,1, IF(E220&lt;=1,0,  ROUND(IF(E220&lt;2.4, E220*'Reference Standards'!$S$464+'Reference Standards'!$S$465  ),2))))</f>
        <v/>
      </c>
      <c r="G220" s="529"/>
      <c r="H220" s="567"/>
      <c r="I220" s="555"/>
      <c r="J220" s="555"/>
      <c r="K220" s="555"/>
    </row>
    <row r="221" spans="1:13" ht="15.6" x14ac:dyDescent="0.3">
      <c r="A221" s="520"/>
      <c r="B221" s="520"/>
      <c r="C221" s="58" t="s">
        <v>334</v>
      </c>
      <c r="D221" s="58"/>
      <c r="E221" s="165"/>
      <c r="F221" s="390" t="str">
        <f>IF(E221="","", IF(LEFT('Quantification Tool R1'!$B$12,2)="67",  IF( AND(E221&gt;=45,E221&lt;=65),1, IF(OR(E221&lt;=20,E221&gt;=90),0, ROUND(  IF(E221&lt;45, E221*'Reference Standards'!$S$498+'Reference Standards'!$S$499,E221*'Reference Standards'!$T$498+'Reference Standards'!$T$499),2))), IF(OR(  LEFT('Quantification Tool R1'!$B$12,2)="68", LEFT('Quantification Tool R1'!$B$12,2)="69",LEFT('Quantification Tool R1'!$B$12,2)="71"),  IF( AND(E221&gt;=30,E221&lt;=50),1, IF(OR(E221&lt;=10,E221&gt;=70),0, ROUND(  IF(E221&lt;30, E221*'Reference Standards'!$S$533+'Reference Standards'!$S$534,E221*'Reference Standards'!$T$533+'Reference Standards'!$T$534),2))), IF(LEFT('Quantification Tool R1'!$B$12,2)="66",  IF( AND(E221&gt;=20,E221&lt;=45),1, IF(OR(E221&lt;=0,E221&gt;=90),0, ROUND(  IF(E221&lt;20, E221*'Reference Standards'!$S$567+'Reference Standards'!$S$568,E221*'Reference Standards'!$T$567+'Reference Standards'!$T$568),2))), IF(OR(  LEFT('Quantification Tool R1'!$B$12,2)="65", LEFT('Quantification Tool R1'!$B$12,2)="74", LEFT('Quantification Tool R1'!$B$12,2)="73"),  IF( AND(E221&gt;=20,E221&lt;=30),1, IF(OR(E221&lt;=0,E221&gt;=50),0, ROUND(  IF(E221&lt;20, E221*'Reference Standards'!$S$601+'Reference Standards'!$S$602,E221*'Reference Standards'!$T$601+'Reference Standards'!$T$602),2))))))))</f>
        <v/>
      </c>
      <c r="G221" s="529"/>
      <c r="H221" s="567"/>
      <c r="I221" s="555"/>
      <c r="J221" s="555"/>
      <c r="K221" s="555"/>
    </row>
    <row r="222" spans="1:13" ht="15.6" x14ac:dyDescent="0.3">
      <c r="A222" s="520"/>
      <c r="B222" s="521"/>
      <c r="C222" s="62" t="s">
        <v>210</v>
      </c>
      <c r="D222" s="58"/>
      <c r="E222" s="167"/>
      <c r="F222" s="391" t="str">
        <f>IF(E222="","",IF(E222&gt;=1.6,0,IF(E222&lt;=1,1,ROUND('Reference Standards'!$S$633*E222^3+'Reference Standards'!$S$634*E222^2+'Reference Standards'!$S$635*E222+'Reference Standards'!$S$636,2))))</f>
        <v/>
      </c>
      <c r="G222" s="530"/>
      <c r="H222" s="567"/>
      <c r="I222" s="555"/>
      <c r="J222" s="555"/>
      <c r="K222" s="555"/>
    </row>
    <row r="223" spans="1:13" ht="15.6" x14ac:dyDescent="0.3">
      <c r="A223" s="521"/>
      <c r="B223" s="309" t="s">
        <v>55</v>
      </c>
      <c r="C223" s="242" t="s">
        <v>54</v>
      </c>
      <c r="D223" s="243"/>
      <c r="E223" s="163"/>
      <c r="F223" s="342" t="str">
        <f>IF(E223="","",IF(AND('Quantification Tool R1'!B$11="E",'Quantification Tool R1'!$B$14="Sand",'Quantification Tool R1'!$B$21="Unconfined Alluvial"),ROUND(IF(OR(E223&gt;1.8,E223&lt;1.3),0,IF(E223&lt;=1.6,1,E223*'Reference Standards'!S$667+'Reference Standards'!S$668)),2),    IF('Quantification Tool R1'!$B$21="Unconfined Alluvial",ROUND(IF(OR(E223&lt;1.2, E223&gt;1.5),0,IF(E223&lt;=1.4,1,E223*'Reference Standards'!$S$700+'Reference Standards'!$S$701)),2), IF('Quantification Tool R1'!$B$21="Confined Alluvial",ROUND(IF(E223&lt;1.15,0,IF(E223&lt;=1.4,E223*'Reference Standards'!$S$729+'Reference Standards'!$S$730,1)),2),  IF('Quantification Tool R1'!$B$21="Colluvial",ROUND(IF(E223&gt;1.3,0,IF(E223&gt;1.2,E223*'Reference Standards'!$S$760+'Reference Standards'!$S$761,1)),2) )))))</f>
        <v/>
      </c>
      <c r="G223" s="84" t="str">
        <f>IFERROR(AVERAGE(F223),"")</f>
        <v/>
      </c>
      <c r="H223" s="567"/>
      <c r="I223" s="555"/>
      <c r="J223" s="555"/>
      <c r="K223" s="555"/>
      <c r="L223" s="13"/>
    </row>
    <row r="224" spans="1:13" ht="15.6" x14ac:dyDescent="0.3">
      <c r="A224" s="537" t="s">
        <v>58</v>
      </c>
      <c r="B224" s="67" t="s">
        <v>88</v>
      </c>
      <c r="C224" s="70" t="s">
        <v>338</v>
      </c>
      <c r="D224" s="70"/>
      <c r="E224" s="43"/>
      <c r="F224" s="343" t="str">
        <f>IF(E224="","",ROUND(IF(E224&gt;=942,0,IF(E224&lt;=487,E224*'Reference Standards'!AB$15+'Reference Standards'!AB$16,E224*'Reference Standards'!$AC$15+'Reference Standards'!$AC$16)),2))</f>
        <v/>
      </c>
      <c r="G224" s="85" t="str">
        <f>IFERROR(AVERAGE(F224),"")</f>
        <v/>
      </c>
      <c r="H224" s="547" t="str">
        <f>IFERROR(ROUND(AVERAGE(G224:G227),2),"")</f>
        <v/>
      </c>
      <c r="I224" s="534" t="str">
        <f>IF(H224="","",IF(H224&gt;0.69,"Functioning",IF(H224&gt;0.29,"Functioning At Risk",IF(H224&gt;-1,"Not Functioning"))))</f>
        <v/>
      </c>
      <c r="J224" s="555"/>
      <c r="K224" s="555"/>
      <c r="L224" s="13"/>
    </row>
    <row r="225" spans="1:12" ht="15.6" x14ac:dyDescent="0.3">
      <c r="A225" s="538"/>
      <c r="B225" s="306" t="s">
        <v>362</v>
      </c>
      <c r="C225" s="66" t="s">
        <v>354</v>
      </c>
      <c r="D225" s="66"/>
      <c r="E225" s="163"/>
      <c r="F225" s="344" t="str">
        <f>IF(E225="","",IF(OR('Quantification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June")),IF(E225&gt;93,0,IF(E225&lt;13,1,ROUND('Reference Standards'!$AB$53*E225^2+'Reference Standards'!$AB$54*E225+'Reference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R1'!$B$12="73b"),IF(E225&gt;94,0,IF(E225&lt;17,1,ROUND('Reference Standards'!$AC$53*E225^2+'Reference Standards'!$AC$54*E225+'Reference Standards'!$AC$55,2))),    IF(OR(AND(OR('Quantification Tool R1'!$B$12="68b",'Quantification Tool R1'!$B$12="71i"),'Quantification Tool R1'!$B$13&gt;2), 'Quantification Tool R1'!$B$12="71e"),IF(E225&gt;91,0,IF(E225&lt;24,1,ROUND('Reference Standards'!$AD$53*E225^2+'Reference Standards'!$AD$54*E225+'Reference Standards'!$AD$55,2))),  IF(OR(AND(OR('Quantification Tool R1'!$B$12="71f",'Quantification Tool R1'!$B$12="71g",'Quantification Tool R1'!$B$12="71h",'Quantification Tool R1'!$B$12="71i"),'Quantification Tool R1'!$B$13&lt;=2), AND('Quantification Tool R1'!$B$12="74a",'Quantification Tool R1'!$B$13&gt;2)),IF(E225&gt;95,0,IF(E225&lt;=36,1,ROUND('Reference Standards'!$AE$53*E225^2+'Reference Standards'!$AE$54*E225+'Reference Standards'!$AE$55,2))))))))</f>
        <v/>
      </c>
      <c r="G225" s="236" t="str">
        <f>IFERROR(AVERAGE(F225:F225),"")</f>
        <v/>
      </c>
      <c r="H225" s="548"/>
      <c r="I225" s="535"/>
      <c r="J225" s="555"/>
      <c r="K225" s="555"/>
      <c r="L225" s="21"/>
    </row>
    <row r="226" spans="1:12" ht="15.6" x14ac:dyDescent="0.3">
      <c r="A226" s="538"/>
      <c r="B226" s="67" t="s">
        <v>81</v>
      </c>
      <c r="C226" s="68" t="s">
        <v>281</v>
      </c>
      <c r="D226" s="68"/>
      <c r="E226" s="162"/>
      <c r="F226" s="344" t="str">
        <f>IF(E226="","",IF(ISNUMBER('Quantification Tool R1'!$B$13), IF(OR('Quantification Tool R1'!$B$12="66e",'Quantification Tool R1'!$B$12="66f",'Quantification Tool R1'!$B$12="66g"), ROUND(IF(E226&gt;=0.61,0,IF(E226&lt;=0.01,1,IF(E226&lt;=0.06,E226*'Reference Standards'!$AD$197+'Reference Standards'!$AD$198,E226^2*'Reference Standards'!$AB$196+E226*'Reference Standards'!$AB$197+'Reference Standards'!$AB$198))),2),  IF('Quantification Tool R1'!$B$12="68b", ROUND(IF(E226&gt;=1.1,0,IF(E226&lt;=0.17,1,IF(E226&lt;=0.22,E226*'Reference Standards'!$AE$197+'Reference Standards'!$AE$198,E226^2*'Reference Standards'!$AC$196+E226*'Reference Standards'!$AC$197+'Reference Standards'!$AC$198))),2),IF('Quantification Tool R1'!$B$13&lt;=2.5,   IF('Quantification Tool R1'!$B$12="69de",ROUND(IF(E226&gt;=0.22,0,IF(E226&lt;=0.01,1,E226^2*'Reference Standards'!$AB$90+E226*'Reference Standards'!$AB$91+'Reference Standards'!$AB$92)),2),   IF('Quantification Tool R1'!$B$12="68c",ROUND(IF(E226&gt;=0.87,0,IF(E226&lt;=0.01,1,E226^2*'Reference Standards'!$AC$90+E226*'Reference Standards'!$AC$91+'Reference Standards'!$AC$92)),2),   IF('Quantification Tool R1'!$B$12="68a",ROUND(IF(E226&gt;=0.81,0,IF(E226&lt;=0.01,1,E226^2*'Reference Standards'!$AD$90+E226*'Reference Standards'!$AD$91+'Reference Standards'!$AD$92)),2),   IF('Quantification Tool R1'!$B$12="65abei",ROUND(IF(E226&gt;=0.67,0,IF(E226&lt;=0.01,1,IF(E226&lt;=0.18,E226*'Reference Standards'!$AG$91+'Reference Standards'!$AG$92,E226*'Reference Standards'!$AE$91+'Reference Standards'!$AE$92))),2),   IF('Quantification Tool R1'!$B$12="65j",ROUND(IF(E226&gt;=0.32,0,IF(E226&lt;=0.01,1,IF(E226&lt;=0.25,E226*'Reference Standards'!$AH$91+'Reference Standards'!$AH$92,E226*'Reference Standards'!$AF$91+'Reference Standards'!$AF$92))),2),   IF('Quantification Tool R1'!$B$12="71f",ROUND(IF(E226&gt;=3,0,IF(E226&lt;=0,1,IF(E226&lt;=0.01,0.7,E226^2*'Reference Standards'!$AB$126+E226*'Reference Standards'!$AB$127+'Reference Standards'!$AB$128))),2),   IF('Quantification Tool R1'!$B$12="74a",ROUND(IF(E226&gt;=0.14,0,IF(E226&lt;=0.01,1,IF(E226&lt;=0.02,0.7,E226^2*'Reference Standards'!$AC$126+E226*'Reference Standards'!$AC$127+'Reference Standards'!$AC$128))),2),   IF(OR('Quantification Tool R1'!$B$12="67fhi",'Quantification Tool R1'!$B$12="67g"),ROUND(IF(E226&gt;=1.9,0,IF(E226&lt;=0.01,1,IF(E226&lt;=0.05,E226*'Reference Standards'!$AF$127+'Reference Standards'!$AF$128,E226^2*'Reference Standards'!$AD$126+E226*'Reference Standards'!$AD$127+'Reference Standards'!$AD$128))),2),   IF('Quantification Tool R1'!$B$12="73a",ROUND(IF(E226&gt;=1.44,0,IF(E226&lt;=0.01,1,IF(E226&lt;=0.12,E226*'Reference Standards'!$AG$127+'Reference Standards'!$AG$128,E226^2*'Reference Standards'!$AE$126+E226*'Reference Standards'!$AE$127+'Reference Standards'!$AE$128))),2),   IF('Quantification Tool R1'!$B$12="66d",ROUND(IF(E226&gt;=0.46,0,IF(E226&lt;=0.02,1,IF(E226&lt;=0.08,E226*'Reference Standards'!$AF$163+'Reference Standards'!$AF$164,E226^2*'Reference Standards'!$AB$162+E226*'Reference Standards'!$AB$163+'Reference Standards'!$AB$164))),2),   IF(OR('Quantification Tool R1'!$B$12="71g",'Quantification Tool R1'!$B$12="71h",'Quantification Tool R1'!$B$12="71i"),ROUND(IF(E226&gt;=3,0,IF(E226&lt;=0.06,1,IF(E226&lt;=0.24,E226*'Reference Standards'!$AG$163+'Reference Standards'!$AG$164, E226^2*'Reference Standards'!$AC$162+E226*'Reference Standards'!$AC$163+'Reference Standards'!$AC$164))),2),   IF('Quantification Tool R1'!$B$12="74b",ROUND(IF(E226&gt;=1.3,0,IF(E226&lt;=0.29,1,IF(E226&lt;=0.48,E226*'Reference Standards'!$AH$163+'Reference Standards'!$AH$164,E226^2*'Reference Standards'!$AD$162+E226*'Reference Standards'!$AD$163+'Reference Standards'!$AD$164))),2),   IF('Quantification Tool R1'!$B$12="71e",ROUND(IF(E226&gt;=4.3,0,IF(E226&lt;=0.53,1,IF(E226&lt;=0.67,E226*'Reference Standards'!$AI$163+'Reference Standards'!$AI$164,E226^2*'Reference Standards'!$AE$162+E226*'Reference Standards'!$AE$163+'Reference Standards'!$AE$164))),2)       ))))))))))))),IF('Quantification Tool R1'!$B$13&gt;2.5,    IF('Quantification Tool R1'!$B$12="73a",ROUND(IF(E226&gt;=0.55,0,IF(E226&lt;=0,1,E226^2*'Reference Standards'!$AB$232+E226*'Reference Standards'!$AB$233+'Reference Standards'!$AB$234)),2),   IF('Quantification Tool R1'!$B$12="68a",ROUND(IF(E226&gt;=0.54,0,IF(E226&lt;=0,1, IF(E226&lt;=0.01,0.85, E226^2*'Reference Standards'!$AC$232+E226*'Reference Standards'!$AC$233+'Reference Standards'!$AC$234))),2),   IF('Quantification Tool R1'!$B$12="74a",ROUND(IF(E226&gt;=0.47,0,IF(E226&lt;=0.01,1, IF(E226&lt;=0.02,0.7, E226^2*'Reference Standards'!$AD$232+E226*'Reference Standards'!$AD$233+'Reference Standards'!$AD$234))),2),    IF('Quantification Tool R1'!$B$12="69de",ROUND(IF(E226&gt;=0.26,0,IF(E226&lt;=0.01,1, IF(E226&lt;=0.02,0.85, E226^2*'Reference Standards'!$AE$232+E226*'Reference Standards'!$AE$233+'Reference Standards'!$AE$234))),2),   IF('Quantification Tool R1'!$B$12="71f",ROUND(IF(E226&gt;=0.87,0,IF(E226&lt;=0.01,1,IF(E226&lt;=0.04,E226*'Reference Standards'!$AF$269+'Reference Standards'!$AF$270,E226^2*'Reference Standards'!$AB$268+E226*'Reference Standards'!$AB$269+'Reference Standards'!$AB$270))),2),  IF('Quantification Tool R1'!$B$12="65abei",ROUND(IF(E226&gt;=0.82,0,IF(E226&lt;=0.01,1,IF(E226&lt;=0.06,E226*'Reference Standards'!$AG$269+'Reference Standards'!$AG$270,E226^2*'Reference Standards'!$AC$268+E226*'Reference Standards'!$AC$269+'Reference Standards'!$AC$270))),2),  IF('Quantification Tool R1'!$B$12="65j",ROUND(IF(E226&gt;=0.33,0,IF(E226&lt;=0.03,1,IF(E226&lt;=0.09,E226*'Reference Standards'!$AH$269+'Reference Standards'!$AH$270,E226^2*'Reference Standards'!$AD$268+E226*'Reference Standards'!$AD$269+'Reference Standards'!$AD$270))),2),  IF('Quantification Tool R1'!$B$12="68c",ROUND(IF(E226&gt;=0.7,0,IF(E226&lt;=0.07,1,IF(E226&lt;=0.12,E226*'Reference Standards'!$AI$269+'Reference Standards'!$AI$270,E226^2*'Reference Standards'!$AE$268+E226*'Reference Standards'!$AE$269+'Reference Standards'!$AE$270))),2),   IF(OR('Quantification Tool R1'!$B$12="67fhi",'Quantification Tool R1'!$B$12="67g"),ROUND(IF(E226&gt;=1.8,0,IF(E226&lt;=0.08,1,IF(E226&lt;=0.2,E226*'Reference Standards'!$AF$306+'Reference Standards'!$AF$307,E226^2*'Reference Standards'!$AB$305+E226*'Reference Standards'!$AB$306+'Reference Standards'!$AB$307))),2),   IF('Quantification Tool R1'!$B$12="74b",ROUND(IF(E226&gt;=0.96,0,IF(E226&lt;=0.12,1,IF(E226&lt;=0.16,E226*'Reference Standards'!$AG$306+'Reference Standards'!$AG$307,E226^2*'Reference Standards'!$AC$305+E226*'Reference Standards'!$AC$306+'Reference Standards'!$AC$307))),2),   IF('Quantification Tool R1'!$B$12="66d",ROUND(IF(E226&gt;=0.75,0,IF(E226&lt;=0.13,1,IF(E226&lt;=0.2,E226*'Reference Standards'!$AH$306+'Reference Standards'!$AH$307,E226^2*'Reference Standards'!$AD$305+E226*'Reference Standards'!$AD$306+'Reference Standards'!$AD$307))),2),    IF(OR('Quantification Tool R1'!$B$12="71g",'Quantification Tool R1'!$B$12="71h",'Quantification Tool R1'!$B$12="71i"),ROUND(IF(E226&gt;=1.68,0,IF(E226&lt;=0.08,1,IF(E226&lt;=0.23,E226*'Reference Standards'!$AI$306+'Reference Standards'!$AI$307,E226^2*'Reference Standards'!$AE$305+E226*'Reference Standards'!$AE$306+'Reference Standards'!$AE$307))),2),   IF('Quantification Tool R1'!$B$12="71e",ROUND(IF(E226&gt;=5.3,0,IF(E226&lt;=0.94,1,IF(E226&lt;=1.4,E226*'Reference Standards'!$AF$310+'Reference Standards'!$AF$311,E226^2*'Reference Standards'!$AB$309+E226*'Reference Standards'!$AB$310+'Reference Standards'!$AB$311))),2))    ))))))))))))))))))</f>
        <v/>
      </c>
      <c r="G226" s="86" t="str">
        <f>IFERROR(AVERAGE(F226),"")</f>
        <v/>
      </c>
      <c r="H226" s="548"/>
      <c r="I226" s="535"/>
      <c r="J226" s="555"/>
      <c r="K226" s="555"/>
      <c r="L226" s="21"/>
    </row>
    <row r="227" spans="1:12" ht="15.6" x14ac:dyDescent="0.3">
      <c r="A227" s="539"/>
      <c r="B227" s="307" t="s">
        <v>82</v>
      </c>
      <c r="C227" s="66" t="s">
        <v>280</v>
      </c>
      <c r="D227" s="66"/>
      <c r="E227" s="136"/>
      <c r="F227" s="343" t="str">
        <f>IF(E227="","", IF(ISNUMBER('Quantification Tool R1'!$B$13),IF('Quantification Tool R1'!$B$13&gt;2.5,IF(OR('Quantification Tool R1'!$B$12="71h",'Quantification Tool R1'!$B$12="71i",'Quantification Tool R1'!$B$12="73a",'Quantification Tool R1'!$B$12="74a"),IF(E227&lt;=0.01,1,IF(OR('Quantification Tool R1'!$B$12="71h",'Quantification Tool R1'!$B$12="71i"),IF(E227&gt;0.37,0,ROUND(IF(E227&gt;0.03,'Reference Standards'!$AB$425*E227^2+'Reference Standards'!$AB$426*E227+'Reference Standards'!$AB$427,'Reference Standards'!$AF$426*E227+'Reference Standards'!$AF$427),2)),  IF('Quantification Tool R1'!$B$12="73a",IF(E227&gt;0.405,0,ROUND(IF(E227&gt;0.046,'Reference Standards'!$AC$425*E227^2+'Reference Standards'!$AC$426*E227+'Reference Standards'!$AC$427,'Reference Standards'!$AG$426*E227+'Reference Standards'!$AG$427),2)),IF('Quantification Tool R1'!$B$12="74a",IF(E227&gt;0.3,0,ROUND(IF(E227&gt;0.052,'Reference Standards'!$AD$425*E227^2+'Reference Standards'!$AD$426*E227+'Reference Standards'!$AD$427,'Reference Standards'!$AH$426*E227+'Reference Standards'!$AH$427),2)))))),   IF(E227&lt;=0.002,1,IF(OR('Quantification Tool R1'!$B$12="66d",'Quantification Tool R1'!$B$12="66e",'Quantification Tool R1'!$B$12="66g"),IF(E227&gt;0.053,0,ROUND(E227^2*'Reference Standards'!$AB$347+E227*'Reference Standards'!$AB$348+'Reference Standards'!$AB$349,2)), IF('Quantification Tool R1'!$B$12="68b",IF(E227&gt;0.05,0,ROUND(E227^2*'Reference Standards'!$AC$347+E227*'Reference Standards'!$AC$348+'Reference Standards'!$AC$349,2)),  IF(OR('Quantification Tool R1'!$B$12="68a",'Quantification Tool R1'!$B$12="68c"),IF(E227&gt;0.07,0,ROUND(E227^2*'Reference Standards'!$AD$347+E227*'Reference Standards'!$AD$348+'Reference Standards'!$AD$349,2)), IF(OR('Quantification Tool R1'!$B$12="71f",'Quantification Tool R1'!$B$12="71g"),IF(E227&gt;0.13,0,ROUND(IF(E227&gt;0.042,E227*'Reference Standards'!$AE$348+'Reference Standards'!$AE$349,E227*'Reference Standards'!$AF$348+'Reference Standards'!$AF$349),2)), IF('Quantification Tool R1'!$B$12="67fhi",IF(E227&gt;0.16,0,ROUND(E227^2*'Reference Standards'!$AG$347+E227*'Reference Standards'!$AG$348+'Reference Standards'!$AG$349,2)),  IF('Quantification Tool R1'!$B$12="65j",IF(E227&gt;0.035,0,ROUND(IF(E227&lt;=0.003,0.7,E227^2*'Reference Standards'!$AB$387+E227*'Reference Standards'!$AB$388+'Reference Standards'!$AB$389),2)),IF('Quantification Tool R1'!$B$12="69de",IF(E227&gt;0.037,0,ROUND(IF(E227&lt;=0.003,0.7,E227^2*'Reference Standards'!$AC$387+E227*'Reference Standards'!$AC$388+'Reference Standards'!$AC$389),2)),IF('Quantification Tool R1'!$B$12="71e",IF(E227&gt;0.23,0,ROUND(IF(E227&lt;=0.003,0.7,E227^2*'Reference Standards'!$AD$387+E227*'Reference Standards'!$AD$388+'Reference Standards'!$AD$389),2)),IF('Quantification Tool R1'!$B$12="66f",IF(E227&gt;0.06,0,ROUND(IF(E227&lt;=0.003,0.85,IF(E227&lt;=0.004,0.7,E227^2*'Reference Standards'!$AE$387+E227*'Reference Standards'!$AE$388+'Reference Standards'!$AE$389)),2)),IF('Quantification Tool R1'!$B$12="67g",IF(E227&gt;0.11,0,ROUND(IF(E227&lt;=0.01,E227*'Reference Standards'!$AH$388+'Reference Standards'!$AH$389, E227^2*'Reference Standards'!$AF$387+E227*'Reference Standards'!$AF$388+'Reference Standards'!$AF$389),2)),IF('Quantification Tool R1'!$B$12="74b",IF(E227&gt;0.49,0,ROUND(IF(E227&lt;=0.01,E227*'Reference Standards'!$AH$388+'Reference Standards'!$AH$389, E227^2*'Reference Standards'!$AG$387+E227*'Reference Standards'!$AG$388+'Reference Standards'!$AG$389),2)),IF('Quantification Tool R1'!$B$12="65abei",IF(E227&gt;0.199,0,ROUND(IF(E227&lt;=0.01,E227*'Reference Standards'!$AI$426+'Reference Standards'!$AI$427, E227^2*'Reference Standards'!$AE$425+E227*'Reference Standards'!$AE$426+'Reference Standards'!$AE$427),2))    )))))))))))))),      IF('Quantification Tool R1'!$B$13&lt;=2.5, IF(OR('Quantification Tool R1'!$B$12="66d",'Quantification Tool R1'!$B$12="66e",'Quantification Tool R1'!$B$12="66g"),IF(E227&gt;0.05,0,ROUND(IF(E227&lt;=0.002,1,IF(E227&lt;=0.005,E227*'Reference Standards'!$AF$464+'Reference Standards'!$AF$465, E227^2*'Reference Standards'!$AB$463+E227*'Reference Standards'!$AB$464+'Reference Standards'!$AB$465)),2)), IF('Quantification Tool R1'!$B$12="67fhi",IF(E227&gt;0.1,0,ROUND(IF(E227&lt;=0.002,1,IF(E227&lt;=0.006,E227*'Reference Standards'!$AG$464+'Reference Standards'!$AG$465, E227^2*'Reference Standards'!$AC$463+E227*'Reference Standards'!$AC$464+'Reference Standards'!$AC$465)),2)), IF('Quantification Tool R1'!$B$12="65abei",IF(E227&gt;0.13,0,ROUND(IF(E227&lt;=0.003,1,IF(E227&lt;=0.008,E227*'Reference Standards'!$AH$464+'Reference Standards'!$AH$465, E227^2*'Reference Standards'!$AD$463+E227*'Reference Standards'!$AD$464+'Reference Standards'!$AD$465)),2)), IF('Quantification Tool R1'!$B$12="68b",IF(E227&gt;0.043,0,ROUND(IF(E227&lt;=0.004,1, IF(E227&lt;=0.005,0.7, E227^2*'Reference Standards'!$AE$463+E227*'Reference Standards'!$AE$464+'Reference Standards'!$AE$465)),2)), IF('Quantification Tool R1'!$B$12="69de",IF(E227&gt;=0.034,0,ROUND(IF(E227&lt;=0.003,1, IF(E227&lt;=0.006,E227*'Reference Standards'!$AG$500+'Reference Standards'!$AG$501, E227*'Reference Standards'!$AB$500+'Reference Standards'!$AB$501)),2)), IF(OR('Quantification Tool R1'!$B$12="68a",'Quantification Tool R1'!$B$12="68c"),IF(E227&gt;0.202,0,ROUND(IF(E227&lt;=0.003,1, IF(E227&lt;=0.006,E227*'Reference Standards'!$AG$500+'Reference Standards'!$AG$501, IF(E227&gt;=0.04,E227*'Reference Standards'!$AC$500+'Reference Standards'!$AC$501,E227*'Reference Standards'!$AE$500+'Reference Standards'!$AE$501))),2)), IF(OR('Quantification Tool R1'!$B$12="71f",'Quantification Tool R1'!$B$12="71g"),IF(E227&gt;0.631,0,ROUND(IF(E227&lt;=0.003,1, IF(E227&lt;=0.006,E227*'Reference Standards'!$AG$500+'Reference Standards'!$AG$501, IF(E227&gt;=0.17,E227*'Reference Standards'!$AD$500+'Reference Standards'!$AD$501,E227*'Reference Standards'!$AF$500+'Reference Standards'!$AF$501))),2)),   IF('Quantification Tool R1'!$B$12="71e",IF(E227&gt;1.23,0,ROUND(IF(E227&lt;=0.004,1,IF(E227&lt;=0.006,E227*'Reference Standards'!$AF$538+'Reference Standards'!$AF$539, E227^2*'Reference Standards'!$AB$537+E227*'Reference Standards'!$AB$538+'Reference Standards'!$AB$539)),2)), IF('Quantification Tool R1'!$B$12="67g",IF(E227&gt;0.11,0,ROUND(IF(E227&lt;=0.006,1,IF(E227&lt;=0.011,E227*'Reference Standards'!$AG$538+'Reference Standards'!$AG$539, E227^2*'Reference Standards'!$AC$537+E227*'Reference Standards'!$AC$538+'Reference Standards'!$AC$539)),2)), IF('Quantification Tool R1'!$B$12="65j",IF(E227&gt;0.046,0,ROUND(IF(E227&lt;=0.007,1,IF(E227&lt;=0.012,E227*'Reference Standards'!$AH$538+'Reference Standards'!$AH$539, E227^2*'Reference Standards'!$AD$537+E227*'Reference Standards'!$AD$538+'Reference Standards'!$AD$539)),2)), IF('Quantification Tool R1'!$B$12="66f",IF(E227&gt;0.081,0,ROUND(IF(E227&lt;=0.008,1,IF(E227&lt;=0.011,E227*'Reference Standards'!$AI$538+'Reference Standards'!$AI$539, E227^2*'Reference Standards'!$AE$537+E227*'Reference Standards'!$AE$538+'Reference Standards'!$AE$539)),2)), IF(OR('Quantification Tool R1'!$B$12="71h",'Quantification Tool R1'!$B$12="71i"),IF(E227&gt;0.37,0,ROUND(IF(E227&lt;=0.013,1,IF(E227&lt;=0.032,E227*'Reference Standards'!$AH$576+'Reference Standards'!$AH$577, IF(E227&lt;=0.3,E227*'Reference Standards'!$AF$576+'Reference Standards'!$AF$577,E227*'Reference Standards'!$AB$576+'Reference Standards'!$AB$577))),2)), IF('Quantification Tool R1'!$B$12="73a",IF(E227&gt;0.448,0,ROUND(IF(E227&lt;=0.071,1,IF(E227&lt;=0.086,E227*'Reference Standards'!$AJ$576+'Reference Standards'!$AJ$577, IF(E227&lt;=0.165,E227*'Reference Standards'!$AG$576+'Reference Standards'!$AG$577,E227*'Reference Standards'!$AE$576+'Reference Standards'!$AE$577))),2)),  IF('Quantification Tool R1'!$B$12="74b",IF(E227&gt;0.43,0,ROUND(IF(E227&lt;=0.018,1,IF(E227&lt;=0.019,0.85, IF(E227&lt;=0.02,0.7, E227^2*'Reference Standards'!$AC$575+E227*'Reference Standards'!$AC$576+'Reference Standards'!$AC$577))),2)), IF('Quantification Tool R1'!$B$12="74a",IF(E227&gt;0.217,0,ROUND(IF(E227&lt;=0.02,1,IF(E227&lt;=0.033,E227*'Reference Standards'!$AI$576+'Reference Standards'!$AI$577, E227^2*'Reference Standards'!$AD$575+E227*'Reference Standards'!$AD$576+'Reference Standards'!$AD$577)),2))     )))))))))))))))))))</f>
        <v/>
      </c>
      <c r="G227" s="87" t="str">
        <f>IFERROR(AVERAGE(F227),"")</f>
        <v/>
      </c>
      <c r="H227" s="549"/>
      <c r="I227" s="536"/>
      <c r="J227" s="555"/>
      <c r="K227" s="555"/>
      <c r="L227" s="21"/>
    </row>
    <row r="228" spans="1:12" ht="15.6" x14ac:dyDescent="0.3">
      <c r="A228" s="550" t="s">
        <v>59</v>
      </c>
      <c r="B228" s="560" t="s">
        <v>340</v>
      </c>
      <c r="C228" s="125" t="s">
        <v>331</v>
      </c>
      <c r="D228" s="126"/>
      <c r="E228" s="166"/>
      <c r="F228" s="345" t="str">
        <f>IF(E228="","",IF(OR('Quantification Tool R1'!B$12="73a",'Quantification Tool R1'!B$12="73b"),IF(E228&lt;1,0,IF(E228&gt;=30,1,ROUND(IF(E228&lt;22,'Reference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531" t="str">
        <f>IFERROR(AVERAGE(F228:F231),"")</f>
        <v/>
      </c>
      <c r="H228" s="568" t="str">
        <f>IFERROR(ROUND(AVERAGE(G228:G233),2),"")</f>
        <v/>
      </c>
      <c r="I228" s="519" t="str">
        <f>IF(H228="","",IF(H228&gt;0.69,"Functioning",IF(H228&gt;0.29,"Functioning At Risk",IF(H228&gt;-1,"Not Functioning"))))</f>
        <v/>
      </c>
      <c r="J228" s="555"/>
      <c r="K228" s="555"/>
      <c r="L228" s="21"/>
    </row>
    <row r="229" spans="1:12" ht="15.6" x14ac:dyDescent="0.3">
      <c r="A229" s="556"/>
      <c r="B229" s="561"/>
      <c r="C229" s="174" t="s">
        <v>335</v>
      </c>
      <c r="D229" s="175"/>
      <c r="E229" s="165"/>
      <c r="F229" s="346" t="str">
        <f>IF(E229="","",IF(AND('Quantification Tool R1'!$B$12="74b",'Quantification Tool R1'!$B$13&lt;=2),IF(E229&lt;0,0,IF(E229&gt;15.6,0.69,ROUND('Reference Standards'!$AL$54*E229^2+'Reference Standards'!$AL$55*E229+'Reference Standards'!$AL$56,2))),IF(AND('Quantification Tool R1'!$B$12="65abei",'Quantification Tool R1'!$B$13&lt;=2),IF(E229&lt;0,0,IF(E229&gt;=20,0.69,ROUND('Reference Standards'!$AM$54*E229^2+'Reference Standards'!$AM$55*E229+'Reference Standards'!$AM$56,2))),IF(OR(AND('Quantification Tool R1'!$B$12="74a",'Quantification Tool R1'!$B$13&gt;2,'Quantification Tool R1'!$B$19="January - June"),AND('Quantification Tool R1'!$B$12="71i",'Quantification Tool R1'!$B$13&gt;2,'Quantification Tool R1'!$B$20="SQBANK")),IF(E229&lt;0,0,IF(E229&gt;24.7,0.69,ROUND('Reference Standards'!$AN$54*E229^2+'Reference Standards'!$AN$55*E229+'Reference Standards'!$AN$56,2))),IF(OR('Quantification Tool R1'!$B$12="74b",'Quantification Tool R1'!$B$12="65abei"),IF(E229&lt;0,0,IF(E229&gt;32.7,0.69,ROUND('Reference Standards'!$AO$54*E229^2+'Reference Standards'!$AO$55*E229+'Reference Standards'!$AO$56,2))),IF(AND('Quantification Tool R1'!$B$12="68b",'Quantification Tool R1'!$B$13&gt;2),IF(E229&lt;0,0,IF(E229&gt;41.2,0.69,ROUND('Reference Standards'!$AP$54*E229^2+'Reference Standards'!$AP$55*E229+'Reference Standards'!$AP$56,2))),IF(OR(AND('Quantification Tool R1'!$B$12="71i",'Quantification Tool R1'!$B$13&lt;=2),AND(OR('Quantification Tool R1'!$B$12="68c",'Quantification Tool R1'!$B$12="68d"),'Quantification Tool R1'!$B$19="January - June")),IF(E229&lt;0,0,IF(E229&gt;49.2,0.69,ROUND('Reference Standards'!$AL$94*E229^2+'Reference Standards'!$AL$95*E229+'Reference Standards'!$AL$96,2))),IF(OR(AND('Quantification Tool R1'!$B$12="68a",'Quantification Tool R1'!$B$19="January - June"),AND(OR('Quantification Tool R1'!$B$12="68c",'Quantification Tool R1'!$B$12="68d"),'Quantification Tool R1'!$B$19="July - December")),IF(E229&lt;0,0,IF(E229&gt;53.4,0.69,ROUND('Reference Standards'!$AM$94*E229^2+'Reference Standards'!$AM$95*E229+'Reference Standards'!$AM$96,2))),IF(OR(AND('Quantification Tool R1'!$B$12="71i",'Quantification Tool R1'!$B$13&gt;2,'Quantification Tool R1'!$B$20="SQKICK"),AND(OR('Quantification Tool R1'!$B$12="67fhi",'Quantification Tool R1'!$B$12="67g"),'Quantification Tool R1'!$B$13&lt;=2),'Quantification Tool R1'!$B$12="65j"),IF(E229&lt;0,0,IF(E229&gt;57.8,0.69,ROUND('Reference Standards'!$AN$94*E229^2+'Reference Standards'!$AN$95*E229+'Reference Standards'!$AN$96,2))),IF(OR(AND('Quantification Tool R1'!$B$12="74a",'Quantification Tool R1'!$B$13&gt;2,'Quantification Tool R1'!$B$19="July - December"),AND(OR('Quantification Tool R1'!$B$12="67fhi",'Quantification Tool R1'!$B$12="67g"),'Quantification Tool R1'!$B$13&gt;2),'Quantification Tool R1'!$B$12="69de"),IF(E229&lt;0,0,IF(E229&gt;62.5,0.69,ROUND('Reference Standards'!$AO$94*E229^2+'Reference Standards'!$AO$95*E229+'Reference Standards'!$AO$96,2))),  IF(OR('Quantification Tool R1'!$B$12="66d",'Quantification Tool R1'!$B$12="66e",'Quantification Tool R1'!$B$12="66ik",'Quantification Tool R1'!$B$12="71e",'Quantification Tool R1'!$B$12="71f",'Quantification Tool R1'!$B$12="71g",'Quantification Tool R1'!$B$12="71h"),IF(E229&lt;0,0,IF(E229&gt;66.5,0.69,ROUND('Reference Standards'!$AP$94*E229^2+'Reference Standards'!$AP$95*E229+'Reference Standards'!$AP$96,2))),IF(OR('Quantification Tool R1'!$B$12="66f",'Quantification Tool R1'!$B$12="66g",'Quantification Tool R1'!$B$12="66j",AND('Quantification Tool R1'!$B$12="68a",'Quantification Tool R1'!$B$19="July - December")), IF(E229&lt;0,0,IF(E229&gt;69,0.69,ROUND('Reference Standards'!$AQ$94*E229^2+'Reference Standards'!$AQ$95*E229+'Reference Standards'!$AQ$96,2))))   )))))))))))</f>
        <v/>
      </c>
      <c r="G229" s="531"/>
      <c r="H229" s="568"/>
      <c r="I229" s="519"/>
      <c r="J229" s="555"/>
      <c r="K229" s="555"/>
      <c r="L229" s="21"/>
    </row>
    <row r="230" spans="1:12" ht="15.6" x14ac:dyDescent="0.3">
      <c r="A230" s="556"/>
      <c r="B230" s="561"/>
      <c r="C230" s="174" t="s">
        <v>339</v>
      </c>
      <c r="D230" s="175"/>
      <c r="E230" s="165"/>
      <c r="F230" s="346" t="str">
        <f>IF(E230="","",IF(AND('Quantification Tool R1'!$B$12="74b",'Quantification Tool R1'!$B$13&lt;=2),IF(E230&lt;0,0,IF(E230&gt;8.1,0.69,ROUND('Reference Standards'!$AL$131*E230^2+'Reference Standards'!$AL$132*E230+'Reference Standards'!$AL$133,2))),IF(OR('Quantification Tool R1'!$B$12="73a",'Quantification Tool R1'!$B$12="73b"),IF(E230&lt;0,0,IF(E230&gt;=28,0.69,ROUND('Reference Standards'!$AM$131*E230^2+'Reference Standards'!$AM$132*E230+'Reference Standards'!$AM$133,2))),IF(AND('Quantification Tool R1'!$B$12="74a",'Quantification Tool R1'!$B$13&gt;2,'Quantification Tool R1'!$B$19="January - June"),IF(E230&lt;0,0,IF(E230&gt;=32.5,0.69,ROUND('Reference Standards'!$AN$131*E230^2+'Reference Standards'!$AN$132*E230+'Reference Standards'!$AN$133,2))),IF(AND('Quantification Tool R1'!$B$12="71i",'Quantification Tool R1'!$B$13&gt;2,'Quantification Tool R1'!$B$20="SQBANK"),IF(E230&lt;0,0,IF(E230&gt;=37,0.69,ROUND('Reference Standards'!$AO$131*E230^2+'Reference Standards'!$AO$132*E230+'Reference Standards'!$AO$133,2))),IF(OR(AND(OR('Quantification Tool R1'!$B$12="65abei",'Quantification Tool R1'!$B$12="74b"),'Quantification Tool R1'!$B$13&gt;2),AND('Quantification Tool R1'!$B$12="71i",'Quantification Tool R1'!$B$13&gt;2,'Quantification Tool R1'!$B$20="SQKICK")),IF(E230&lt;0,0,IF(E230&gt;42.6,0.69,ROUND('Reference Standards'!$AP$131*E230^2+'Reference Standards'!$AP$132*E230+'Reference Standards'!$AP$133,2))),     IF(OR(AND('Quantification Tool R1'!$B$12="65abei",'Quantification Tool R1'!$B$13&lt;=2),AND(OR('Quantification Tool R1'!$B$12="68c",'Quantification Tool R1'!$B$12="68d"),'Quantification Tool R1'!$B$19="July - December"),'Quantification Tool R1'!$B$12="71e"),IF(E230&lt;0,0,IF(E230&gt;=48,0.69,ROUND('Reference Standards'!$AL$171*E230^2+'Reference Standards'!$AL$172*E230+'Reference Standards'!$AL$173,2))),IF(OR('Quantification Tool R1'!$B$12="65j",'Quantification Tool R1'!$B$12="67fhi",'Quantification Tool R1'!$B$12="67g",AND('Quantification Tool R1'!$B$12="74a",'Quantification Tool R1'!$B$19="July - December",'Quantification Tool R1'!$B$13&gt;2),AND('Quantification Tool R1'!$B$12="71i",'Quantification Tool R1'!$B$13&lt;=2)),IF(E230&lt;0,0,IF(E230&gt;=53,0.69,ROUND('Reference Standards'!$AM$171*E230^2+'Reference Standards'!$AM$172*E230+'Reference Standards'!$AM$173,2))),IF(OR(AND(OR('Quantification Tool R1'!$B$12="68b",'Quantification Tool R1'!$B$12="71f",'Quantification Tool R1'!$B$12="71g",'Quantification Tool R1'!$B$12="71h"),'Quantification Tool R1'!$B$13&gt;2),'Quantification Tool R1'!$B$12="68a"),IF(E230&lt;0,0,IF(E230&gt;=57,0.69,ROUND('Reference Standards'!$AN$171*E230^2+'Reference Standards'!$AN$172*E230+'Reference Standards'!$AN$173,2))),IF(OR('Quantification Tool R1'!$B$12="66f",'Quantification Tool R1'!$B$12="66g",'Quantification Tool R1'!$B$12="66j",AND(OR('Quantification Tool R1'!$B$12="71f",'Quantification Tool R1'!$B$12="71g",'Quantification Tool R1'!$B$12="71h"),'Quantification Tool R1'!$B$13&lt;=2)),IF(E230&lt;0,0,IF(E230&gt;=60,0.69,ROUND('Reference Standards'!$AO$171*E230^2+'Reference Standards'!$AO$172*E230+'Reference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December")),IF(E230&lt;0,0,IF(E230&gt;=67.5,0.69,ROUND('Reference Standards'!$AP$171*E230^2+'Reference Standards'!$AP$172*E230+'Reference Standards'!$AP$173,2))),IF(AND('Quantification Tool R1'!$B$12="69de",'Quantification Tool R1'!$B$19="January - June"), IF(E230&lt;0,0,IF(E230&gt;=72,0.69,ROUND('Reference Standards'!$AQ$171*E230^2+'Reference Standards'!$AQ$172*E230+'Reference Standards'!$AQ$173,2))))   )))))))))))</f>
        <v/>
      </c>
      <c r="G230" s="531"/>
      <c r="H230" s="568"/>
      <c r="I230" s="519"/>
      <c r="J230" s="555"/>
      <c r="K230" s="555"/>
      <c r="L230" s="21"/>
    </row>
    <row r="231" spans="1:12" ht="15.6" x14ac:dyDescent="0.3">
      <c r="A231" s="556"/>
      <c r="B231" s="562"/>
      <c r="C231" s="127" t="s">
        <v>336</v>
      </c>
      <c r="D231" s="71"/>
      <c r="E231" s="167"/>
      <c r="F231" s="346" t="str">
        <f>IF(E231="","",IF(OR('Quantification Tool R1'!$B$12="67fhi",'Quantification Tool R1'!$B$12="67g",'Quantification Tool R1'!$B$12="71e",'Quantification Tool R1'!$B$12="73a",'Quantification Tool R1'!$B$12="73b",AND(OR('Quantification Tool R1'!$B$12="71f",'Quantification Tool R1'!$B$12="71g",'Quantification Tool R1'!$B$12="71h"),'Quantification Tool R1'!$B$13&gt;2)),IF(E231&gt;100,0,IF(E231&lt;15,0.69,ROUND('Reference Standards'!$AL$208*E231^2+'Reference Standards'!$AL$209*E231+'Reference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),IF(E231&gt;100,0,IF(E231&lt;19,0.69,ROUND('Reference Standards'!$AM$208*E231^2+'Reference Standards'!$AM$209*E231+'Reference Standards'!$AM$210,2))),    IF(OR(AND('Quantification Tool R1'!$B$12="69de",'Quantification Tool R1'!$B$19="January - June"),AND('Quantification Tool R1'!$B$12="71i",'Quantification Tool R1'!$B$13&gt;2,'Quantification Tool R1'!$B$20="SQKICK" )),IF(E231&gt;100,0,IF(E231&lt;22,0.69,ROUND('Reference Standards'!$AN$208*E231^2+'Reference Standards'!$AN$209*E231+'Reference Standards'!$AN$210,2))),    IF(OR('Quantification Tool R1'!$B$12="65j",AND('Quantification Tool R1'!$B$12="68b",'Quantification Tool R1'!$B$13&gt;2)),IF(E231&gt;100,0,IF(E231&lt;24,0.69,ROUND('Reference Standards'!$AO$208*E231^2+'Reference Standards'!$AO$209*E231+'Reference Standards'!$AO$210,2))),    IF(AND(OR('Quantification Tool R1'!$B$12="65abei",'Quantification Tool R1'!$B$12="71f",'Quantification Tool R1'!$B$12="71g",'Quantification Tool R1'!$B$12="71h"),'Quantification Tool R1'!$B$13&lt;=2),IF(E231&gt;95,0,IF(E231&lt;33,0.69,ROUND('Reference Standards'!$AL$246*E231^2+'Reference Standards'!$AL$247*E231+'Reference Standards'!$AL$248,2))),   IF(AND(OR('Quantification Tool R1'!$B$12="65abei",'Quantification Tool R1'!$B$12="74b"),'Quantification Tool R1'!$B$13&gt;2),IF(E231&gt;97,0,IF(E231&lt;36,0.69,ROUND('Reference Standards'!$AM$246*E231^2+'Reference Standards'!$AM$247*E231+'Reference Standards'!$AM$248,2))),  IF(AND('Quantification Tool R1'!$B$12="74a",'Quantification Tool R1'!$B$19="January - June",'Quantification Tool R1'!$B$13&gt;2),IF(E231&gt;93,0,IF(E231&lt;52,0.69,ROUND('Reference Standards'!$AN$246*E231^2+'Reference Standards'!$AN$247*E231+'Reference Standards'!$AN$248,2))),   IF(AND('Quantification Tool R1'!$B$12="74b",'Quantification Tool R1'!$B$13&lt;=2),IF(E231&gt;97,0,IF(E231&lt;62,0.69,ROUND('Reference Standards'!$AO$246*E231^2+'Reference Standards'!$AO$247*E231+'Reference Standards'!$AO$248,2)))  )))))))))</f>
        <v/>
      </c>
      <c r="G231" s="531"/>
      <c r="H231" s="568"/>
      <c r="I231" s="519"/>
      <c r="J231" s="555"/>
      <c r="K231" s="555"/>
      <c r="L231" s="21"/>
    </row>
    <row r="232" spans="1:12" ht="15.6" x14ac:dyDescent="0.3">
      <c r="A232" s="556"/>
      <c r="B232" s="563" t="s">
        <v>74</v>
      </c>
      <c r="C232" s="125" t="s">
        <v>211</v>
      </c>
      <c r="D232" s="126"/>
      <c r="E232" s="166"/>
      <c r="F232" s="345" t="str">
        <f>IF(E232="","",IF(E232=1,0.15,IF(E232=3,0.5,IF(E232=5,0.85,0))))</f>
        <v/>
      </c>
      <c r="G232" s="564" t="str">
        <f>IFERROR(AVERAGE(F232:F233),"")</f>
        <v/>
      </c>
      <c r="H232" s="568"/>
      <c r="I232" s="519"/>
      <c r="J232" s="555"/>
      <c r="K232" s="555"/>
      <c r="L232" s="21"/>
    </row>
    <row r="233" spans="1:12" ht="15.6" x14ac:dyDescent="0.3">
      <c r="A233" s="551"/>
      <c r="B233" s="563"/>
      <c r="C233" s="127" t="s">
        <v>332</v>
      </c>
      <c r="D233" s="71"/>
      <c r="E233" s="167"/>
      <c r="F233" s="347" t="str">
        <f>IF(E233="","",IF(E233=1,0.15,IF(E233=3,0.5,IF(E233=5,0.85,0))))</f>
        <v/>
      </c>
      <c r="G233" s="565"/>
      <c r="H233" s="568"/>
      <c r="I233" s="519"/>
      <c r="J233" s="555"/>
      <c r="K233" s="555"/>
      <c r="L233" s="21"/>
    </row>
    <row r="234" spans="1:12" x14ac:dyDescent="0.3">
      <c r="L234" s="21"/>
    </row>
    <row r="235" spans="1:12" x14ac:dyDescent="0.3">
      <c r="L235" s="21"/>
    </row>
    <row r="236" spans="1:12" ht="21" x14ac:dyDescent="0.4">
      <c r="A236" s="148" t="s">
        <v>135</v>
      </c>
      <c r="B236" s="246"/>
      <c r="C236" s="249" t="s">
        <v>324</v>
      </c>
      <c r="D236" s="246"/>
      <c r="E236" s="247"/>
      <c r="F236" s="248"/>
      <c r="G236" s="544" t="s">
        <v>18</v>
      </c>
      <c r="H236" s="545"/>
      <c r="I236" s="545"/>
      <c r="J236" s="545"/>
      <c r="K236" s="546"/>
      <c r="L236" s="21"/>
    </row>
    <row r="237" spans="1:12" ht="15.6" x14ac:dyDescent="0.3">
      <c r="A237" s="158" t="s">
        <v>1</v>
      </c>
      <c r="B237" s="158" t="s">
        <v>2</v>
      </c>
      <c r="C237" s="542" t="s">
        <v>3</v>
      </c>
      <c r="D237" s="644"/>
      <c r="E237" s="158" t="s">
        <v>15</v>
      </c>
      <c r="F237" s="158" t="s">
        <v>16</v>
      </c>
      <c r="G237" s="158" t="s">
        <v>19</v>
      </c>
      <c r="H237" s="158" t="s">
        <v>20</v>
      </c>
      <c r="I237" s="314" t="s">
        <v>20</v>
      </c>
      <c r="J237" s="314" t="s">
        <v>21</v>
      </c>
      <c r="K237" s="315" t="s">
        <v>21</v>
      </c>
    </row>
    <row r="238" spans="1:12" ht="15.6" x14ac:dyDescent="0.3">
      <c r="A238" s="540" t="s">
        <v>60</v>
      </c>
      <c r="B238" s="308" t="s">
        <v>86</v>
      </c>
      <c r="C238" s="52" t="s">
        <v>388</v>
      </c>
      <c r="D238" s="52"/>
      <c r="E238" s="162"/>
      <c r="F238" s="338" t="str">
        <f>IF(E238="","",IF(E238&lt;=0,0,IF(E238&gt;=0.95,1,ROUND('Reference Standards'!C$14*E238+'Reference Standards'!C$15,2))))</f>
        <v/>
      </c>
      <c r="G238" s="83" t="str">
        <f>IFERROR(AVERAGE(F238),"")</f>
        <v/>
      </c>
      <c r="H238" s="522" t="str">
        <f>IFERROR(ROUND(AVERAGE(G238:G239),2),"")</f>
        <v/>
      </c>
      <c r="I238" s="519" t="str">
        <f>IF(H238="","",IF(H238&gt;0.69,"Functioning",IF(H238&gt;0.29,"Functioning At Risk",IF(H238&gt;-1,"Not Functioning"))))</f>
        <v/>
      </c>
      <c r="J238" s="555" t="str">
        <f>IF(AND(H238="",H240="",H242="",H264="",H268=""),"",ROUND((IF(H238="",0,H238)*0.2)+(IF(H240="",0,H240)*0.2)+(IF(H242="",0,H242)*0.2)+(IF(H264="",0,H264)*0.2)+(IF(H268="",0,H268)*0.2),2))</f>
        <v/>
      </c>
      <c r="K238" s="555" t="str">
        <f>IF(J238="","",IF(J238&lt;0.3, "Not Functioning",IF(OR(H238&lt;0.7,H240&lt;0.7,H242&lt;0.7,H264&lt;0.7,H268&lt;0.7),"Functioning At Risk",IF(J238&lt;0.7,"Functioning At Risk","Functioning"))))</f>
        <v/>
      </c>
    </row>
    <row r="239" spans="1:12" ht="15.6" x14ac:dyDescent="0.3">
      <c r="A239" s="541"/>
      <c r="B239" s="371" t="s">
        <v>128</v>
      </c>
      <c r="C239" s="373" t="s">
        <v>161</v>
      </c>
      <c r="D239" s="374"/>
      <c r="E239" s="43"/>
      <c r="F239" s="372" t="str">
        <f>IF(E239="","",IF(E239&gt;=1,1,IF(E239&lt;=0,0,ROUND(E239,2))))</f>
        <v/>
      </c>
      <c r="G239" s="367" t="str">
        <f>IFERROR(AVERAGE(F239:F239),"")</f>
        <v/>
      </c>
      <c r="H239" s="523"/>
      <c r="I239" s="519"/>
      <c r="J239" s="555"/>
      <c r="K239" s="555"/>
    </row>
    <row r="240" spans="1:12" ht="15.6" x14ac:dyDescent="0.3">
      <c r="A240" s="524" t="s">
        <v>6</v>
      </c>
      <c r="B240" s="572" t="s">
        <v>7</v>
      </c>
      <c r="C240" s="54" t="s">
        <v>8</v>
      </c>
      <c r="D240" s="54"/>
      <c r="E240" s="162"/>
      <c r="F240" s="339" t="str">
        <f>IF(E240="","",ROUND(IF(E240&gt;1.6,0,IF(E240&lt;=1,1,E240^2*'Reference Standards'!K$14+E240*'Reference Standards'!K$15+'Reference Standards'!K$16)),2))</f>
        <v/>
      </c>
      <c r="G240" s="579" t="str">
        <f>IFERROR(AVERAGE(F240:F241),"")</f>
        <v/>
      </c>
      <c r="H240" s="579" t="str">
        <f>IFERROR(ROUND(AVERAGE(G240),2),"")</f>
        <v/>
      </c>
      <c r="I240" s="569" t="str">
        <f>IF(H240="","",IF(H240&gt;0.69,"Functioning",IF(H240&gt;0.29,"Functioning At Risk",IF(H240&gt;-1,"Not Functioning"))))</f>
        <v/>
      </c>
      <c r="J240" s="555"/>
      <c r="K240" s="555"/>
    </row>
    <row r="241" spans="1:13" ht="15.6" x14ac:dyDescent="0.3">
      <c r="A241" s="525"/>
      <c r="B241" s="572"/>
      <c r="C241" s="54" t="s">
        <v>9</v>
      </c>
      <c r="D241" s="54"/>
      <c r="E241" s="163"/>
      <c r="F241" s="339" t="str">
        <f>IF(E241="","",(IF(OR('Quantification Tool R1'!B$11="A",'Quantification Tool R1'!B$11="B",'Quantification Tool R1'!$B$11="Bc"),IF(E241&lt;1.2,0,IF(E241&gt;=2.2,1,ROUND(IF(E241&lt;1.4,E241*'Reference Standards'!$K$84+'Reference Standards'!$K$85,E241*'Reference Standards'!$L$84+'Reference Standards'!$L$85),2))),IF(OR('Quantification Tool R1'!B$11="C",'Quantification Tool R1'!B$11="E"),IF(E241&lt;2,0,IF(E241&gt;=5,1,ROUND(IF(E241&lt;2.4,E241*'Reference Standards'!$L$49+'Reference Standards'!$L$50,E241*'Reference Standards'!$K$49+'Reference Standards'!$K$50),2)))))))</f>
        <v/>
      </c>
      <c r="G241" s="581"/>
      <c r="H241" s="580"/>
      <c r="I241" s="570"/>
      <c r="J241" s="555"/>
      <c r="K241" s="555"/>
    </row>
    <row r="242" spans="1:13" ht="15.6" x14ac:dyDescent="0.3">
      <c r="A242" s="526" t="s">
        <v>26</v>
      </c>
      <c r="B242" s="557" t="s">
        <v>27</v>
      </c>
      <c r="C242" s="60" t="s">
        <v>333</v>
      </c>
      <c r="D242" s="244"/>
      <c r="E242" s="61"/>
      <c r="F242" s="340" t="str">
        <f>IF(E242="","",IF(OR(LEFT('Quantification Tool R1'!$B$12,2)="65",LEFT('Quantification Tool R1'!$B$12,2)="66",LEFT('Quantification Tool R1'!$B$12,2)="71"),IF(E242&gt;=850,1,IF(E242&lt;250,ROUND('Reference Standards'!$S$17*(E242)+'Reference Standards'!$S$18,2),ROUND('Reference Standards'!$T$17*E242+'Reference Standards'!$T$18,2))),  IF(E242&gt;=345,1,IF(E242&lt;=180,ROUND('Reference Standards'!$U$17*(E242)+'Reference Standards'!$U$18,2),ROUND('Reference Standards'!$V$17*E242+'Reference Standards'!$V$18,2))))    )</f>
        <v/>
      </c>
      <c r="G242" s="528" t="str">
        <f>IFERROR(AVERAGE(F242:F243),"")</f>
        <v/>
      </c>
      <c r="H242" s="566" t="str">
        <f>IFERROR(ROUND(AVERAGE(G242:G263),2),"")</f>
        <v/>
      </c>
      <c r="I242" s="555" t="str">
        <f>IF(H242="","",IF(H242&gt;0.69,"Functioning",IF(H242&gt;0.29,"Functioning At Risk",IF(H242&gt;-1,"Not Functioning"))))</f>
        <v/>
      </c>
      <c r="J242" s="555"/>
      <c r="K242" s="555"/>
    </row>
    <row r="243" spans="1:13" ht="15.6" x14ac:dyDescent="0.3">
      <c r="A243" s="520"/>
      <c r="B243" s="558"/>
      <c r="C243" s="63" t="s">
        <v>323</v>
      </c>
      <c r="D243" s="245"/>
      <c r="E243" s="53"/>
      <c r="F243" s="341" t="str">
        <f>IF(E243="","",IF(OR(LEFT('Quantification Tool R1'!$B$12,2)="65",LEFT('Quantification Tool R1'!$B$12,2)="66",LEFT('Quantification Tool R1'!$B$12,2)="71"),IF(E243&gt;=30,1,IF(E243&lt;13,ROUND('Reference Standards'!$S$53*(E243)+'Reference Standards'!$S$54,2),ROUND('Reference Standards'!$T$53*E243+'Reference Standards'!$T$54,2))),  IF(E243&gt;=16,1,IF(E243&lt;=9,ROUND('Reference Standards'!$U$53*(E243)+'Reference Standards'!$U$54,2),ROUND('Reference Standards'!$V$53*E243+'Reference Standards'!$V$54,2))))    )</f>
        <v/>
      </c>
      <c r="G243" s="530"/>
      <c r="H243" s="566"/>
      <c r="I243" s="555"/>
      <c r="J243" s="555"/>
      <c r="K243" s="555"/>
    </row>
    <row r="244" spans="1:13" ht="15.6" x14ac:dyDescent="0.3">
      <c r="A244" s="520"/>
      <c r="B244" s="520" t="s">
        <v>395</v>
      </c>
      <c r="C244" s="58" t="s">
        <v>80</v>
      </c>
      <c r="D244" s="58"/>
      <c r="E244" s="165"/>
      <c r="F244" s="340" t="str">
        <f>IF(E244="","",ROUND(IF(E244&gt;0.7,0,IF(E244&lt;=0.1,1,E244^3*'Reference Standards'!S$87+E244^2*'Reference Standards'!S$88+E244*'Reference Standards'!S$89+'Reference Standards'!S$90)),2))</f>
        <v/>
      </c>
      <c r="G244" s="528" t="str">
        <f>IFERROR(ROUND(AVERAGE(F244:F247),2),"")</f>
        <v/>
      </c>
      <c r="H244" s="567"/>
      <c r="I244" s="555"/>
      <c r="J244" s="555"/>
      <c r="K244" s="555"/>
    </row>
    <row r="245" spans="1:13" ht="15.6" x14ac:dyDescent="0.3">
      <c r="A245" s="520"/>
      <c r="B245" s="520"/>
      <c r="C245" s="58" t="s">
        <v>49</v>
      </c>
      <c r="D245" s="58"/>
      <c r="E245" s="165"/>
      <c r="F245" s="84"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529"/>
      <c r="H245" s="567"/>
      <c r="I245" s="555"/>
      <c r="J245" s="555"/>
      <c r="K245" s="555"/>
    </row>
    <row r="246" spans="1:13" ht="15.6" x14ac:dyDescent="0.3">
      <c r="A246" s="520"/>
      <c r="B246" s="520"/>
      <c r="C246" s="58" t="s">
        <v>87</v>
      </c>
      <c r="D246" s="58"/>
      <c r="E246" s="165"/>
      <c r="F246" s="84" t="str">
        <f>IF(E246="","",ROUND(IF(E246&gt;40,0,IF(E246&lt;5,1,E246^3*'Reference Standards'!S$122+E246^2*'Reference Standards'!S$123+E246*'Reference Standards'!S$124+'Reference Standards'!S$125)),2))</f>
        <v/>
      </c>
      <c r="G246" s="529"/>
      <c r="H246" s="567"/>
      <c r="I246" s="555"/>
      <c r="J246" s="555"/>
      <c r="K246" s="555"/>
    </row>
    <row r="247" spans="1:13" ht="15.6" x14ac:dyDescent="0.3">
      <c r="A247" s="520"/>
      <c r="B247" s="521"/>
      <c r="C247" s="59" t="s">
        <v>394</v>
      </c>
      <c r="D247" s="59"/>
      <c r="E247" s="167"/>
      <c r="F247" s="341" t="str">
        <f>IF(E247="","",ROUND(IF(E247&gt;=30,0,IF(E247&lt;=0,1,E247*'Reference Standards'!S$156+'Reference Standards'!S$157)),2))</f>
        <v/>
      </c>
      <c r="G247" s="530"/>
      <c r="H247" s="567"/>
      <c r="I247" s="555"/>
      <c r="J247" s="555"/>
      <c r="K247" s="555"/>
    </row>
    <row r="248" spans="1:13" ht="15.6" x14ac:dyDescent="0.3">
      <c r="A248" s="520"/>
      <c r="B248" s="520" t="s">
        <v>50</v>
      </c>
      <c r="C248" s="60" t="s">
        <v>377</v>
      </c>
      <c r="D248" s="64"/>
      <c r="E248" s="136"/>
      <c r="F248" s="294" t="str">
        <f>IF(E248="","",ROUND(IF(E248&gt;9.2,1,E248*'Reference Standards'!$S$189+'Reference Standards'!$S$190),2))</f>
        <v/>
      </c>
      <c r="G248" s="552" t="str">
        <f>IFERROR(ROUND(AVERAGE(F248:F257),2),"")</f>
        <v/>
      </c>
      <c r="H248" s="567"/>
      <c r="I248" s="555"/>
      <c r="J248" s="555"/>
      <c r="K248" s="555"/>
    </row>
    <row r="249" spans="1:13" ht="15.6" x14ac:dyDescent="0.3">
      <c r="A249" s="520"/>
      <c r="B249" s="520"/>
      <c r="C249" s="62" t="s">
        <v>378</v>
      </c>
      <c r="D249" s="58"/>
      <c r="E249" s="162"/>
      <c r="F249" s="294" t="str">
        <f>IF(E249="","",ROUND(IF(E249&gt;9.2,1,E249*'Reference Standards'!$S$189+'Reference Standards'!$S$190),2))</f>
        <v/>
      </c>
      <c r="G249" s="553"/>
      <c r="H249" s="567"/>
      <c r="I249" s="555"/>
      <c r="J249" s="555"/>
      <c r="K249" s="555"/>
    </row>
    <row r="250" spans="1:13" ht="15.6" x14ac:dyDescent="0.3">
      <c r="A250" s="520"/>
      <c r="B250" s="520"/>
      <c r="C250" s="62" t="s">
        <v>379</v>
      </c>
      <c r="D250" s="58"/>
      <c r="E250" s="162"/>
      <c r="F250" s="294" t="str">
        <f>IF(E250="","",ROUND( IF(E250&gt;=200,1,IF(E250&lt;50, E250^2*'Reference Standards'!S$224+E250*'Reference Standards'!S$225+'Reference Standards'!S$226, E250*'Reference Standards'!T$224+'Reference Standards'!T$225)),2))</f>
        <v/>
      </c>
      <c r="G250" s="553"/>
      <c r="H250" s="567"/>
      <c r="I250" s="555"/>
      <c r="J250" s="555"/>
      <c r="K250" s="555"/>
    </row>
    <row r="251" spans="1:13" ht="15.6" x14ac:dyDescent="0.3">
      <c r="A251" s="520"/>
      <c r="B251" s="520"/>
      <c r="C251" s="62" t="s">
        <v>380</v>
      </c>
      <c r="D251" s="58"/>
      <c r="E251" s="162"/>
      <c r="F251" s="294" t="str">
        <f>IF(E251="","",ROUND( IF(E251&gt;=200,1,IF(E251&lt;50, E251^2*'Reference Standards'!S$224+E251*'Reference Standards'!S$225+'Reference Standards'!S$226, E251*'Reference Standards'!T$224+'Reference Standards'!T$225)),2))</f>
        <v/>
      </c>
      <c r="G251" s="553"/>
      <c r="H251" s="567"/>
      <c r="I251" s="555"/>
      <c r="J251" s="555"/>
      <c r="K251" s="555"/>
    </row>
    <row r="252" spans="1:13" ht="15.6" x14ac:dyDescent="0.3">
      <c r="A252" s="520"/>
      <c r="B252" s="520"/>
      <c r="C252" s="58" t="s">
        <v>381</v>
      </c>
      <c r="D252" s="58"/>
      <c r="E252" s="162"/>
      <c r="F252" s="294" t="str">
        <f>IF(E252="","",ROUND(IF(AND(E252&gt;=135,E252&lt;=262),1,IF(  E252&gt;=366,0.5, IF(E252&lt;135,E252*'Reference Standards'!S$259+'Reference Standards'!S$260, E252*'Reference Standards'!T$259+'Reference Standards'!T$260))),2))</f>
        <v/>
      </c>
      <c r="G252" s="553"/>
      <c r="H252" s="567"/>
      <c r="I252" s="555"/>
      <c r="J252" s="555"/>
      <c r="K252" s="555"/>
    </row>
    <row r="253" spans="1:13" ht="15.6" x14ac:dyDescent="0.3">
      <c r="A253" s="520"/>
      <c r="B253" s="520"/>
      <c r="C253" s="58" t="s">
        <v>382</v>
      </c>
      <c r="D253" s="58"/>
      <c r="E253" s="162"/>
      <c r="F253" s="294" t="str">
        <f>IF(E253="","",ROUND(IF(AND(E253&gt;=135,E253&lt;=262),1,IF(  E253&gt;=366,0.5, IF(E253&lt;135,E253*'Reference Standards'!S$259+'Reference Standards'!S$260, E253*'Reference Standards'!T$259+'Reference Standards'!T$260))),2))</f>
        <v/>
      </c>
      <c r="G253" s="553"/>
      <c r="H253" s="567"/>
      <c r="I253" s="555"/>
      <c r="J253" s="555"/>
      <c r="K253" s="555"/>
    </row>
    <row r="254" spans="1:13" ht="15.6" x14ac:dyDescent="0.3">
      <c r="A254" s="520"/>
      <c r="B254" s="520"/>
      <c r="C254" s="58" t="s">
        <v>383</v>
      </c>
      <c r="D254" s="58"/>
      <c r="E254" s="162"/>
      <c r="F254" s="84" t="str">
        <f>IF(E254="","",ROUND(IF(E254&gt;=75,1,IF(E254&lt;=0,0,E254*'Reference Standards'!S$330)),2))</f>
        <v/>
      </c>
      <c r="G254" s="553"/>
      <c r="H254" s="567"/>
      <c r="I254" s="555"/>
      <c r="J254" s="555"/>
      <c r="K254" s="555"/>
    </row>
    <row r="255" spans="1:13" ht="15.6" x14ac:dyDescent="0.3">
      <c r="A255" s="520"/>
      <c r="B255" s="520"/>
      <c r="C255" s="58" t="s">
        <v>384</v>
      </c>
      <c r="D255" s="58"/>
      <c r="E255" s="162"/>
      <c r="F255" s="84" t="str">
        <f>IF(E255="","",ROUND(IF(E255&gt;=75,1,IF(E255&lt;=0,0,E255*'Reference Standards'!S$330)),2))</f>
        <v/>
      </c>
      <c r="G255" s="553"/>
      <c r="H255" s="567"/>
      <c r="I255" s="555"/>
      <c r="J255" s="555"/>
      <c r="K255" s="555"/>
    </row>
    <row r="256" spans="1:13" ht="15.6" x14ac:dyDescent="0.3">
      <c r="A256" s="520"/>
      <c r="B256" s="520"/>
      <c r="C256" s="58" t="s">
        <v>385</v>
      </c>
      <c r="D256" s="58"/>
      <c r="E256" s="162"/>
      <c r="F256" s="294" t="str">
        <f>IF(E256="","",ROUND(IF(AND(E256&gt;=36.3,E256&lt;=68),1,IF(E256&gt;100,0,IF(E256&lt;36.3,(('Reference Standards'!S$297*(E256^2))+('Reference Standards'!S$298*E256)+'Reference Standards'!S$299),IF(E256&gt;68,(('Reference Standards'!T$297*(E256^2))+('Reference Standards'!T$298*E256)+'Reference Standards'!T$299))))),2))</f>
        <v/>
      </c>
      <c r="G256" s="553"/>
      <c r="H256" s="567"/>
      <c r="I256" s="555"/>
      <c r="J256" s="555"/>
      <c r="K256" s="555"/>
      <c r="M256" s="21"/>
    </row>
    <row r="257" spans="1:12" ht="15.6" x14ac:dyDescent="0.3">
      <c r="A257" s="520"/>
      <c r="B257" s="521"/>
      <c r="C257" s="58" t="s">
        <v>386</v>
      </c>
      <c r="D257" s="65"/>
      <c r="E257" s="162"/>
      <c r="F257" s="294" t="str">
        <f>IF(E257="","",ROUND(IF(AND(E257&gt;=36.3,E257&lt;=68),1,IF(E257&gt;100,0,IF(E257&lt;36.3,(('Reference Standards'!S$297*(E257^2))+('Reference Standards'!S$298*E257)+'Reference Standards'!S$299),IF(E257&gt;68,(('Reference Standards'!T$297*(E257^2))+('Reference Standards'!T$298*E257)+'Reference Standards'!T$299))))),2))</f>
        <v/>
      </c>
      <c r="G257" s="554"/>
      <c r="H257" s="567"/>
      <c r="I257" s="555"/>
      <c r="J257" s="555"/>
      <c r="K257" s="555"/>
    </row>
    <row r="258" spans="1:12" ht="15.6" x14ac:dyDescent="0.3">
      <c r="A258" s="520"/>
      <c r="B258" s="56" t="s">
        <v>108</v>
      </c>
      <c r="C258" s="72" t="s">
        <v>130</v>
      </c>
      <c r="D258" s="58"/>
      <c r="E258" s="43"/>
      <c r="F258" s="82" t="str">
        <f>IF(E258="","",IF(OR('Quantification Tool R1'!B$14="Gravel",'Quantification Tool R1'!B$14="Cobble"),IF(E258&gt;0.1,1,IF(E258&lt;=0.01,0,ROUND(E258*'Reference Standards'!$S$362+'Reference Standards'!$S$363,2)))))</f>
        <v/>
      </c>
      <c r="G258" s="82" t="str">
        <f>IFERROR(AVERAGE(F258),"")</f>
        <v/>
      </c>
      <c r="H258" s="567"/>
      <c r="I258" s="555"/>
      <c r="J258" s="555"/>
      <c r="K258" s="555"/>
    </row>
    <row r="259" spans="1:12" ht="15.6" x14ac:dyDescent="0.3">
      <c r="A259" s="520"/>
      <c r="B259" s="526" t="s">
        <v>51</v>
      </c>
      <c r="C259" s="64" t="s">
        <v>52</v>
      </c>
      <c r="D259" s="64"/>
      <c r="E259" s="166"/>
      <c r="F259" s="337" t="str">
        <f>IF(E259="","", IF(ISNUMBER('Quantification Tool R1'!$B$17), IF('Quantification Tool R1'!$B$17&lt;=2,   IF(AND(E259&gt;=3,E259&lt;=5),1, IF(OR(E259&lt;=1,E259&gt;=7), 0, ROUND( IF(E259&lt;3, E259*'Reference Standards'!S$398+'Reference Standards'!S$399,E259*'Reference Standards'!T$398+'Reference Standards'!T$399),2) ) ),   IF(E259&lt;=2.5,1, IF(E259&gt;=5.8,0, ROUND(E259*'Reference Standards'!S$430+'Reference Standards'!S$431,2))))   ))</f>
        <v/>
      </c>
      <c r="G259" s="528" t="str">
        <f>IFERROR(AVERAGE(F259:F262),"")</f>
        <v/>
      </c>
      <c r="H259" s="567"/>
      <c r="I259" s="555"/>
      <c r="J259" s="555"/>
      <c r="K259" s="555"/>
    </row>
    <row r="260" spans="1:12" ht="15.6" x14ac:dyDescent="0.3">
      <c r="A260" s="520"/>
      <c r="B260" s="520"/>
      <c r="C260" s="58" t="s">
        <v>53</v>
      </c>
      <c r="D260" s="58"/>
      <c r="E260" s="165"/>
      <c r="F260" s="84" t="str">
        <f>IF(E260="","", IF( E260&gt;=2.4,1, IF(E260&lt;=1,0,  ROUND(IF(E260&lt;2.4, E260*'Reference Standards'!$S$464+'Reference Standards'!$S$465  ),2))))</f>
        <v/>
      </c>
      <c r="G260" s="529"/>
      <c r="H260" s="567"/>
      <c r="I260" s="555"/>
      <c r="J260" s="555"/>
      <c r="K260" s="555"/>
    </row>
    <row r="261" spans="1:12" ht="15.6" x14ac:dyDescent="0.3">
      <c r="A261" s="520"/>
      <c r="B261" s="520"/>
      <c r="C261" s="58" t="s">
        <v>334</v>
      </c>
      <c r="D261" s="58"/>
      <c r="E261" s="165"/>
      <c r="F261" s="390" t="str">
        <f>IF(E261="","", IF(LEFT('Quantification Tool R1'!$B$12,2)="67",  IF( AND(E261&gt;=45,E261&lt;=65),1, IF(OR(E261&lt;=20,E261&gt;=90),0, ROUND(  IF(E261&lt;45, E261*'Reference Standards'!$S$498+'Reference Standards'!$S$499,E261*'Reference Standards'!$T$498+'Reference Standards'!$T$499),2))), IF(OR(  LEFT('Quantification Tool R1'!$B$12,2)="68", LEFT('Quantification Tool R1'!$B$12,2)="69",LEFT('Quantification Tool R1'!$B$12,2)="71"),  IF( AND(E261&gt;=30,E261&lt;=50),1, IF(OR(E261&lt;=10,E261&gt;=70),0, ROUND(  IF(E261&lt;30, E261*'Reference Standards'!$S$533+'Reference Standards'!$S$534,E261*'Reference Standards'!$T$533+'Reference Standards'!$T$534),2))), IF(LEFT('Quantification Tool R1'!$B$12,2)="66",  IF( AND(E261&gt;=20,E261&lt;=45),1, IF(OR(E261&lt;=0,E261&gt;=90),0, ROUND(  IF(E261&lt;20, E261*'Reference Standards'!$S$567+'Reference Standards'!$S$568,E261*'Reference Standards'!$T$567+'Reference Standards'!$T$568),2))), IF(OR(  LEFT('Quantification Tool R1'!$B$12,2)="65", LEFT('Quantification Tool R1'!$B$12,2)="74", LEFT('Quantification Tool R1'!$B$12,2)="73"),  IF( AND(E261&gt;=20,E261&lt;=30),1, IF(OR(E261&lt;=0,E261&gt;=50),0, ROUND(  IF(E261&lt;20, E261*'Reference Standards'!$S$601+'Reference Standards'!$S$602,E261*'Reference Standards'!$T$601+'Reference Standards'!$T$602),2))))))))</f>
        <v/>
      </c>
      <c r="G261" s="529"/>
      <c r="H261" s="567"/>
      <c r="I261" s="555"/>
      <c r="J261" s="555"/>
      <c r="K261" s="555"/>
    </row>
    <row r="262" spans="1:12" ht="15.6" x14ac:dyDescent="0.3">
      <c r="A262" s="520"/>
      <c r="B262" s="521"/>
      <c r="C262" s="62" t="s">
        <v>210</v>
      </c>
      <c r="D262" s="58"/>
      <c r="E262" s="167"/>
      <c r="F262" s="391" t="str">
        <f>IF(E262="","",IF(E262&gt;=1.6,0,IF(E262&lt;=1,1,ROUND('Reference Standards'!$S$633*E262^3+'Reference Standards'!$S$634*E262^2+'Reference Standards'!$S$635*E262+'Reference Standards'!$S$636,2))))</f>
        <v/>
      </c>
      <c r="G262" s="530"/>
      <c r="H262" s="567"/>
      <c r="I262" s="555"/>
      <c r="J262" s="555"/>
      <c r="K262" s="555"/>
    </row>
    <row r="263" spans="1:12" ht="15.6" x14ac:dyDescent="0.3">
      <c r="A263" s="521"/>
      <c r="B263" s="309" t="s">
        <v>55</v>
      </c>
      <c r="C263" s="242" t="s">
        <v>54</v>
      </c>
      <c r="D263" s="243"/>
      <c r="E263" s="163"/>
      <c r="F263" s="342" t="str">
        <f>IF(E263="","",IF(AND('Quantification Tool R1'!B$11="E",'Quantification Tool R1'!$B$14="Sand",'Quantification Tool R1'!$B$21="Unconfined Alluvial"),ROUND(IF(OR(E263&gt;1.8,E263&lt;1.3),0,IF(E263&lt;=1.6,1,E263*'Reference Standards'!S$667+'Reference Standards'!S$668)),2),    IF('Quantification Tool R1'!$B$21="Unconfined Alluvial",ROUND(IF(OR(E263&lt;1.2, E263&gt;1.5),0,IF(E263&lt;=1.4,1,E263*'Reference Standards'!$S$700+'Reference Standards'!$S$701)),2), IF('Quantification Tool R1'!$B$21="Confined Alluvial",ROUND(IF(E263&lt;1.15,0,IF(E263&lt;=1.4,E263*'Reference Standards'!$S$729+'Reference Standards'!$S$730,1)),2),  IF('Quantification Tool R1'!$B$21="Colluvial",ROUND(IF(E263&gt;1.3,0,IF(E263&gt;1.2,E263*'Reference Standards'!$S$760+'Reference Standards'!$S$761,1)),2) )))))</f>
        <v/>
      </c>
      <c r="G263" s="84" t="str">
        <f>IFERROR(AVERAGE(F263),"")</f>
        <v/>
      </c>
      <c r="H263" s="567"/>
      <c r="I263" s="555"/>
      <c r="J263" s="555"/>
      <c r="K263" s="555"/>
      <c r="L263" s="13"/>
    </row>
    <row r="264" spans="1:12" ht="15.6" x14ac:dyDescent="0.3">
      <c r="A264" s="537" t="s">
        <v>58</v>
      </c>
      <c r="B264" s="67" t="s">
        <v>88</v>
      </c>
      <c r="C264" s="70" t="s">
        <v>338</v>
      </c>
      <c r="D264" s="70"/>
      <c r="E264" s="43"/>
      <c r="F264" s="343" t="str">
        <f>IF(E264="","",ROUND(IF(E264&gt;=942,0,IF(E264&lt;=487,E264*'Reference Standards'!AB$15+'Reference Standards'!AB$16,E264*'Reference Standards'!$AC$15+'Reference Standards'!$AC$16)),2))</f>
        <v/>
      </c>
      <c r="G264" s="85" t="str">
        <f>IFERROR(AVERAGE(F264),"")</f>
        <v/>
      </c>
      <c r="H264" s="547" t="str">
        <f>IFERROR(ROUND(AVERAGE(G264:G267),2),"")</f>
        <v/>
      </c>
      <c r="I264" s="534" t="str">
        <f>IF(H264="","",IF(H264&gt;0.69,"Functioning",IF(H264&gt;0.29,"Functioning At Risk",IF(H264&gt;-1,"Not Functioning"))))</f>
        <v/>
      </c>
      <c r="J264" s="555"/>
      <c r="K264" s="555"/>
      <c r="L264" s="13"/>
    </row>
    <row r="265" spans="1:12" ht="15.6" x14ac:dyDescent="0.3">
      <c r="A265" s="538"/>
      <c r="B265" s="306" t="s">
        <v>362</v>
      </c>
      <c r="C265" s="66" t="s">
        <v>354</v>
      </c>
      <c r="D265" s="66"/>
      <c r="E265" s="163"/>
      <c r="F265" s="344" t="str">
        <f>IF(E265="","",IF(OR('Quantification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June")),IF(E265&gt;93,0,IF(E265&lt;13,1,ROUND('Reference Standards'!$AB$53*E265^2+'Reference Standards'!$AB$54*E265+'Reference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R1'!$B$12="73b"),IF(E265&gt;94,0,IF(E265&lt;17,1,ROUND('Reference Standards'!$AC$53*E265^2+'Reference Standards'!$AC$54*E265+'Reference Standards'!$AC$55,2))),    IF(OR(AND(OR('Quantification Tool R1'!$B$12="68b",'Quantification Tool R1'!$B$12="71i"),'Quantification Tool R1'!$B$13&gt;2), 'Quantification Tool R1'!$B$12="71e"),IF(E265&gt;91,0,IF(E265&lt;24,1,ROUND('Reference Standards'!$AD$53*E265^2+'Reference Standards'!$AD$54*E265+'Reference Standards'!$AD$55,2))),  IF(OR(AND(OR('Quantification Tool R1'!$B$12="71f",'Quantification Tool R1'!$B$12="71g",'Quantification Tool R1'!$B$12="71h",'Quantification Tool R1'!$B$12="71i"),'Quantification Tool R1'!$B$13&lt;=2), AND('Quantification Tool R1'!$B$12="74a",'Quantification Tool R1'!$B$13&gt;2)),IF(E265&gt;95,0,IF(E265&lt;=36,1,ROUND('Reference Standards'!$AE$53*E265^2+'Reference Standards'!$AE$54*E265+'Reference Standards'!$AE$55,2))))))))</f>
        <v/>
      </c>
      <c r="G265" s="236" t="str">
        <f>IFERROR(AVERAGE(F265:F265),"")</f>
        <v/>
      </c>
      <c r="H265" s="548"/>
      <c r="I265" s="535"/>
      <c r="J265" s="555"/>
      <c r="K265" s="555"/>
      <c r="L265" s="21"/>
    </row>
    <row r="266" spans="1:12" ht="15.6" x14ac:dyDescent="0.3">
      <c r="A266" s="538"/>
      <c r="B266" s="67" t="s">
        <v>81</v>
      </c>
      <c r="C266" s="68" t="s">
        <v>281</v>
      </c>
      <c r="D266" s="68"/>
      <c r="E266" s="162"/>
      <c r="F266" s="344" t="str">
        <f>IF(E266="","",IF(ISNUMBER('Quantification Tool R1'!$B$13), IF(OR('Quantification Tool R1'!$B$12="66e",'Quantification Tool R1'!$B$12="66f",'Quantification Tool R1'!$B$12="66g"), ROUND(IF(E266&gt;=0.61,0,IF(E266&lt;=0.01,1,IF(E266&lt;=0.06,E266*'Reference Standards'!$AD$197+'Reference Standards'!$AD$198,E266^2*'Reference Standards'!$AB$196+E266*'Reference Standards'!$AB$197+'Reference Standards'!$AB$198))),2),  IF('Quantification Tool R1'!$B$12="68b", ROUND(IF(E266&gt;=1.1,0,IF(E266&lt;=0.17,1,IF(E266&lt;=0.22,E266*'Reference Standards'!$AE$197+'Reference Standards'!$AE$198,E266^2*'Reference Standards'!$AC$196+E266*'Reference Standards'!$AC$197+'Reference Standards'!$AC$198))),2),IF('Quantification Tool R1'!$B$13&lt;=2.5,   IF('Quantification Tool R1'!$B$12="69de",ROUND(IF(E266&gt;=0.22,0,IF(E266&lt;=0.01,1,E266^2*'Reference Standards'!$AB$90+E266*'Reference Standards'!$AB$91+'Reference Standards'!$AB$92)),2),   IF('Quantification Tool R1'!$B$12="68c",ROUND(IF(E266&gt;=0.87,0,IF(E266&lt;=0.01,1,E266^2*'Reference Standards'!$AC$90+E266*'Reference Standards'!$AC$91+'Reference Standards'!$AC$92)),2),   IF('Quantification Tool R1'!$B$12="68a",ROUND(IF(E266&gt;=0.81,0,IF(E266&lt;=0.01,1,E266^2*'Reference Standards'!$AD$90+E266*'Reference Standards'!$AD$91+'Reference Standards'!$AD$92)),2),   IF('Quantification Tool R1'!$B$12="65abei",ROUND(IF(E266&gt;=0.67,0,IF(E266&lt;=0.01,1,IF(E266&lt;=0.18,E266*'Reference Standards'!$AG$91+'Reference Standards'!$AG$92,E266*'Reference Standards'!$AE$91+'Reference Standards'!$AE$92))),2),   IF('Quantification Tool R1'!$B$12="65j",ROUND(IF(E266&gt;=0.32,0,IF(E266&lt;=0.01,1,IF(E266&lt;=0.25,E266*'Reference Standards'!$AH$91+'Reference Standards'!$AH$92,E266*'Reference Standards'!$AF$91+'Reference Standards'!$AF$92))),2),   IF('Quantification Tool R1'!$B$12="71f",ROUND(IF(E266&gt;=3,0,IF(E266&lt;=0,1,IF(E266&lt;=0.01,0.7,E266^2*'Reference Standards'!$AB$126+E266*'Reference Standards'!$AB$127+'Reference Standards'!$AB$128))),2),   IF('Quantification Tool R1'!$B$12="74a",ROUND(IF(E266&gt;=0.14,0,IF(E266&lt;=0.01,1,IF(E266&lt;=0.02,0.7,E266^2*'Reference Standards'!$AC$126+E266*'Reference Standards'!$AC$127+'Reference Standards'!$AC$128))),2),   IF(OR('Quantification Tool R1'!$B$12="67fhi",'Quantification Tool R1'!$B$12="67g"),ROUND(IF(E266&gt;=1.9,0,IF(E266&lt;=0.01,1,IF(E266&lt;=0.05,E266*'Reference Standards'!$AF$127+'Reference Standards'!$AF$128,E266^2*'Reference Standards'!$AD$126+E266*'Reference Standards'!$AD$127+'Reference Standards'!$AD$128))),2),   IF('Quantification Tool R1'!$B$12="73a",ROUND(IF(E266&gt;=1.44,0,IF(E266&lt;=0.01,1,IF(E266&lt;=0.12,E266*'Reference Standards'!$AG$127+'Reference Standards'!$AG$128,E266^2*'Reference Standards'!$AE$126+E266*'Reference Standards'!$AE$127+'Reference Standards'!$AE$128))),2),   IF('Quantification Tool R1'!$B$12="66d",ROUND(IF(E266&gt;=0.46,0,IF(E266&lt;=0.02,1,IF(E266&lt;=0.08,E266*'Reference Standards'!$AF$163+'Reference Standards'!$AF$164,E266^2*'Reference Standards'!$AB$162+E266*'Reference Standards'!$AB$163+'Reference Standards'!$AB$164))),2),   IF(OR('Quantification Tool R1'!$B$12="71g",'Quantification Tool R1'!$B$12="71h",'Quantification Tool R1'!$B$12="71i"),ROUND(IF(E266&gt;=3,0,IF(E266&lt;=0.06,1,IF(E266&lt;=0.24,E266*'Reference Standards'!$AG$163+'Reference Standards'!$AG$164, E266^2*'Reference Standards'!$AC$162+E266*'Reference Standards'!$AC$163+'Reference Standards'!$AC$164))),2),   IF('Quantification Tool R1'!$B$12="74b",ROUND(IF(E266&gt;=1.3,0,IF(E266&lt;=0.29,1,IF(E266&lt;=0.48,E266*'Reference Standards'!$AH$163+'Reference Standards'!$AH$164,E266^2*'Reference Standards'!$AD$162+E266*'Reference Standards'!$AD$163+'Reference Standards'!$AD$164))),2),   IF('Quantification Tool R1'!$B$12="71e",ROUND(IF(E266&gt;=4.3,0,IF(E266&lt;=0.53,1,IF(E266&lt;=0.67,E266*'Reference Standards'!$AI$163+'Reference Standards'!$AI$164,E266^2*'Reference Standards'!$AE$162+E266*'Reference Standards'!$AE$163+'Reference Standards'!$AE$164))),2)       ))))))))))))),IF('Quantification Tool R1'!$B$13&gt;2.5,    IF('Quantification Tool R1'!$B$12="73a",ROUND(IF(E266&gt;=0.55,0,IF(E266&lt;=0,1,E266^2*'Reference Standards'!$AB$232+E266*'Reference Standards'!$AB$233+'Reference Standards'!$AB$234)),2),   IF('Quantification Tool R1'!$B$12="68a",ROUND(IF(E266&gt;=0.54,0,IF(E266&lt;=0,1, IF(E266&lt;=0.01,0.85, E266^2*'Reference Standards'!$AC$232+E266*'Reference Standards'!$AC$233+'Reference Standards'!$AC$234))),2),   IF('Quantification Tool R1'!$B$12="74a",ROUND(IF(E266&gt;=0.47,0,IF(E266&lt;=0.01,1, IF(E266&lt;=0.02,0.7, E266^2*'Reference Standards'!$AD$232+E266*'Reference Standards'!$AD$233+'Reference Standards'!$AD$234))),2),    IF('Quantification Tool R1'!$B$12="69de",ROUND(IF(E266&gt;=0.26,0,IF(E266&lt;=0.01,1, IF(E266&lt;=0.02,0.85, E266^2*'Reference Standards'!$AE$232+E266*'Reference Standards'!$AE$233+'Reference Standards'!$AE$234))),2),   IF('Quantification Tool R1'!$B$12="71f",ROUND(IF(E266&gt;=0.87,0,IF(E266&lt;=0.01,1,IF(E266&lt;=0.04,E266*'Reference Standards'!$AF$269+'Reference Standards'!$AF$270,E266^2*'Reference Standards'!$AB$268+E266*'Reference Standards'!$AB$269+'Reference Standards'!$AB$270))),2),  IF('Quantification Tool R1'!$B$12="65abei",ROUND(IF(E266&gt;=0.82,0,IF(E266&lt;=0.01,1,IF(E266&lt;=0.06,E266*'Reference Standards'!$AG$269+'Reference Standards'!$AG$270,E266^2*'Reference Standards'!$AC$268+E266*'Reference Standards'!$AC$269+'Reference Standards'!$AC$270))),2),  IF('Quantification Tool R1'!$B$12="65j",ROUND(IF(E266&gt;=0.33,0,IF(E266&lt;=0.03,1,IF(E266&lt;=0.09,E266*'Reference Standards'!$AH$269+'Reference Standards'!$AH$270,E266^2*'Reference Standards'!$AD$268+E266*'Reference Standards'!$AD$269+'Reference Standards'!$AD$270))),2),  IF('Quantification Tool R1'!$B$12="68c",ROUND(IF(E266&gt;=0.7,0,IF(E266&lt;=0.07,1,IF(E266&lt;=0.12,E266*'Reference Standards'!$AI$269+'Reference Standards'!$AI$270,E266^2*'Reference Standards'!$AE$268+E266*'Reference Standards'!$AE$269+'Reference Standards'!$AE$270))),2),   IF(OR('Quantification Tool R1'!$B$12="67fhi",'Quantification Tool R1'!$B$12="67g"),ROUND(IF(E266&gt;=1.8,0,IF(E266&lt;=0.08,1,IF(E266&lt;=0.2,E266*'Reference Standards'!$AF$306+'Reference Standards'!$AF$307,E266^2*'Reference Standards'!$AB$305+E266*'Reference Standards'!$AB$306+'Reference Standards'!$AB$307))),2),   IF('Quantification Tool R1'!$B$12="74b",ROUND(IF(E266&gt;=0.96,0,IF(E266&lt;=0.12,1,IF(E266&lt;=0.16,E266*'Reference Standards'!$AG$306+'Reference Standards'!$AG$307,E266^2*'Reference Standards'!$AC$305+E266*'Reference Standards'!$AC$306+'Reference Standards'!$AC$307))),2),   IF('Quantification Tool R1'!$B$12="66d",ROUND(IF(E266&gt;=0.75,0,IF(E266&lt;=0.13,1,IF(E266&lt;=0.2,E266*'Reference Standards'!$AH$306+'Reference Standards'!$AH$307,E266^2*'Reference Standards'!$AD$305+E266*'Reference Standards'!$AD$306+'Reference Standards'!$AD$307))),2),    IF(OR('Quantification Tool R1'!$B$12="71g",'Quantification Tool R1'!$B$12="71h",'Quantification Tool R1'!$B$12="71i"),ROUND(IF(E266&gt;=1.68,0,IF(E266&lt;=0.08,1,IF(E266&lt;=0.23,E266*'Reference Standards'!$AI$306+'Reference Standards'!$AI$307,E266^2*'Reference Standards'!$AE$305+E266*'Reference Standards'!$AE$306+'Reference Standards'!$AE$307))),2),   IF('Quantification Tool R1'!$B$12="71e",ROUND(IF(E266&gt;=5.3,0,IF(E266&lt;=0.94,1,IF(E266&lt;=1.4,E266*'Reference Standards'!$AF$310+'Reference Standards'!$AF$311,E266^2*'Reference Standards'!$AB$309+E266*'Reference Standards'!$AB$310+'Reference Standards'!$AB$311))),2))    ))))))))))))))))))</f>
        <v/>
      </c>
      <c r="G266" s="86" t="str">
        <f>IFERROR(AVERAGE(F266),"")</f>
        <v/>
      </c>
      <c r="H266" s="548"/>
      <c r="I266" s="535"/>
      <c r="J266" s="555"/>
      <c r="K266" s="555"/>
      <c r="L266" s="21"/>
    </row>
    <row r="267" spans="1:12" ht="15.6" x14ac:dyDescent="0.3">
      <c r="A267" s="539"/>
      <c r="B267" s="307" t="s">
        <v>82</v>
      </c>
      <c r="C267" s="66" t="s">
        <v>280</v>
      </c>
      <c r="D267" s="66"/>
      <c r="E267" s="136"/>
      <c r="F267" s="343" t="str">
        <f>IF(E267="","", IF(ISNUMBER('Quantification Tool R1'!$B$13),IF('Quantification Tool R1'!$B$13&gt;2.5,IF(OR('Quantification Tool R1'!$B$12="71h",'Quantification Tool R1'!$B$12="71i",'Quantification Tool R1'!$B$12="73a",'Quantification Tool R1'!$B$12="74a"),IF(E267&lt;=0.01,1,IF(OR('Quantification Tool R1'!$B$12="71h",'Quantification Tool R1'!$B$12="71i"),IF(E267&gt;0.37,0,ROUND(IF(E267&gt;0.03,'Reference Standards'!$AB$425*E267^2+'Reference Standards'!$AB$426*E267+'Reference Standards'!$AB$427,'Reference Standards'!$AF$426*E267+'Reference Standards'!$AF$427),2)),  IF('Quantification Tool R1'!$B$12="73a",IF(E267&gt;0.405,0,ROUND(IF(E267&gt;0.046,'Reference Standards'!$AC$425*E267^2+'Reference Standards'!$AC$426*E267+'Reference Standards'!$AC$427,'Reference Standards'!$AG$426*E267+'Reference Standards'!$AG$427),2)),IF('Quantification Tool R1'!$B$12="74a",IF(E267&gt;0.3,0,ROUND(IF(E267&gt;0.052,'Reference Standards'!$AD$425*E267^2+'Reference Standards'!$AD$426*E267+'Reference Standards'!$AD$427,'Reference Standards'!$AH$426*E267+'Reference Standards'!$AH$427),2)))))),   IF(E267&lt;=0.002,1,IF(OR('Quantification Tool R1'!$B$12="66d",'Quantification Tool R1'!$B$12="66e",'Quantification Tool R1'!$B$12="66g"),IF(E267&gt;0.053,0,ROUND(E267^2*'Reference Standards'!$AB$347+E267*'Reference Standards'!$AB$348+'Reference Standards'!$AB$349,2)), IF('Quantification Tool R1'!$B$12="68b",IF(E267&gt;0.05,0,ROUND(E267^2*'Reference Standards'!$AC$347+E267*'Reference Standards'!$AC$348+'Reference Standards'!$AC$349,2)),  IF(OR('Quantification Tool R1'!$B$12="68a",'Quantification Tool R1'!$B$12="68c"),IF(E267&gt;0.07,0,ROUND(E267^2*'Reference Standards'!$AD$347+E267*'Reference Standards'!$AD$348+'Reference Standards'!$AD$349,2)), IF(OR('Quantification Tool R1'!$B$12="71f",'Quantification Tool R1'!$B$12="71g"),IF(E267&gt;0.13,0,ROUND(IF(E267&gt;0.042,E267*'Reference Standards'!$AE$348+'Reference Standards'!$AE$349,E267*'Reference Standards'!$AF$348+'Reference Standards'!$AF$349),2)), IF('Quantification Tool R1'!$B$12="67fhi",IF(E267&gt;0.16,0,ROUND(E267^2*'Reference Standards'!$AG$347+E267*'Reference Standards'!$AG$348+'Reference Standards'!$AG$349,2)),  IF('Quantification Tool R1'!$B$12="65j",IF(E267&gt;0.035,0,ROUND(IF(E267&lt;=0.003,0.7,E267^2*'Reference Standards'!$AB$387+E267*'Reference Standards'!$AB$388+'Reference Standards'!$AB$389),2)),IF('Quantification Tool R1'!$B$12="69de",IF(E267&gt;0.037,0,ROUND(IF(E267&lt;=0.003,0.7,E267^2*'Reference Standards'!$AC$387+E267*'Reference Standards'!$AC$388+'Reference Standards'!$AC$389),2)),IF('Quantification Tool R1'!$B$12="71e",IF(E267&gt;0.23,0,ROUND(IF(E267&lt;=0.003,0.7,E267^2*'Reference Standards'!$AD$387+E267*'Reference Standards'!$AD$388+'Reference Standards'!$AD$389),2)),IF('Quantification Tool R1'!$B$12="66f",IF(E267&gt;0.06,0,ROUND(IF(E267&lt;=0.003,0.85,IF(E267&lt;=0.004,0.7,E267^2*'Reference Standards'!$AE$387+E267*'Reference Standards'!$AE$388+'Reference Standards'!$AE$389)),2)),IF('Quantification Tool R1'!$B$12="67g",IF(E267&gt;0.11,0,ROUND(IF(E267&lt;=0.01,E267*'Reference Standards'!$AH$388+'Reference Standards'!$AH$389, E267^2*'Reference Standards'!$AF$387+E267*'Reference Standards'!$AF$388+'Reference Standards'!$AF$389),2)),IF('Quantification Tool R1'!$B$12="74b",IF(E267&gt;0.49,0,ROUND(IF(E267&lt;=0.01,E267*'Reference Standards'!$AH$388+'Reference Standards'!$AH$389, E267^2*'Reference Standards'!$AG$387+E267*'Reference Standards'!$AG$388+'Reference Standards'!$AG$389),2)),IF('Quantification Tool R1'!$B$12="65abei",IF(E267&gt;0.199,0,ROUND(IF(E267&lt;=0.01,E267*'Reference Standards'!$AI$426+'Reference Standards'!$AI$427, E267^2*'Reference Standards'!$AE$425+E267*'Reference Standards'!$AE$426+'Reference Standards'!$AE$427),2))    )))))))))))))),      IF('Quantification Tool R1'!$B$13&lt;=2.5, IF(OR('Quantification Tool R1'!$B$12="66d",'Quantification Tool R1'!$B$12="66e",'Quantification Tool R1'!$B$12="66g"),IF(E267&gt;0.05,0,ROUND(IF(E267&lt;=0.002,1,IF(E267&lt;=0.005,E267*'Reference Standards'!$AF$464+'Reference Standards'!$AF$465, E267^2*'Reference Standards'!$AB$463+E267*'Reference Standards'!$AB$464+'Reference Standards'!$AB$465)),2)), IF('Quantification Tool R1'!$B$12="67fhi",IF(E267&gt;0.1,0,ROUND(IF(E267&lt;=0.002,1,IF(E267&lt;=0.006,E267*'Reference Standards'!$AG$464+'Reference Standards'!$AG$465, E267^2*'Reference Standards'!$AC$463+E267*'Reference Standards'!$AC$464+'Reference Standards'!$AC$465)),2)), IF('Quantification Tool R1'!$B$12="65abei",IF(E267&gt;0.13,0,ROUND(IF(E267&lt;=0.003,1,IF(E267&lt;=0.008,E267*'Reference Standards'!$AH$464+'Reference Standards'!$AH$465, E267^2*'Reference Standards'!$AD$463+E267*'Reference Standards'!$AD$464+'Reference Standards'!$AD$465)),2)), IF('Quantification Tool R1'!$B$12="68b",IF(E267&gt;0.043,0,ROUND(IF(E267&lt;=0.004,1, IF(E267&lt;=0.005,0.7, E267^2*'Reference Standards'!$AE$463+E267*'Reference Standards'!$AE$464+'Reference Standards'!$AE$465)),2)), IF('Quantification Tool R1'!$B$12="69de",IF(E267&gt;=0.034,0,ROUND(IF(E267&lt;=0.003,1, IF(E267&lt;=0.006,E267*'Reference Standards'!$AG$500+'Reference Standards'!$AG$501, E267*'Reference Standards'!$AB$500+'Reference Standards'!$AB$501)),2)), IF(OR('Quantification Tool R1'!$B$12="68a",'Quantification Tool R1'!$B$12="68c"),IF(E267&gt;0.202,0,ROUND(IF(E267&lt;=0.003,1, IF(E267&lt;=0.006,E267*'Reference Standards'!$AG$500+'Reference Standards'!$AG$501, IF(E267&gt;=0.04,E267*'Reference Standards'!$AC$500+'Reference Standards'!$AC$501,E267*'Reference Standards'!$AE$500+'Reference Standards'!$AE$501))),2)), IF(OR('Quantification Tool R1'!$B$12="71f",'Quantification Tool R1'!$B$12="71g"),IF(E267&gt;0.631,0,ROUND(IF(E267&lt;=0.003,1, IF(E267&lt;=0.006,E267*'Reference Standards'!$AG$500+'Reference Standards'!$AG$501, IF(E267&gt;=0.17,E267*'Reference Standards'!$AD$500+'Reference Standards'!$AD$501,E267*'Reference Standards'!$AF$500+'Reference Standards'!$AF$501))),2)),   IF('Quantification Tool R1'!$B$12="71e",IF(E267&gt;1.23,0,ROUND(IF(E267&lt;=0.004,1,IF(E267&lt;=0.006,E267*'Reference Standards'!$AF$538+'Reference Standards'!$AF$539, E267^2*'Reference Standards'!$AB$537+E267*'Reference Standards'!$AB$538+'Reference Standards'!$AB$539)),2)), IF('Quantification Tool R1'!$B$12="67g",IF(E267&gt;0.11,0,ROUND(IF(E267&lt;=0.006,1,IF(E267&lt;=0.011,E267*'Reference Standards'!$AG$538+'Reference Standards'!$AG$539, E267^2*'Reference Standards'!$AC$537+E267*'Reference Standards'!$AC$538+'Reference Standards'!$AC$539)),2)), IF('Quantification Tool R1'!$B$12="65j",IF(E267&gt;0.046,0,ROUND(IF(E267&lt;=0.007,1,IF(E267&lt;=0.012,E267*'Reference Standards'!$AH$538+'Reference Standards'!$AH$539, E267^2*'Reference Standards'!$AD$537+E267*'Reference Standards'!$AD$538+'Reference Standards'!$AD$539)),2)), IF('Quantification Tool R1'!$B$12="66f",IF(E267&gt;0.081,0,ROUND(IF(E267&lt;=0.008,1,IF(E267&lt;=0.011,E267*'Reference Standards'!$AI$538+'Reference Standards'!$AI$539, E267^2*'Reference Standards'!$AE$537+E267*'Reference Standards'!$AE$538+'Reference Standards'!$AE$539)),2)), IF(OR('Quantification Tool R1'!$B$12="71h",'Quantification Tool R1'!$B$12="71i"),IF(E267&gt;0.37,0,ROUND(IF(E267&lt;=0.013,1,IF(E267&lt;=0.032,E267*'Reference Standards'!$AH$576+'Reference Standards'!$AH$577, IF(E267&lt;=0.3,E267*'Reference Standards'!$AF$576+'Reference Standards'!$AF$577,E267*'Reference Standards'!$AB$576+'Reference Standards'!$AB$577))),2)), IF('Quantification Tool R1'!$B$12="73a",IF(E267&gt;0.448,0,ROUND(IF(E267&lt;=0.071,1,IF(E267&lt;=0.086,E267*'Reference Standards'!$AJ$576+'Reference Standards'!$AJ$577, IF(E267&lt;=0.165,E267*'Reference Standards'!$AG$576+'Reference Standards'!$AG$577,E267*'Reference Standards'!$AE$576+'Reference Standards'!$AE$577))),2)),  IF('Quantification Tool R1'!$B$12="74b",IF(E267&gt;0.43,0,ROUND(IF(E267&lt;=0.018,1,IF(E267&lt;=0.019,0.85, IF(E267&lt;=0.02,0.7, E267^2*'Reference Standards'!$AC$575+E267*'Reference Standards'!$AC$576+'Reference Standards'!$AC$577))),2)), IF('Quantification Tool R1'!$B$12="74a",IF(E267&gt;0.217,0,ROUND(IF(E267&lt;=0.02,1,IF(E267&lt;=0.033,E267*'Reference Standards'!$AI$576+'Reference Standards'!$AI$577, E267^2*'Reference Standards'!$AD$575+E267*'Reference Standards'!$AD$576+'Reference Standards'!$AD$577)),2))     )))))))))))))))))))</f>
        <v/>
      </c>
      <c r="G267" s="87" t="str">
        <f>IFERROR(AVERAGE(F267),"")</f>
        <v/>
      </c>
      <c r="H267" s="549"/>
      <c r="I267" s="536"/>
      <c r="J267" s="555"/>
      <c r="K267" s="555"/>
      <c r="L267" s="21"/>
    </row>
    <row r="268" spans="1:12" ht="15.6" x14ac:dyDescent="0.3">
      <c r="A268" s="550" t="s">
        <v>59</v>
      </c>
      <c r="B268" s="560" t="s">
        <v>340</v>
      </c>
      <c r="C268" s="125" t="s">
        <v>331</v>
      </c>
      <c r="D268" s="126"/>
      <c r="E268" s="166"/>
      <c r="F268" s="345" t="str">
        <f>IF(E268="","",IF(OR('Quantification Tool R1'!B$12="73a",'Quantification Tool R1'!B$12="73b"),IF(E268&lt;1,0,IF(E268&gt;=30,1,ROUND(IF(E268&lt;22,'Reference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531" t="str">
        <f>IFERROR(AVERAGE(F268:F271),"")</f>
        <v/>
      </c>
      <c r="H268" s="568" t="str">
        <f>IFERROR(ROUND(AVERAGE(G268:G273),2),"")</f>
        <v/>
      </c>
      <c r="I268" s="519" t="str">
        <f>IF(H268="","",IF(H268&gt;0.69,"Functioning",IF(H268&gt;0.29,"Functioning At Risk",IF(H268&gt;-1,"Not Functioning"))))</f>
        <v/>
      </c>
      <c r="J268" s="555"/>
      <c r="K268" s="555"/>
      <c r="L268" s="21"/>
    </row>
    <row r="269" spans="1:12" ht="15.6" x14ac:dyDescent="0.3">
      <c r="A269" s="556"/>
      <c r="B269" s="561"/>
      <c r="C269" s="174" t="s">
        <v>335</v>
      </c>
      <c r="D269" s="175"/>
      <c r="E269" s="165"/>
      <c r="F269" s="346" t="str">
        <f>IF(E269="","",IF(AND('Quantification Tool R1'!$B$12="74b",'Quantification Tool R1'!$B$13&lt;=2),IF(E269&lt;0,0,IF(E269&gt;15.6,0.69,ROUND('Reference Standards'!$AL$54*E269^2+'Reference Standards'!$AL$55*E269+'Reference Standards'!$AL$56,2))),IF(AND('Quantification Tool R1'!$B$12="65abei",'Quantification Tool R1'!$B$13&lt;=2),IF(E269&lt;0,0,IF(E269&gt;=20,0.69,ROUND('Reference Standards'!$AM$54*E269^2+'Reference Standards'!$AM$55*E269+'Reference Standards'!$AM$56,2))),IF(OR(AND('Quantification Tool R1'!$B$12="74a",'Quantification Tool R1'!$B$13&gt;2,'Quantification Tool R1'!$B$19="January - June"),AND('Quantification Tool R1'!$B$12="71i",'Quantification Tool R1'!$B$13&gt;2,'Quantification Tool R1'!$B$20="SQBANK")),IF(E269&lt;0,0,IF(E269&gt;24.7,0.69,ROUND('Reference Standards'!$AN$54*E269^2+'Reference Standards'!$AN$55*E269+'Reference Standards'!$AN$56,2))),IF(OR('Quantification Tool R1'!$B$12="74b",'Quantification Tool R1'!$B$12="65abei"),IF(E269&lt;0,0,IF(E269&gt;32.7,0.69,ROUND('Reference Standards'!$AO$54*E269^2+'Reference Standards'!$AO$55*E269+'Reference Standards'!$AO$56,2))),IF(AND('Quantification Tool R1'!$B$12="68b",'Quantification Tool R1'!$B$13&gt;2),IF(E269&lt;0,0,IF(E269&gt;41.2,0.69,ROUND('Reference Standards'!$AP$54*E269^2+'Reference Standards'!$AP$55*E269+'Reference Standards'!$AP$56,2))),IF(OR(AND('Quantification Tool R1'!$B$12="71i",'Quantification Tool R1'!$B$13&lt;=2),AND(OR('Quantification Tool R1'!$B$12="68c",'Quantification Tool R1'!$B$12="68d"),'Quantification Tool R1'!$B$19="January - June")),IF(E269&lt;0,0,IF(E269&gt;49.2,0.69,ROUND('Reference Standards'!$AL$94*E269^2+'Reference Standards'!$AL$95*E269+'Reference Standards'!$AL$96,2))),IF(OR(AND('Quantification Tool R1'!$B$12="68a",'Quantification Tool R1'!$B$19="January - June"),AND(OR('Quantification Tool R1'!$B$12="68c",'Quantification Tool R1'!$B$12="68d"),'Quantification Tool R1'!$B$19="July - December")),IF(E269&lt;0,0,IF(E269&gt;53.4,0.69,ROUND('Reference Standards'!$AM$94*E269^2+'Reference Standards'!$AM$95*E269+'Reference Standards'!$AM$96,2))),IF(OR(AND('Quantification Tool R1'!$B$12="71i",'Quantification Tool R1'!$B$13&gt;2,'Quantification Tool R1'!$B$20="SQKICK"),AND(OR('Quantification Tool R1'!$B$12="67fhi",'Quantification Tool R1'!$B$12="67g"),'Quantification Tool R1'!$B$13&lt;=2),'Quantification Tool R1'!$B$12="65j"),IF(E269&lt;0,0,IF(E269&gt;57.8,0.69,ROUND('Reference Standards'!$AN$94*E269^2+'Reference Standards'!$AN$95*E269+'Reference Standards'!$AN$96,2))),IF(OR(AND('Quantification Tool R1'!$B$12="74a",'Quantification Tool R1'!$B$13&gt;2,'Quantification Tool R1'!$B$19="July - December"),AND(OR('Quantification Tool R1'!$B$12="67fhi",'Quantification Tool R1'!$B$12="67g"),'Quantification Tool R1'!$B$13&gt;2),'Quantification Tool R1'!$B$12="69de"),IF(E269&lt;0,0,IF(E269&gt;62.5,0.69,ROUND('Reference Standards'!$AO$94*E269^2+'Reference Standards'!$AO$95*E269+'Reference Standards'!$AO$96,2))),  IF(OR('Quantification Tool R1'!$B$12="66d",'Quantification Tool R1'!$B$12="66e",'Quantification Tool R1'!$B$12="66ik",'Quantification Tool R1'!$B$12="71e",'Quantification Tool R1'!$B$12="71f",'Quantification Tool R1'!$B$12="71g",'Quantification Tool R1'!$B$12="71h"),IF(E269&lt;0,0,IF(E269&gt;66.5,0.69,ROUND('Reference Standards'!$AP$94*E269^2+'Reference Standards'!$AP$95*E269+'Reference Standards'!$AP$96,2))),IF(OR('Quantification Tool R1'!$B$12="66f",'Quantification Tool R1'!$B$12="66g",'Quantification Tool R1'!$B$12="66j",AND('Quantification Tool R1'!$B$12="68a",'Quantification Tool R1'!$B$19="July - December")), IF(E269&lt;0,0,IF(E269&gt;69,0.69,ROUND('Reference Standards'!$AQ$94*E269^2+'Reference Standards'!$AQ$95*E269+'Reference Standards'!$AQ$96,2))))   )))))))))))</f>
        <v/>
      </c>
      <c r="G269" s="531"/>
      <c r="H269" s="568"/>
      <c r="I269" s="519"/>
      <c r="J269" s="555"/>
      <c r="K269" s="555"/>
      <c r="L269" s="21"/>
    </row>
    <row r="270" spans="1:12" ht="15.6" x14ac:dyDescent="0.3">
      <c r="A270" s="556"/>
      <c r="B270" s="561"/>
      <c r="C270" s="174" t="s">
        <v>339</v>
      </c>
      <c r="D270" s="175"/>
      <c r="E270" s="165"/>
      <c r="F270" s="346" t="str">
        <f>IF(E270="","",IF(AND('Quantification Tool R1'!$B$12="74b",'Quantification Tool R1'!$B$13&lt;=2),IF(E270&lt;0,0,IF(E270&gt;8.1,0.69,ROUND('Reference Standards'!$AL$131*E270^2+'Reference Standards'!$AL$132*E270+'Reference Standards'!$AL$133,2))),IF(OR('Quantification Tool R1'!$B$12="73a",'Quantification Tool R1'!$B$12="73b"),IF(E270&lt;0,0,IF(E270&gt;=28,0.69,ROUND('Reference Standards'!$AM$131*E270^2+'Reference Standards'!$AM$132*E270+'Reference Standards'!$AM$133,2))),IF(AND('Quantification Tool R1'!$B$12="74a",'Quantification Tool R1'!$B$13&gt;2,'Quantification Tool R1'!$B$19="January - June"),IF(E270&lt;0,0,IF(E270&gt;=32.5,0.69,ROUND('Reference Standards'!$AN$131*E270^2+'Reference Standards'!$AN$132*E270+'Reference Standards'!$AN$133,2))),IF(AND('Quantification Tool R1'!$B$12="71i",'Quantification Tool R1'!$B$13&gt;2,'Quantification Tool R1'!$B$20="SQBANK"),IF(E270&lt;0,0,IF(E270&gt;=37,0.69,ROUND('Reference Standards'!$AO$131*E270^2+'Reference Standards'!$AO$132*E270+'Reference Standards'!$AO$133,2))),IF(OR(AND(OR('Quantification Tool R1'!$B$12="65abei",'Quantification Tool R1'!$B$12="74b"),'Quantification Tool R1'!$B$13&gt;2),AND('Quantification Tool R1'!$B$12="71i",'Quantification Tool R1'!$B$13&gt;2,'Quantification Tool R1'!$B$20="SQKICK")),IF(E270&lt;0,0,IF(E270&gt;42.6,0.69,ROUND('Reference Standards'!$AP$131*E270^2+'Reference Standards'!$AP$132*E270+'Reference Standards'!$AP$133,2))),     IF(OR(AND('Quantification Tool R1'!$B$12="65abei",'Quantification Tool R1'!$B$13&lt;=2),AND(OR('Quantification Tool R1'!$B$12="68c",'Quantification Tool R1'!$B$12="68d"),'Quantification Tool R1'!$B$19="July - December"),'Quantification Tool R1'!$B$12="71e"),IF(E270&lt;0,0,IF(E270&gt;=48,0.69,ROUND('Reference Standards'!$AL$171*E270^2+'Reference Standards'!$AL$172*E270+'Reference Standards'!$AL$173,2))),IF(OR('Quantification Tool R1'!$B$12="65j",'Quantification Tool R1'!$B$12="67fhi",'Quantification Tool R1'!$B$12="67g",AND('Quantification Tool R1'!$B$12="74a",'Quantification Tool R1'!$B$19="July - December",'Quantification Tool R1'!$B$13&gt;2),AND('Quantification Tool R1'!$B$12="71i",'Quantification Tool R1'!$B$13&lt;=2)),IF(E270&lt;0,0,IF(E270&gt;=53,0.69,ROUND('Reference Standards'!$AM$171*E270^2+'Reference Standards'!$AM$172*E270+'Reference Standards'!$AM$173,2))),IF(OR(AND(OR('Quantification Tool R1'!$B$12="68b",'Quantification Tool R1'!$B$12="71f",'Quantification Tool R1'!$B$12="71g",'Quantification Tool R1'!$B$12="71h"),'Quantification Tool R1'!$B$13&gt;2),'Quantification Tool R1'!$B$12="68a"),IF(E270&lt;0,0,IF(E270&gt;=57,0.69,ROUND('Reference Standards'!$AN$171*E270^2+'Reference Standards'!$AN$172*E270+'Reference Standards'!$AN$173,2))),IF(OR('Quantification Tool R1'!$B$12="66f",'Quantification Tool R1'!$B$12="66g",'Quantification Tool R1'!$B$12="66j",AND(OR('Quantification Tool R1'!$B$12="71f",'Quantification Tool R1'!$B$12="71g",'Quantification Tool R1'!$B$12="71h"),'Quantification Tool R1'!$B$13&lt;=2)),IF(E270&lt;0,0,IF(E270&gt;=60,0.69,ROUND('Reference Standards'!$AO$171*E270^2+'Reference Standards'!$AO$172*E270+'Reference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December")),IF(E270&lt;0,0,IF(E270&gt;=67.5,0.69,ROUND('Reference Standards'!$AP$171*E270^2+'Reference Standards'!$AP$172*E270+'Reference Standards'!$AP$173,2))),IF(AND('Quantification Tool R1'!$B$12="69de",'Quantification Tool R1'!$B$19="January - June"), IF(E270&lt;0,0,IF(E270&gt;=72,0.69,ROUND('Reference Standards'!$AQ$171*E270^2+'Reference Standards'!$AQ$172*E270+'Reference Standards'!$AQ$173,2))))   )))))))))))</f>
        <v/>
      </c>
      <c r="G270" s="531"/>
      <c r="H270" s="568"/>
      <c r="I270" s="519"/>
      <c r="J270" s="555"/>
      <c r="K270" s="555"/>
      <c r="L270" s="21"/>
    </row>
    <row r="271" spans="1:12" ht="15.6" x14ac:dyDescent="0.3">
      <c r="A271" s="556"/>
      <c r="B271" s="562"/>
      <c r="C271" s="127" t="s">
        <v>336</v>
      </c>
      <c r="D271" s="71"/>
      <c r="E271" s="167"/>
      <c r="F271" s="346" t="str">
        <f>IF(E271="","",IF(OR('Quantification Tool R1'!$B$12="67fhi",'Quantification Tool R1'!$B$12="67g",'Quantification Tool R1'!$B$12="71e",'Quantification Tool R1'!$B$12="73a",'Quantification Tool R1'!$B$12="73b",AND(OR('Quantification Tool R1'!$B$12="71f",'Quantification Tool R1'!$B$12="71g",'Quantification Tool R1'!$B$12="71h"),'Quantification Tool R1'!$B$13&gt;2)),IF(E271&gt;100,0,IF(E271&lt;15,0.69,ROUND('Reference Standards'!$AL$208*E271^2+'Reference Standards'!$AL$209*E271+'Reference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),IF(E271&gt;100,0,IF(E271&lt;19,0.69,ROUND('Reference Standards'!$AM$208*E271^2+'Reference Standards'!$AM$209*E271+'Reference Standards'!$AM$210,2))),    IF(OR(AND('Quantification Tool R1'!$B$12="69de",'Quantification Tool R1'!$B$19="January - June"),AND('Quantification Tool R1'!$B$12="71i",'Quantification Tool R1'!$B$13&gt;2,'Quantification Tool R1'!$B$20="SQKICK" )),IF(E271&gt;100,0,IF(E271&lt;22,0.69,ROUND('Reference Standards'!$AN$208*E271^2+'Reference Standards'!$AN$209*E271+'Reference Standards'!$AN$210,2))),    IF(OR('Quantification Tool R1'!$B$12="65j",AND('Quantification Tool R1'!$B$12="68b",'Quantification Tool R1'!$B$13&gt;2)),IF(E271&gt;100,0,IF(E271&lt;24,0.69,ROUND('Reference Standards'!$AO$208*E271^2+'Reference Standards'!$AO$209*E271+'Reference Standards'!$AO$210,2))),    IF(AND(OR('Quantification Tool R1'!$B$12="65abei",'Quantification Tool R1'!$B$12="71f",'Quantification Tool R1'!$B$12="71g",'Quantification Tool R1'!$B$12="71h"),'Quantification Tool R1'!$B$13&lt;=2),IF(E271&gt;95,0,IF(E271&lt;33,0.69,ROUND('Reference Standards'!$AL$246*E271^2+'Reference Standards'!$AL$247*E271+'Reference Standards'!$AL$248,2))),   IF(AND(OR('Quantification Tool R1'!$B$12="65abei",'Quantification Tool R1'!$B$12="74b"),'Quantification Tool R1'!$B$13&gt;2),IF(E271&gt;97,0,IF(E271&lt;36,0.69,ROUND('Reference Standards'!$AM$246*E271^2+'Reference Standards'!$AM$247*E271+'Reference Standards'!$AM$248,2))),  IF(AND('Quantification Tool R1'!$B$12="74a",'Quantification Tool R1'!$B$19="January - June",'Quantification Tool R1'!$B$13&gt;2),IF(E271&gt;93,0,IF(E271&lt;52,0.69,ROUND('Reference Standards'!$AN$246*E271^2+'Reference Standards'!$AN$247*E271+'Reference Standards'!$AN$248,2))),   IF(AND('Quantification Tool R1'!$B$12="74b",'Quantification Tool R1'!$B$13&lt;=2),IF(E271&gt;97,0,IF(E271&lt;62,0.69,ROUND('Reference Standards'!$AO$246*E271^2+'Reference Standards'!$AO$247*E271+'Reference Standards'!$AO$248,2)))  )))))))))</f>
        <v/>
      </c>
      <c r="G271" s="531"/>
      <c r="H271" s="568"/>
      <c r="I271" s="519"/>
      <c r="J271" s="555"/>
      <c r="K271" s="555"/>
      <c r="L271" s="21"/>
    </row>
    <row r="272" spans="1:12" ht="15.6" x14ac:dyDescent="0.3">
      <c r="A272" s="556"/>
      <c r="B272" s="563" t="s">
        <v>74</v>
      </c>
      <c r="C272" s="125" t="s">
        <v>211</v>
      </c>
      <c r="D272" s="126"/>
      <c r="E272" s="166"/>
      <c r="F272" s="345" t="str">
        <f>IF(E272="","",IF(E272=1,0.15,IF(E272=3,0.5,IF(E272=5,0.85,0))))</f>
        <v/>
      </c>
      <c r="G272" s="564" t="str">
        <f>IFERROR(AVERAGE(F272:F273),"")</f>
        <v/>
      </c>
      <c r="H272" s="568"/>
      <c r="I272" s="519"/>
      <c r="J272" s="555"/>
      <c r="K272" s="555"/>
      <c r="L272" s="21"/>
    </row>
    <row r="273" spans="1:12" ht="15.6" x14ac:dyDescent="0.3">
      <c r="A273" s="551"/>
      <c r="B273" s="563"/>
      <c r="C273" s="127" t="s">
        <v>332</v>
      </c>
      <c r="D273" s="71"/>
      <c r="E273" s="167"/>
      <c r="F273" s="347" t="str">
        <f>IF(E273="","",IF(E273=1,0.15,IF(E273=3,0.5,IF(E273=5,0.85,0))))</f>
        <v/>
      </c>
      <c r="G273" s="565"/>
      <c r="H273" s="568"/>
      <c r="I273" s="519"/>
      <c r="J273" s="555"/>
      <c r="K273" s="555"/>
      <c r="L273" s="21"/>
    </row>
    <row r="274" spans="1:12" x14ac:dyDescent="0.3">
      <c r="L274" s="21"/>
    </row>
    <row r="275" spans="1:12" x14ac:dyDescent="0.3">
      <c r="L275" s="21"/>
    </row>
    <row r="276" spans="1:12" ht="21" x14ac:dyDescent="0.4">
      <c r="A276" s="148" t="s">
        <v>135</v>
      </c>
      <c r="B276" s="246"/>
      <c r="C276" s="249" t="s">
        <v>324</v>
      </c>
      <c r="D276" s="246"/>
      <c r="E276" s="247"/>
      <c r="F276" s="248"/>
      <c r="G276" s="544" t="s">
        <v>18</v>
      </c>
      <c r="H276" s="545"/>
      <c r="I276" s="545"/>
      <c r="J276" s="545"/>
      <c r="K276" s="546"/>
      <c r="L276" s="21"/>
    </row>
    <row r="277" spans="1:12" ht="15.6" x14ac:dyDescent="0.3">
      <c r="A277" s="158" t="s">
        <v>1</v>
      </c>
      <c r="B277" s="158" t="s">
        <v>2</v>
      </c>
      <c r="C277" s="542" t="s">
        <v>3</v>
      </c>
      <c r="D277" s="644"/>
      <c r="E277" s="158" t="s">
        <v>15</v>
      </c>
      <c r="F277" s="158" t="s">
        <v>16</v>
      </c>
      <c r="G277" s="158" t="s">
        <v>19</v>
      </c>
      <c r="H277" s="158" t="s">
        <v>20</v>
      </c>
      <c r="I277" s="314" t="s">
        <v>20</v>
      </c>
      <c r="J277" s="314" t="s">
        <v>21</v>
      </c>
      <c r="K277" s="315" t="s">
        <v>21</v>
      </c>
    </row>
    <row r="278" spans="1:12" ht="15.6" x14ac:dyDescent="0.3">
      <c r="A278" s="540" t="s">
        <v>60</v>
      </c>
      <c r="B278" s="308" t="s">
        <v>86</v>
      </c>
      <c r="C278" s="52" t="s">
        <v>388</v>
      </c>
      <c r="D278" s="52"/>
      <c r="E278" s="162"/>
      <c r="F278" s="338" t="str">
        <f>IF(E278="","",IF(E278&lt;=0,0,IF(E278&gt;=0.95,1,ROUND('Reference Standards'!C$14*E278+'Reference Standards'!C$15,2))))</f>
        <v/>
      </c>
      <c r="G278" s="83" t="str">
        <f>IFERROR(AVERAGE(F278),"")</f>
        <v/>
      </c>
      <c r="H278" s="522" t="str">
        <f>IFERROR(ROUND(AVERAGE(G278:G279),2),"")</f>
        <v/>
      </c>
      <c r="I278" s="519" t="str">
        <f>IF(H278="","",IF(H278&gt;0.69,"Functioning",IF(H278&gt;0.29,"Functioning At Risk",IF(H278&gt;-1,"Not Functioning"))))</f>
        <v/>
      </c>
      <c r="J278" s="555" t="str">
        <f>IF(AND(H278="",H280="",H282="",H304="",H308=""),"",ROUND((IF(H278="",0,H278)*0.2)+(IF(H280="",0,H280)*0.2)+(IF(H282="",0,H282)*0.2)+(IF(H304="",0,H304)*0.2)+(IF(H308="",0,H308)*0.2),2))</f>
        <v/>
      </c>
      <c r="K278" s="555" t="str">
        <f>IF(J278="","",IF(J278&lt;0.3, "Not Functioning",IF(OR(H278&lt;0.7,H280&lt;0.7,H282&lt;0.7,H304&lt;0.7,H308&lt;0.7),"Functioning At Risk",IF(J278&lt;0.7,"Functioning At Risk","Functioning"))))</f>
        <v/>
      </c>
    </row>
    <row r="279" spans="1:12" ht="15.6" x14ac:dyDescent="0.3">
      <c r="A279" s="541"/>
      <c r="B279" s="371" t="s">
        <v>128</v>
      </c>
      <c r="C279" s="373" t="s">
        <v>161</v>
      </c>
      <c r="D279" s="374"/>
      <c r="E279" s="43"/>
      <c r="F279" s="372" t="str">
        <f>IF(E279="","",IF(E279&gt;=1,1,IF(E279&lt;=0,0,ROUND(E279,2))))</f>
        <v/>
      </c>
      <c r="G279" s="365" t="str">
        <f>IFERROR(AVERAGE(F279:F279),"")</f>
        <v/>
      </c>
      <c r="H279" s="523"/>
      <c r="I279" s="519"/>
      <c r="J279" s="555"/>
      <c r="K279" s="555"/>
    </row>
    <row r="280" spans="1:12" ht="15.6" x14ac:dyDescent="0.3">
      <c r="A280" s="524" t="s">
        <v>6</v>
      </c>
      <c r="B280" s="572" t="s">
        <v>7</v>
      </c>
      <c r="C280" s="54" t="s">
        <v>8</v>
      </c>
      <c r="D280" s="54"/>
      <c r="E280" s="162"/>
      <c r="F280" s="339" t="str">
        <f>IF(E280="","",ROUND(IF(E280&gt;1.6,0,IF(E280&lt;=1,1,E280^2*'Reference Standards'!K$14+E280*'Reference Standards'!K$15+'Reference Standards'!K$16)),2))</f>
        <v/>
      </c>
      <c r="G280" s="581" t="str">
        <f>IFERROR(AVERAGE(F280:F281),"")</f>
        <v/>
      </c>
      <c r="H280" s="579" t="str">
        <f>IFERROR(ROUND(AVERAGE(G280),2),"")</f>
        <v/>
      </c>
      <c r="I280" s="569" t="str">
        <f>IF(H280="","",IF(H280&gt;0.69,"Functioning",IF(H280&gt;0.29,"Functioning At Risk",IF(H280&gt;-1,"Not Functioning"))))</f>
        <v/>
      </c>
      <c r="J280" s="555"/>
      <c r="K280" s="555"/>
    </row>
    <row r="281" spans="1:12" ht="15.6" x14ac:dyDescent="0.3">
      <c r="A281" s="525"/>
      <c r="B281" s="572"/>
      <c r="C281" s="54" t="s">
        <v>9</v>
      </c>
      <c r="D281" s="54"/>
      <c r="E281" s="163"/>
      <c r="F281" s="339" t="str">
        <f>IF(E281="","",(IF(OR('Quantification Tool R1'!B$11="A",'Quantification Tool R1'!B$11="B",'Quantification Tool R1'!$B$11="Bc"),IF(E281&lt;1.2,0,IF(E281&gt;=2.2,1,ROUND(IF(E281&lt;1.4,E281*'Reference Standards'!$K$84+'Reference Standards'!$K$85,E281*'Reference Standards'!$L$84+'Reference Standards'!$L$85),2))),IF(OR('Quantification Tool R1'!B$11="C",'Quantification Tool R1'!B$11="E"),IF(E281&lt;2,0,IF(E281&gt;=5,1,ROUND(IF(E281&lt;2.4,E281*'Reference Standards'!$L$49+'Reference Standards'!$L$50,E281*'Reference Standards'!$K$49+'Reference Standards'!$K$50),2)))))))</f>
        <v/>
      </c>
      <c r="G281" s="581"/>
      <c r="H281" s="580"/>
      <c r="I281" s="570"/>
      <c r="J281" s="555"/>
      <c r="K281" s="555"/>
    </row>
    <row r="282" spans="1:12" ht="15.6" x14ac:dyDescent="0.3">
      <c r="A282" s="526" t="s">
        <v>26</v>
      </c>
      <c r="B282" s="557" t="s">
        <v>27</v>
      </c>
      <c r="C282" s="60" t="s">
        <v>333</v>
      </c>
      <c r="D282" s="244"/>
      <c r="E282" s="61"/>
      <c r="F282" s="340" t="str">
        <f>IF(E282="","",IF(OR(LEFT('Quantification Tool R1'!$B$12,2)="65",LEFT('Quantification Tool R1'!$B$12,2)="66",LEFT('Quantification Tool R1'!$B$12,2)="71"),IF(E282&gt;=850,1,IF(E282&lt;250,ROUND('Reference Standards'!$S$17*(E282)+'Reference Standards'!$S$18,2),ROUND('Reference Standards'!$T$17*E282+'Reference Standards'!$T$18,2))),  IF(E282&gt;=345,1,IF(E282&lt;=180,ROUND('Reference Standards'!$U$17*(E282)+'Reference Standards'!$U$18,2),ROUND('Reference Standards'!$V$17*E282+'Reference Standards'!$V$18,2))))    )</f>
        <v/>
      </c>
      <c r="G282" s="528" t="str">
        <f>IFERROR(AVERAGE(F282:F283),"")</f>
        <v/>
      </c>
      <c r="H282" s="566" t="str">
        <f>IFERROR(ROUND(AVERAGE(G282:G303),2),"")</f>
        <v/>
      </c>
      <c r="I282" s="555" t="str">
        <f>IF(H282="","",IF(H282&gt;0.69,"Functioning",IF(H282&gt;0.29,"Functioning At Risk",IF(H282&gt;-1,"Not Functioning"))))</f>
        <v/>
      </c>
      <c r="J282" s="555"/>
      <c r="K282" s="555"/>
    </row>
    <row r="283" spans="1:12" ht="15.6" x14ac:dyDescent="0.3">
      <c r="A283" s="520"/>
      <c r="B283" s="558"/>
      <c r="C283" s="63" t="s">
        <v>323</v>
      </c>
      <c r="D283" s="245"/>
      <c r="E283" s="53"/>
      <c r="F283" s="341" t="str">
        <f>IF(E283="","",IF(OR(LEFT('Quantification Tool R1'!$B$12,2)="65",LEFT('Quantification Tool R1'!$B$12,2)="66",LEFT('Quantification Tool R1'!$B$12,2)="71"),IF(E283&gt;=30,1,IF(E283&lt;13,ROUND('Reference Standards'!$S$53*(E283)+'Reference Standards'!$S$54,2),ROUND('Reference Standards'!$T$53*E283+'Reference Standards'!$T$54,2))),  IF(E283&gt;=16,1,IF(E283&lt;=9,ROUND('Reference Standards'!$U$53*(E283)+'Reference Standards'!$U$54,2),ROUND('Reference Standards'!$V$53*E283+'Reference Standards'!$V$54,2))))    )</f>
        <v/>
      </c>
      <c r="G283" s="530"/>
      <c r="H283" s="566"/>
      <c r="I283" s="555"/>
      <c r="J283" s="555"/>
      <c r="K283" s="555"/>
    </row>
    <row r="284" spans="1:12" ht="15.6" x14ac:dyDescent="0.3">
      <c r="A284" s="520"/>
      <c r="B284" s="520" t="s">
        <v>395</v>
      </c>
      <c r="C284" s="58" t="s">
        <v>80</v>
      </c>
      <c r="D284" s="58"/>
      <c r="E284" s="165"/>
      <c r="F284" s="340" t="str">
        <f>IF(E284="","",ROUND(IF(E284&gt;0.7,0,IF(E284&lt;=0.1,1,E284^3*'Reference Standards'!S$87+E284^2*'Reference Standards'!S$88+E284*'Reference Standards'!S$89+'Reference Standards'!S$90)),2))</f>
        <v/>
      </c>
      <c r="G284" s="528" t="str">
        <f>IFERROR(ROUND(AVERAGE(F284:F287),2),"")</f>
        <v/>
      </c>
      <c r="H284" s="567"/>
      <c r="I284" s="555"/>
      <c r="J284" s="555"/>
      <c r="K284" s="555"/>
    </row>
    <row r="285" spans="1:12" ht="15.6" x14ac:dyDescent="0.3">
      <c r="A285" s="520"/>
      <c r="B285" s="520"/>
      <c r="C285" s="58" t="s">
        <v>49</v>
      </c>
      <c r="D285" s="58"/>
      <c r="E285" s="165"/>
      <c r="F285" s="84"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529"/>
      <c r="H285" s="567"/>
      <c r="I285" s="555"/>
      <c r="J285" s="555"/>
      <c r="K285" s="555"/>
    </row>
    <row r="286" spans="1:12" ht="15.6" x14ac:dyDescent="0.3">
      <c r="A286" s="520"/>
      <c r="B286" s="520"/>
      <c r="C286" s="58" t="s">
        <v>87</v>
      </c>
      <c r="D286" s="58"/>
      <c r="E286" s="165"/>
      <c r="F286" s="84" t="str">
        <f>IF(E286="","",ROUND(IF(E286&gt;40,0,IF(E286&lt;5,1,E286^3*'Reference Standards'!S$122+E286^2*'Reference Standards'!S$123+E286*'Reference Standards'!S$124+'Reference Standards'!S$125)),2))</f>
        <v/>
      </c>
      <c r="G286" s="529"/>
      <c r="H286" s="567"/>
      <c r="I286" s="555"/>
      <c r="J286" s="555"/>
      <c r="K286" s="555"/>
    </row>
    <row r="287" spans="1:12" ht="15.6" x14ac:dyDescent="0.3">
      <c r="A287" s="520"/>
      <c r="B287" s="521"/>
      <c r="C287" s="59" t="s">
        <v>394</v>
      </c>
      <c r="D287" s="59"/>
      <c r="E287" s="167"/>
      <c r="F287" s="341" t="str">
        <f>IF(E287="","",ROUND(IF(E287&gt;=30,0,IF(E287&lt;=0,1,E287*'Reference Standards'!S$156+'Reference Standards'!S$157)),2))</f>
        <v/>
      </c>
      <c r="G287" s="530"/>
      <c r="H287" s="567"/>
      <c r="I287" s="555"/>
      <c r="J287" s="555"/>
      <c r="K287" s="555"/>
    </row>
    <row r="288" spans="1:12" ht="15.6" x14ac:dyDescent="0.3">
      <c r="A288" s="520"/>
      <c r="B288" s="520" t="s">
        <v>50</v>
      </c>
      <c r="C288" s="60" t="s">
        <v>377</v>
      </c>
      <c r="D288" s="64"/>
      <c r="E288" s="136"/>
      <c r="F288" s="294" t="str">
        <f>IF(E288="","",ROUND(IF(E288&gt;9.2,1,E288*'Reference Standards'!$S$189+'Reference Standards'!$S$190),2))</f>
        <v/>
      </c>
      <c r="G288" s="552" t="str">
        <f>IFERROR(ROUND(AVERAGE(F288:F297),2),"")</f>
        <v/>
      </c>
      <c r="H288" s="567"/>
      <c r="I288" s="555"/>
      <c r="J288" s="555"/>
      <c r="K288" s="555"/>
    </row>
    <row r="289" spans="1:13" ht="15.6" x14ac:dyDescent="0.3">
      <c r="A289" s="520"/>
      <c r="B289" s="520"/>
      <c r="C289" s="62" t="s">
        <v>378</v>
      </c>
      <c r="D289" s="58"/>
      <c r="E289" s="162"/>
      <c r="F289" s="294" t="str">
        <f>IF(E289="","",ROUND(IF(E289&gt;9.2,1,E289*'Reference Standards'!$S$189+'Reference Standards'!$S$190),2))</f>
        <v/>
      </c>
      <c r="G289" s="553"/>
      <c r="H289" s="567"/>
      <c r="I289" s="555"/>
      <c r="J289" s="555"/>
      <c r="K289" s="555"/>
    </row>
    <row r="290" spans="1:13" ht="15.6" x14ac:dyDescent="0.3">
      <c r="A290" s="520"/>
      <c r="B290" s="520"/>
      <c r="C290" s="62" t="s">
        <v>379</v>
      </c>
      <c r="D290" s="58"/>
      <c r="E290" s="162"/>
      <c r="F290" s="294" t="str">
        <f>IF(E290="","",ROUND( IF(E290&gt;=200,1,IF(E290&lt;50, E290^2*'Reference Standards'!S$224+E290*'Reference Standards'!S$225+'Reference Standards'!S$226, E290*'Reference Standards'!T$224+'Reference Standards'!T$225)),2))</f>
        <v/>
      </c>
      <c r="G290" s="553"/>
      <c r="H290" s="567"/>
      <c r="I290" s="555"/>
      <c r="J290" s="555"/>
      <c r="K290" s="555"/>
    </row>
    <row r="291" spans="1:13" ht="15.6" x14ac:dyDescent="0.3">
      <c r="A291" s="520"/>
      <c r="B291" s="520"/>
      <c r="C291" s="62" t="s">
        <v>380</v>
      </c>
      <c r="D291" s="58"/>
      <c r="E291" s="162"/>
      <c r="F291" s="294" t="str">
        <f>IF(E291="","",ROUND( IF(E291&gt;=200,1,IF(E291&lt;50, E291^2*'Reference Standards'!S$224+E291*'Reference Standards'!S$225+'Reference Standards'!S$226, E291*'Reference Standards'!T$224+'Reference Standards'!T$225)),2))</f>
        <v/>
      </c>
      <c r="G291" s="553"/>
      <c r="H291" s="567"/>
      <c r="I291" s="555"/>
      <c r="J291" s="555"/>
      <c r="K291" s="555"/>
    </row>
    <row r="292" spans="1:13" ht="15.6" x14ac:dyDescent="0.3">
      <c r="A292" s="520"/>
      <c r="B292" s="520"/>
      <c r="C292" s="58" t="s">
        <v>381</v>
      </c>
      <c r="D292" s="58"/>
      <c r="E292" s="162"/>
      <c r="F292" s="294" t="str">
        <f>IF(E292="","",ROUND(IF(AND(E292&gt;=135,E292&lt;=262),1,IF(  E292&gt;=366,0.5, IF(E292&lt;135,E292*'Reference Standards'!S$259+'Reference Standards'!S$260, E292*'Reference Standards'!T$259+'Reference Standards'!T$260))),2))</f>
        <v/>
      </c>
      <c r="G292" s="553"/>
      <c r="H292" s="567"/>
      <c r="I292" s="555"/>
      <c r="J292" s="555"/>
      <c r="K292" s="555"/>
    </row>
    <row r="293" spans="1:13" ht="15.6" x14ac:dyDescent="0.3">
      <c r="A293" s="520"/>
      <c r="B293" s="520"/>
      <c r="C293" s="58" t="s">
        <v>382</v>
      </c>
      <c r="D293" s="58"/>
      <c r="E293" s="162"/>
      <c r="F293" s="294" t="str">
        <f>IF(E293="","",ROUND(IF(AND(E293&gt;=135,E293&lt;=262),1,IF(  E293&gt;=366,0.5, IF(E293&lt;135,E293*'Reference Standards'!S$259+'Reference Standards'!S$260, E293*'Reference Standards'!T$259+'Reference Standards'!T$260))),2))</f>
        <v/>
      </c>
      <c r="G293" s="553"/>
      <c r="H293" s="567"/>
      <c r="I293" s="555"/>
      <c r="J293" s="555"/>
      <c r="K293" s="555"/>
    </row>
    <row r="294" spans="1:13" ht="15.6" x14ac:dyDescent="0.3">
      <c r="A294" s="520"/>
      <c r="B294" s="520"/>
      <c r="C294" s="58" t="s">
        <v>383</v>
      </c>
      <c r="D294" s="58"/>
      <c r="E294" s="162"/>
      <c r="F294" s="84" t="str">
        <f>IF(E294="","",ROUND(IF(E294&gt;=75,1,IF(E294&lt;=0,0,E294*'Reference Standards'!S$330)),2))</f>
        <v/>
      </c>
      <c r="G294" s="553"/>
      <c r="H294" s="567"/>
      <c r="I294" s="555"/>
      <c r="J294" s="555"/>
      <c r="K294" s="555"/>
    </row>
    <row r="295" spans="1:13" ht="15.6" x14ac:dyDescent="0.3">
      <c r="A295" s="520"/>
      <c r="B295" s="520"/>
      <c r="C295" s="58" t="s">
        <v>384</v>
      </c>
      <c r="D295" s="58"/>
      <c r="E295" s="162"/>
      <c r="F295" s="84" t="str">
        <f>IF(E295="","",ROUND(IF(E295&gt;=75,1,IF(E295&lt;=0,0,E295*'Reference Standards'!S$330)),2))</f>
        <v/>
      </c>
      <c r="G295" s="553"/>
      <c r="H295" s="567"/>
      <c r="I295" s="555"/>
      <c r="J295" s="555"/>
      <c r="K295" s="555"/>
    </row>
    <row r="296" spans="1:13" ht="15.6" x14ac:dyDescent="0.3">
      <c r="A296" s="520"/>
      <c r="B296" s="520"/>
      <c r="C296" s="58" t="s">
        <v>385</v>
      </c>
      <c r="D296" s="58"/>
      <c r="E296" s="162"/>
      <c r="F296" s="294" t="str">
        <f>IF(E296="","",ROUND(IF(AND(E296&gt;=36.3,E296&lt;=68),1,IF(E296&gt;100,0,IF(E296&lt;36.3,(('Reference Standards'!S$297*(E296^2))+('Reference Standards'!S$298*E296)+'Reference Standards'!S$299),IF(E296&gt;68,(('Reference Standards'!T$297*(E296^2))+('Reference Standards'!T$298*E296)+'Reference Standards'!T$299))))),2))</f>
        <v/>
      </c>
      <c r="G296" s="553"/>
      <c r="H296" s="567"/>
      <c r="I296" s="555"/>
      <c r="J296" s="555"/>
      <c r="K296" s="555"/>
      <c r="M296" s="21"/>
    </row>
    <row r="297" spans="1:13" ht="15.6" x14ac:dyDescent="0.3">
      <c r="A297" s="520"/>
      <c r="B297" s="521"/>
      <c r="C297" s="58" t="s">
        <v>386</v>
      </c>
      <c r="D297" s="65"/>
      <c r="E297" s="162"/>
      <c r="F297" s="294" t="str">
        <f>IF(E297="","",ROUND(IF(AND(E297&gt;=36.3,E297&lt;=68),1,IF(E297&gt;100,0,IF(E297&lt;36.3,(('Reference Standards'!S$297*(E297^2))+('Reference Standards'!S$298*E297)+'Reference Standards'!S$299),IF(E297&gt;68,(('Reference Standards'!T$297*(E297^2))+('Reference Standards'!T$298*E297)+'Reference Standards'!T$299))))),2))</f>
        <v/>
      </c>
      <c r="G297" s="554"/>
      <c r="H297" s="567"/>
      <c r="I297" s="555"/>
      <c r="J297" s="555"/>
      <c r="K297" s="555"/>
    </row>
    <row r="298" spans="1:13" ht="15.6" x14ac:dyDescent="0.3">
      <c r="A298" s="520"/>
      <c r="B298" s="56" t="s">
        <v>108</v>
      </c>
      <c r="C298" s="72" t="s">
        <v>130</v>
      </c>
      <c r="D298" s="58"/>
      <c r="E298" s="43"/>
      <c r="F298" s="82" t="str">
        <f>IF(E298="","",IF(OR('Quantification Tool R1'!B$14="Gravel",'Quantification Tool R1'!B$14="Cobble"),IF(E298&gt;0.1,1,IF(E298&lt;=0.01,0,ROUND(E298*'Reference Standards'!$S$362+'Reference Standards'!$S$363,2)))))</f>
        <v/>
      </c>
      <c r="G298" s="82" t="str">
        <f>IFERROR(AVERAGE(F298),"")</f>
        <v/>
      </c>
      <c r="H298" s="567"/>
      <c r="I298" s="555"/>
      <c r="J298" s="555"/>
      <c r="K298" s="555"/>
    </row>
    <row r="299" spans="1:13" ht="15.6" x14ac:dyDescent="0.3">
      <c r="A299" s="520"/>
      <c r="B299" s="526" t="s">
        <v>51</v>
      </c>
      <c r="C299" s="64" t="s">
        <v>52</v>
      </c>
      <c r="D299" s="64"/>
      <c r="E299" s="166"/>
      <c r="F299" s="337" t="str">
        <f>IF(E299="","", IF(ISNUMBER('Quantification Tool R1'!$B$17), IF('Quantification Tool R1'!$B$17&lt;=2,   IF(AND(E299&gt;=3,E299&lt;=5),1, IF(OR(E299&lt;=1,E299&gt;=7), 0, ROUND( IF(E299&lt;3, E299*'Reference Standards'!S$398+'Reference Standards'!S$399,E299*'Reference Standards'!T$398+'Reference Standards'!T$399),2) ) ),   IF(E299&lt;=2.5,1, IF(E299&gt;=5.8,0, ROUND(E299*'Reference Standards'!S$430+'Reference Standards'!S$431,2))))   ))</f>
        <v/>
      </c>
      <c r="G299" s="528" t="str">
        <f>IFERROR(AVERAGE(F299:F302),"")</f>
        <v/>
      </c>
      <c r="H299" s="567"/>
      <c r="I299" s="555"/>
      <c r="J299" s="555"/>
      <c r="K299" s="555"/>
    </row>
    <row r="300" spans="1:13" ht="15.6" x14ac:dyDescent="0.3">
      <c r="A300" s="520"/>
      <c r="B300" s="520"/>
      <c r="C300" s="58" t="s">
        <v>53</v>
      </c>
      <c r="D300" s="58"/>
      <c r="E300" s="165"/>
      <c r="F300" s="84" t="str">
        <f>IF(E300="","", IF( E300&gt;=2.4,1, IF(E300&lt;=1,0,  ROUND(IF(E300&lt;2.4, E300*'Reference Standards'!$S$464+'Reference Standards'!$S$465  ),2))))</f>
        <v/>
      </c>
      <c r="G300" s="529"/>
      <c r="H300" s="567"/>
      <c r="I300" s="555"/>
      <c r="J300" s="555"/>
      <c r="K300" s="555"/>
    </row>
    <row r="301" spans="1:13" ht="15.6" x14ac:dyDescent="0.3">
      <c r="A301" s="520"/>
      <c r="B301" s="520"/>
      <c r="C301" s="58" t="s">
        <v>334</v>
      </c>
      <c r="D301" s="58"/>
      <c r="E301" s="165"/>
      <c r="F301" s="390" t="str">
        <f>IF(E301="","", IF(LEFT('Quantification Tool R1'!$B$12,2)="67",  IF( AND(E301&gt;=45,E301&lt;=65),1, IF(OR(E301&lt;=20,E301&gt;=90),0, ROUND(  IF(E301&lt;45, E301*'Reference Standards'!$S$498+'Reference Standards'!$S$499,E301*'Reference Standards'!$T$498+'Reference Standards'!$T$499),2))), IF(OR(  LEFT('Quantification Tool R1'!$B$12,2)="68", LEFT('Quantification Tool R1'!$B$12,2)="69",LEFT('Quantification Tool R1'!$B$12,2)="71"),  IF( AND(E301&gt;=30,E301&lt;=50),1, IF(OR(E301&lt;=10,E301&gt;=70),0, ROUND(  IF(E301&lt;30, E301*'Reference Standards'!$S$533+'Reference Standards'!$S$534,E301*'Reference Standards'!$T$533+'Reference Standards'!$T$534),2))), IF(LEFT('Quantification Tool R1'!$B$12,2)="66",  IF( AND(E301&gt;=20,E301&lt;=45),1, IF(OR(E301&lt;=0,E301&gt;=90),0, ROUND(  IF(E301&lt;20, E301*'Reference Standards'!$S$567+'Reference Standards'!$S$568,E301*'Reference Standards'!$T$567+'Reference Standards'!$T$568),2))), IF(OR(  LEFT('Quantification Tool R1'!$B$12,2)="65", LEFT('Quantification Tool R1'!$B$12,2)="74", LEFT('Quantification Tool R1'!$B$12,2)="73"),  IF( AND(E301&gt;=20,E301&lt;=30),1, IF(OR(E301&lt;=0,E301&gt;=50),0, ROUND(  IF(E301&lt;20, E301*'Reference Standards'!$S$601+'Reference Standards'!$S$602,E301*'Reference Standards'!$T$601+'Reference Standards'!$T$602),2))))))))</f>
        <v/>
      </c>
      <c r="G301" s="529"/>
      <c r="H301" s="567"/>
      <c r="I301" s="555"/>
      <c r="J301" s="555"/>
      <c r="K301" s="555"/>
    </row>
    <row r="302" spans="1:13" ht="15.6" x14ac:dyDescent="0.3">
      <c r="A302" s="520"/>
      <c r="B302" s="521"/>
      <c r="C302" s="62" t="s">
        <v>210</v>
      </c>
      <c r="D302" s="58"/>
      <c r="E302" s="167"/>
      <c r="F302" s="391" t="str">
        <f>IF(E302="","",IF(E302&gt;=1.6,0,IF(E302&lt;=1,1,ROUND('Reference Standards'!$S$633*E302^3+'Reference Standards'!$S$634*E302^2+'Reference Standards'!$S$635*E302+'Reference Standards'!$S$636,2))))</f>
        <v/>
      </c>
      <c r="G302" s="530"/>
      <c r="H302" s="567"/>
      <c r="I302" s="555"/>
      <c r="J302" s="555"/>
      <c r="K302" s="555"/>
    </row>
    <row r="303" spans="1:13" ht="15.6" x14ac:dyDescent="0.3">
      <c r="A303" s="521"/>
      <c r="B303" s="309" t="s">
        <v>55</v>
      </c>
      <c r="C303" s="242" t="s">
        <v>54</v>
      </c>
      <c r="D303" s="243"/>
      <c r="E303" s="163"/>
      <c r="F303" s="342" t="str">
        <f>IF(E303="","",IF(AND('Quantification Tool R1'!B$11="E",'Quantification Tool R1'!$B$14="Sand",'Quantification Tool R1'!$B$21="Unconfined Alluvial"),ROUND(IF(OR(E303&gt;1.8,E303&lt;1.3),0,IF(E303&lt;=1.6,1,E303*'Reference Standards'!S$667+'Reference Standards'!S$668)),2),    IF('Quantification Tool R1'!$B$21="Unconfined Alluvial",ROUND(IF(OR(E303&lt;1.2, E303&gt;1.5),0,IF(E303&lt;=1.4,1,E303*'Reference Standards'!$S$700+'Reference Standards'!$S$701)),2), IF('Quantification Tool R1'!$B$21="Confined Alluvial",ROUND(IF(E303&lt;1.15,0,IF(E303&lt;=1.4,E303*'Reference Standards'!$S$729+'Reference Standards'!$S$730,1)),2),  IF('Quantification Tool R1'!$B$21="Colluvial",ROUND(IF(E303&gt;1.3,0,IF(E303&gt;1.2,E303*'Reference Standards'!$S$760+'Reference Standards'!$S$761,1)),2) )))))</f>
        <v/>
      </c>
      <c r="G303" s="84" t="str">
        <f>IFERROR(AVERAGE(F303),"")</f>
        <v/>
      </c>
      <c r="H303" s="567"/>
      <c r="I303" s="555"/>
      <c r="J303" s="555"/>
      <c r="K303" s="555"/>
      <c r="L303" s="13"/>
    </row>
    <row r="304" spans="1:13" ht="15.6" x14ac:dyDescent="0.3">
      <c r="A304" s="537" t="s">
        <v>58</v>
      </c>
      <c r="B304" s="67" t="s">
        <v>88</v>
      </c>
      <c r="C304" s="70" t="s">
        <v>338</v>
      </c>
      <c r="D304" s="70"/>
      <c r="E304" s="43"/>
      <c r="F304" s="343" t="str">
        <f>IF(E304="","",ROUND(IF(E304&gt;=942,0,IF(E304&lt;=487,E304*'Reference Standards'!AB$15+'Reference Standards'!AB$16,E304*'Reference Standards'!$AC$15+'Reference Standards'!$AC$16)),2))</f>
        <v/>
      </c>
      <c r="G304" s="85" t="str">
        <f>IFERROR(AVERAGE(F304),"")</f>
        <v/>
      </c>
      <c r="H304" s="547" t="str">
        <f>IFERROR(ROUND(AVERAGE(G304:G307),2),"")</f>
        <v/>
      </c>
      <c r="I304" s="534" t="str">
        <f>IF(H304="","",IF(H304&gt;0.69,"Functioning",IF(H304&gt;0.29,"Functioning At Risk",IF(H304&gt;-1,"Not Functioning"))))</f>
        <v/>
      </c>
      <c r="J304" s="555"/>
      <c r="K304" s="555"/>
      <c r="L304" s="13"/>
    </row>
    <row r="305" spans="1:12" ht="15.6" x14ac:dyDescent="0.3">
      <c r="A305" s="538"/>
      <c r="B305" s="306" t="s">
        <v>362</v>
      </c>
      <c r="C305" s="66" t="s">
        <v>354</v>
      </c>
      <c r="D305" s="66"/>
      <c r="E305" s="163"/>
      <c r="F305" s="344" t="str">
        <f>IF(E305="","",IF(OR('Quantification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June")),IF(E305&gt;93,0,IF(E305&lt;13,1,ROUND('Reference Standards'!$AB$53*E305^2+'Reference Standards'!$AB$54*E305+'Reference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R1'!$B$12="73b"),IF(E305&gt;94,0,IF(E305&lt;17,1,ROUND('Reference Standards'!$AC$53*E305^2+'Reference Standards'!$AC$54*E305+'Reference Standards'!$AC$55,2))),    IF(OR(AND(OR('Quantification Tool R1'!$B$12="68b",'Quantification Tool R1'!$B$12="71i"),'Quantification Tool R1'!$B$13&gt;2), 'Quantification Tool R1'!$B$12="71e"),IF(E305&gt;91,0,IF(E305&lt;24,1,ROUND('Reference Standards'!$AD$53*E305^2+'Reference Standards'!$AD$54*E305+'Reference Standards'!$AD$55,2))),  IF(OR(AND(OR('Quantification Tool R1'!$B$12="71f",'Quantification Tool R1'!$B$12="71g",'Quantification Tool R1'!$B$12="71h",'Quantification Tool R1'!$B$12="71i"),'Quantification Tool R1'!$B$13&lt;=2), AND('Quantification Tool R1'!$B$12="74a",'Quantification Tool R1'!$B$13&gt;2)),IF(E305&gt;95,0,IF(E305&lt;=36,1,ROUND('Reference Standards'!$AE$53*E305^2+'Reference Standards'!$AE$54*E305+'Reference Standards'!$AE$55,2))))))))</f>
        <v/>
      </c>
      <c r="G305" s="236" t="str">
        <f>IFERROR(AVERAGE(F305:F305),"")</f>
        <v/>
      </c>
      <c r="H305" s="548"/>
      <c r="I305" s="535"/>
      <c r="J305" s="555"/>
      <c r="K305" s="555"/>
      <c r="L305" s="21"/>
    </row>
    <row r="306" spans="1:12" ht="15.6" x14ac:dyDescent="0.3">
      <c r="A306" s="538"/>
      <c r="B306" s="67" t="s">
        <v>81</v>
      </c>
      <c r="C306" s="68" t="s">
        <v>281</v>
      </c>
      <c r="D306" s="68"/>
      <c r="E306" s="162"/>
      <c r="F306" s="344" t="str">
        <f>IF(E306="","",IF(ISNUMBER('Quantification Tool R1'!$B$13), IF(OR('Quantification Tool R1'!$B$12="66e",'Quantification Tool R1'!$B$12="66f",'Quantification Tool R1'!$B$12="66g"), ROUND(IF(E306&gt;=0.61,0,IF(E306&lt;=0.01,1,IF(E306&lt;=0.06,E306*'Reference Standards'!$AD$197+'Reference Standards'!$AD$198,E306^2*'Reference Standards'!$AB$196+E306*'Reference Standards'!$AB$197+'Reference Standards'!$AB$198))),2),  IF('Quantification Tool R1'!$B$12="68b", ROUND(IF(E306&gt;=1.1,0,IF(E306&lt;=0.17,1,IF(E306&lt;=0.22,E306*'Reference Standards'!$AE$197+'Reference Standards'!$AE$198,E306^2*'Reference Standards'!$AC$196+E306*'Reference Standards'!$AC$197+'Reference Standards'!$AC$198))),2),IF('Quantification Tool R1'!$B$13&lt;=2.5,   IF('Quantification Tool R1'!$B$12="69de",ROUND(IF(E306&gt;=0.22,0,IF(E306&lt;=0.01,1,E306^2*'Reference Standards'!$AB$90+E306*'Reference Standards'!$AB$91+'Reference Standards'!$AB$92)),2),   IF('Quantification Tool R1'!$B$12="68c",ROUND(IF(E306&gt;=0.87,0,IF(E306&lt;=0.01,1,E306^2*'Reference Standards'!$AC$90+E306*'Reference Standards'!$AC$91+'Reference Standards'!$AC$92)),2),   IF('Quantification Tool R1'!$B$12="68a",ROUND(IF(E306&gt;=0.81,0,IF(E306&lt;=0.01,1,E306^2*'Reference Standards'!$AD$90+E306*'Reference Standards'!$AD$91+'Reference Standards'!$AD$92)),2),   IF('Quantification Tool R1'!$B$12="65abei",ROUND(IF(E306&gt;=0.67,0,IF(E306&lt;=0.01,1,IF(E306&lt;=0.18,E306*'Reference Standards'!$AG$91+'Reference Standards'!$AG$92,E306*'Reference Standards'!$AE$91+'Reference Standards'!$AE$92))),2),   IF('Quantification Tool R1'!$B$12="65j",ROUND(IF(E306&gt;=0.32,0,IF(E306&lt;=0.01,1,IF(E306&lt;=0.25,E306*'Reference Standards'!$AH$91+'Reference Standards'!$AH$92,E306*'Reference Standards'!$AF$91+'Reference Standards'!$AF$92))),2),   IF('Quantification Tool R1'!$B$12="71f",ROUND(IF(E306&gt;=3,0,IF(E306&lt;=0,1,IF(E306&lt;=0.01,0.7,E306^2*'Reference Standards'!$AB$126+E306*'Reference Standards'!$AB$127+'Reference Standards'!$AB$128))),2),   IF('Quantification Tool R1'!$B$12="74a",ROUND(IF(E306&gt;=0.14,0,IF(E306&lt;=0.01,1,IF(E306&lt;=0.02,0.7,E306^2*'Reference Standards'!$AC$126+E306*'Reference Standards'!$AC$127+'Reference Standards'!$AC$128))),2),   IF(OR('Quantification Tool R1'!$B$12="67fhi",'Quantification Tool R1'!$B$12="67g"),ROUND(IF(E306&gt;=1.9,0,IF(E306&lt;=0.01,1,IF(E306&lt;=0.05,E306*'Reference Standards'!$AF$127+'Reference Standards'!$AF$128,E306^2*'Reference Standards'!$AD$126+E306*'Reference Standards'!$AD$127+'Reference Standards'!$AD$128))),2),   IF('Quantification Tool R1'!$B$12="73a",ROUND(IF(E306&gt;=1.44,0,IF(E306&lt;=0.01,1,IF(E306&lt;=0.12,E306*'Reference Standards'!$AG$127+'Reference Standards'!$AG$128,E306^2*'Reference Standards'!$AE$126+E306*'Reference Standards'!$AE$127+'Reference Standards'!$AE$128))),2),   IF('Quantification Tool R1'!$B$12="66d",ROUND(IF(E306&gt;=0.46,0,IF(E306&lt;=0.02,1,IF(E306&lt;=0.08,E306*'Reference Standards'!$AF$163+'Reference Standards'!$AF$164,E306^2*'Reference Standards'!$AB$162+E306*'Reference Standards'!$AB$163+'Reference Standards'!$AB$164))),2),   IF(OR('Quantification Tool R1'!$B$12="71g",'Quantification Tool R1'!$B$12="71h",'Quantification Tool R1'!$B$12="71i"),ROUND(IF(E306&gt;=3,0,IF(E306&lt;=0.06,1,IF(E306&lt;=0.24,E306*'Reference Standards'!$AG$163+'Reference Standards'!$AG$164, E306^2*'Reference Standards'!$AC$162+E306*'Reference Standards'!$AC$163+'Reference Standards'!$AC$164))),2),   IF('Quantification Tool R1'!$B$12="74b",ROUND(IF(E306&gt;=1.3,0,IF(E306&lt;=0.29,1,IF(E306&lt;=0.48,E306*'Reference Standards'!$AH$163+'Reference Standards'!$AH$164,E306^2*'Reference Standards'!$AD$162+E306*'Reference Standards'!$AD$163+'Reference Standards'!$AD$164))),2),   IF('Quantification Tool R1'!$B$12="71e",ROUND(IF(E306&gt;=4.3,0,IF(E306&lt;=0.53,1,IF(E306&lt;=0.67,E306*'Reference Standards'!$AI$163+'Reference Standards'!$AI$164,E306^2*'Reference Standards'!$AE$162+E306*'Reference Standards'!$AE$163+'Reference Standards'!$AE$164))),2)       ))))))))))))),IF('Quantification Tool R1'!$B$13&gt;2.5,    IF('Quantification Tool R1'!$B$12="73a",ROUND(IF(E306&gt;=0.55,0,IF(E306&lt;=0,1,E306^2*'Reference Standards'!$AB$232+E306*'Reference Standards'!$AB$233+'Reference Standards'!$AB$234)),2),   IF('Quantification Tool R1'!$B$12="68a",ROUND(IF(E306&gt;=0.54,0,IF(E306&lt;=0,1, IF(E306&lt;=0.01,0.85, E306^2*'Reference Standards'!$AC$232+E306*'Reference Standards'!$AC$233+'Reference Standards'!$AC$234))),2),   IF('Quantification Tool R1'!$B$12="74a",ROUND(IF(E306&gt;=0.47,0,IF(E306&lt;=0.01,1, IF(E306&lt;=0.02,0.7, E306^2*'Reference Standards'!$AD$232+E306*'Reference Standards'!$AD$233+'Reference Standards'!$AD$234))),2),    IF('Quantification Tool R1'!$B$12="69de",ROUND(IF(E306&gt;=0.26,0,IF(E306&lt;=0.01,1, IF(E306&lt;=0.02,0.85, E306^2*'Reference Standards'!$AE$232+E306*'Reference Standards'!$AE$233+'Reference Standards'!$AE$234))),2),   IF('Quantification Tool R1'!$B$12="71f",ROUND(IF(E306&gt;=0.87,0,IF(E306&lt;=0.01,1,IF(E306&lt;=0.04,E306*'Reference Standards'!$AF$269+'Reference Standards'!$AF$270,E306^2*'Reference Standards'!$AB$268+E306*'Reference Standards'!$AB$269+'Reference Standards'!$AB$270))),2),  IF('Quantification Tool R1'!$B$12="65abei",ROUND(IF(E306&gt;=0.82,0,IF(E306&lt;=0.01,1,IF(E306&lt;=0.06,E306*'Reference Standards'!$AG$269+'Reference Standards'!$AG$270,E306^2*'Reference Standards'!$AC$268+E306*'Reference Standards'!$AC$269+'Reference Standards'!$AC$270))),2),  IF('Quantification Tool R1'!$B$12="65j",ROUND(IF(E306&gt;=0.33,0,IF(E306&lt;=0.03,1,IF(E306&lt;=0.09,E306*'Reference Standards'!$AH$269+'Reference Standards'!$AH$270,E306^2*'Reference Standards'!$AD$268+E306*'Reference Standards'!$AD$269+'Reference Standards'!$AD$270))),2),  IF('Quantification Tool R1'!$B$12="68c",ROUND(IF(E306&gt;=0.7,0,IF(E306&lt;=0.07,1,IF(E306&lt;=0.12,E306*'Reference Standards'!$AI$269+'Reference Standards'!$AI$270,E306^2*'Reference Standards'!$AE$268+E306*'Reference Standards'!$AE$269+'Reference Standards'!$AE$270))),2),   IF(OR('Quantification Tool R1'!$B$12="67fhi",'Quantification Tool R1'!$B$12="67g"),ROUND(IF(E306&gt;=1.8,0,IF(E306&lt;=0.08,1,IF(E306&lt;=0.2,E306*'Reference Standards'!$AF$306+'Reference Standards'!$AF$307,E306^2*'Reference Standards'!$AB$305+E306*'Reference Standards'!$AB$306+'Reference Standards'!$AB$307))),2),   IF('Quantification Tool R1'!$B$12="74b",ROUND(IF(E306&gt;=0.96,0,IF(E306&lt;=0.12,1,IF(E306&lt;=0.16,E306*'Reference Standards'!$AG$306+'Reference Standards'!$AG$307,E306^2*'Reference Standards'!$AC$305+E306*'Reference Standards'!$AC$306+'Reference Standards'!$AC$307))),2),   IF('Quantification Tool R1'!$B$12="66d",ROUND(IF(E306&gt;=0.75,0,IF(E306&lt;=0.13,1,IF(E306&lt;=0.2,E306*'Reference Standards'!$AH$306+'Reference Standards'!$AH$307,E306^2*'Reference Standards'!$AD$305+E306*'Reference Standards'!$AD$306+'Reference Standards'!$AD$307))),2),    IF(OR('Quantification Tool R1'!$B$12="71g",'Quantification Tool R1'!$B$12="71h",'Quantification Tool R1'!$B$12="71i"),ROUND(IF(E306&gt;=1.68,0,IF(E306&lt;=0.08,1,IF(E306&lt;=0.23,E306*'Reference Standards'!$AI$306+'Reference Standards'!$AI$307,E306^2*'Reference Standards'!$AE$305+E306*'Reference Standards'!$AE$306+'Reference Standards'!$AE$307))),2),   IF('Quantification Tool R1'!$B$12="71e",ROUND(IF(E306&gt;=5.3,0,IF(E306&lt;=0.94,1,IF(E306&lt;=1.4,E306*'Reference Standards'!$AF$310+'Reference Standards'!$AF$311,E306^2*'Reference Standards'!$AB$309+E306*'Reference Standards'!$AB$310+'Reference Standards'!$AB$311))),2))    ))))))))))))))))))</f>
        <v/>
      </c>
      <c r="G306" s="86" t="str">
        <f>IFERROR(AVERAGE(F306),"")</f>
        <v/>
      </c>
      <c r="H306" s="548"/>
      <c r="I306" s="535"/>
      <c r="J306" s="555"/>
      <c r="K306" s="555"/>
      <c r="L306" s="21"/>
    </row>
    <row r="307" spans="1:12" ht="15.6" x14ac:dyDescent="0.3">
      <c r="A307" s="539"/>
      <c r="B307" s="307" t="s">
        <v>82</v>
      </c>
      <c r="C307" s="66" t="s">
        <v>280</v>
      </c>
      <c r="D307" s="66"/>
      <c r="E307" s="136"/>
      <c r="F307" s="343" t="str">
        <f>IF(E307="","", IF(ISNUMBER('Quantification Tool R1'!$B$13),IF('Quantification Tool R1'!$B$13&gt;2.5,IF(OR('Quantification Tool R1'!$B$12="71h",'Quantification Tool R1'!$B$12="71i",'Quantification Tool R1'!$B$12="73a",'Quantification Tool R1'!$B$12="74a"),IF(E307&lt;=0.01,1,IF(OR('Quantification Tool R1'!$B$12="71h",'Quantification Tool R1'!$B$12="71i"),IF(E307&gt;0.37,0,ROUND(IF(E307&gt;0.03,'Reference Standards'!$AB$425*E307^2+'Reference Standards'!$AB$426*E307+'Reference Standards'!$AB$427,'Reference Standards'!$AF$426*E307+'Reference Standards'!$AF$427),2)),  IF('Quantification Tool R1'!$B$12="73a",IF(E307&gt;0.405,0,ROUND(IF(E307&gt;0.046,'Reference Standards'!$AC$425*E307^2+'Reference Standards'!$AC$426*E307+'Reference Standards'!$AC$427,'Reference Standards'!$AG$426*E307+'Reference Standards'!$AG$427),2)),IF('Quantification Tool R1'!$B$12="74a",IF(E307&gt;0.3,0,ROUND(IF(E307&gt;0.052,'Reference Standards'!$AD$425*E307^2+'Reference Standards'!$AD$426*E307+'Reference Standards'!$AD$427,'Reference Standards'!$AH$426*E307+'Reference Standards'!$AH$427),2)))))),   IF(E307&lt;=0.002,1,IF(OR('Quantification Tool R1'!$B$12="66d",'Quantification Tool R1'!$B$12="66e",'Quantification Tool R1'!$B$12="66g"),IF(E307&gt;0.053,0,ROUND(E307^2*'Reference Standards'!$AB$347+E307*'Reference Standards'!$AB$348+'Reference Standards'!$AB$349,2)), IF('Quantification Tool R1'!$B$12="68b",IF(E307&gt;0.05,0,ROUND(E307^2*'Reference Standards'!$AC$347+E307*'Reference Standards'!$AC$348+'Reference Standards'!$AC$349,2)),  IF(OR('Quantification Tool R1'!$B$12="68a",'Quantification Tool R1'!$B$12="68c"),IF(E307&gt;0.07,0,ROUND(E307^2*'Reference Standards'!$AD$347+E307*'Reference Standards'!$AD$348+'Reference Standards'!$AD$349,2)), IF(OR('Quantification Tool R1'!$B$12="71f",'Quantification Tool R1'!$B$12="71g"),IF(E307&gt;0.13,0,ROUND(IF(E307&gt;0.042,E307*'Reference Standards'!$AE$348+'Reference Standards'!$AE$349,E307*'Reference Standards'!$AF$348+'Reference Standards'!$AF$349),2)), IF('Quantification Tool R1'!$B$12="67fhi",IF(E307&gt;0.16,0,ROUND(E307^2*'Reference Standards'!$AG$347+E307*'Reference Standards'!$AG$348+'Reference Standards'!$AG$349,2)),  IF('Quantification Tool R1'!$B$12="65j",IF(E307&gt;0.035,0,ROUND(IF(E307&lt;=0.003,0.7,E307^2*'Reference Standards'!$AB$387+E307*'Reference Standards'!$AB$388+'Reference Standards'!$AB$389),2)),IF('Quantification Tool R1'!$B$12="69de",IF(E307&gt;0.037,0,ROUND(IF(E307&lt;=0.003,0.7,E307^2*'Reference Standards'!$AC$387+E307*'Reference Standards'!$AC$388+'Reference Standards'!$AC$389),2)),IF('Quantification Tool R1'!$B$12="71e",IF(E307&gt;0.23,0,ROUND(IF(E307&lt;=0.003,0.7,E307^2*'Reference Standards'!$AD$387+E307*'Reference Standards'!$AD$388+'Reference Standards'!$AD$389),2)),IF('Quantification Tool R1'!$B$12="66f",IF(E307&gt;0.06,0,ROUND(IF(E307&lt;=0.003,0.85,IF(E307&lt;=0.004,0.7,E307^2*'Reference Standards'!$AE$387+E307*'Reference Standards'!$AE$388+'Reference Standards'!$AE$389)),2)),IF('Quantification Tool R1'!$B$12="67g",IF(E307&gt;0.11,0,ROUND(IF(E307&lt;=0.01,E307*'Reference Standards'!$AH$388+'Reference Standards'!$AH$389, E307^2*'Reference Standards'!$AF$387+E307*'Reference Standards'!$AF$388+'Reference Standards'!$AF$389),2)),IF('Quantification Tool R1'!$B$12="74b",IF(E307&gt;0.49,0,ROUND(IF(E307&lt;=0.01,E307*'Reference Standards'!$AH$388+'Reference Standards'!$AH$389, E307^2*'Reference Standards'!$AG$387+E307*'Reference Standards'!$AG$388+'Reference Standards'!$AG$389),2)),IF('Quantification Tool R1'!$B$12="65abei",IF(E307&gt;0.199,0,ROUND(IF(E307&lt;=0.01,E307*'Reference Standards'!$AI$426+'Reference Standards'!$AI$427, E307^2*'Reference Standards'!$AE$425+E307*'Reference Standards'!$AE$426+'Reference Standards'!$AE$427),2))    )))))))))))))),      IF('Quantification Tool R1'!$B$13&lt;=2.5, IF(OR('Quantification Tool R1'!$B$12="66d",'Quantification Tool R1'!$B$12="66e",'Quantification Tool R1'!$B$12="66g"),IF(E307&gt;0.05,0,ROUND(IF(E307&lt;=0.002,1,IF(E307&lt;=0.005,E307*'Reference Standards'!$AF$464+'Reference Standards'!$AF$465, E307^2*'Reference Standards'!$AB$463+E307*'Reference Standards'!$AB$464+'Reference Standards'!$AB$465)),2)), IF('Quantification Tool R1'!$B$12="67fhi",IF(E307&gt;0.1,0,ROUND(IF(E307&lt;=0.002,1,IF(E307&lt;=0.006,E307*'Reference Standards'!$AG$464+'Reference Standards'!$AG$465, E307^2*'Reference Standards'!$AC$463+E307*'Reference Standards'!$AC$464+'Reference Standards'!$AC$465)),2)), IF('Quantification Tool R1'!$B$12="65abei",IF(E307&gt;0.13,0,ROUND(IF(E307&lt;=0.003,1,IF(E307&lt;=0.008,E307*'Reference Standards'!$AH$464+'Reference Standards'!$AH$465, E307^2*'Reference Standards'!$AD$463+E307*'Reference Standards'!$AD$464+'Reference Standards'!$AD$465)),2)), IF('Quantification Tool R1'!$B$12="68b",IF(E307&gt;0.043,0,ROUND(IF(E307&lt;=0.004,1, IF(E307&lt;=0.005,0.7, E307^2*'Reference Standards'!$AE$463+E307*'Reference Standards'!$AE$464+'Reference Standards'!$AE$465)),2)), IF('Quantification Tool R1'!$B$12="69de",IF(E307&gt;=0.034,0,ROUND(IF(E307&lt;=0.003,1, IF(E307&lt;=0.006,E307*'Reference Standards'!$AG$500+'Reference Standards'!$AG$501, E307*'Reference Standards'!$AB$500+'Reference Standards'!$AB$501)),2)), IF(OR('Quantification Tool R1'!$B$12="68a",'Quantification Tool R1'!$B$12="68c"),IF(E307&gt;0.202,0,ROUND(IF(E307&lt;=0.003,1, IF(E307&lt;=0.006,E307*'Reference Standards'!$AG$500+'Reference Standards'!$AG$501, IF(E307&gt;=0.04,E307*'Reference Standards'!$AC$500+'Reference Standards'!$AC$501,E307*'Reference Standards'!$AE$500+'Reference Standards'!$AE$501))),2)), IF(OR('Quantification Tool R1'!$B$12="71f",'Quantification Tool R1'!$B$12="71g"),IF(E307&gt;0.631,0,ROUND(IF(E307&lt;=0.003,1, IF(E307&lt;=0.006,E307*'Reference Standards'!$AG$500+'Reference Standards'!$AG$501, IF(E307&gt;=0.17,E307*'Reference Standards'!$AD$500+'Reference Standards'!$AD$501,E307*'Reference Standards'!$AF$500+'Reference Standards'!$AF$501))),2)),   IF('Quantification Tool R1'!$B$12="71e",IF(E307&gt;1.23,0,ROUND(IF(E307&lt;=0.004,1,IF(E307&lt;=0.006,E307*'Reference Standards'!$AF$538+'Reference Standards'!$AF$539, E307^2*'Reference Standards'!$AB$537+E307*'Reference Standards'!$AB$538+'Reference Standards'!$AB$539)),2)), IF('Quantification Tool R1'!$B$12="67g",IF(E307&gt;0.11,0,ROUND(IF(E307&lt;=0.006,1,IF(E307&lt;=0.011,E307*'Reference Standards'!$AG$538+'Reference Standards'!$AG$539, E307^2*'Reference Standards'!$AC$537+E307*'Reference Standards'!$AC$538+'Reference Standards'!$AC$539)),2)), IF('Quantification Tool R1'!$B$12="65j",IF(E307&gt;0.046,0,ROUND(IF(E307&lt;=0.007,1,IF(E307&lt;=0.012,E307*'Reference Standards'!$AH$538+'Reference Standards'!$AH$539, E307^2*'Reference Standards'!$AD$537+E307*'Reference Standards'!$AD$538+'Reference Standards'!$AD$539)),2)), IF('Quantification Tool R1'!$B$12="66f",IF(E307&gt;0.081,0,ROUND(IF(E307&lt;=0.008,1,IF(E307&lt;=0.011,E307*'Reference Standards'!$AI$538+'Reference Standards'!$AI$539, E307^2*'Reference Standards'!$AE$537+E307*'Reference Standards'!$AE$538+'Reference Standards'!$AE$539)),2)), IF(OR('Quantification Tool R1'!$B$12="71h",'Quantification Tool R1'!$B$12="71i"),IF(E307&gt;0.37,0,ROUND(IF(E307&lt;=0.013,1,IF(E307&lt;=0.032,E307*'Reference Standards'!$AH$576+'Reference Standards'!$AH$577, IF(E307&lt;=0.3,E307*'Reference Standards'!$AF$576+'Reference Standards'!$AF$577,E307*'Reference Standards'!$AB$576+'Reference Standards'!$AB$577))),2)), IF('Quantification Tool R1'!$B$12="73a",IF(E307&gt;0.448,0,ROUND(IF(E307&lt;=0.071,1,IF(E307&lt;=0.086,E307*'Reference Standards'!$AJ$576+'Reference Standards'!$AJ$577, IF(E307&lt;=0.165,E307*'Reference Standards'!$AG$576+'Reference Standards'!$AG$577,E307*'Reference Standards'!$AE$576+'Reference Standards'!$AE$577))),2)),  IF('Quantification Tool R1'!$B$12="74b",IF(E307&gt;0.43,0,ROUND(IF(E307&lt;=0.018,1,IF(E307&lt;=0.019,0.85, IF(E307&lt;=0.02,0.7, E307^2*'Reference Standards'!$AC$575+E307*'Reference Standards'!$AC$576+'Reference Standards'!$AC$577))),2)), IF('Quantification Tool R1'!$B$12="74a",IF(E307&gt;0.217,0,ROUND(IF(E307&lt;=0.02,1,IF(E307&lt;=0.033,E307*'Reference Standards'!$AI$576+'Reference Standards'!$AI$577, E307^2*'Reference Standards'!$AD$575+E307*'Reference Standards'!$AD$576+'Reference Standards'!$AD$577)),2))     )))))))))))))))))))</f>
        <v/>
      </c>
      <c r="G307" s="87" t="str">
        <f>IFERROR(AVERAGE(F307),"")</f>
        <v/>
      </c>
      <c r="H307" s="549"/>
      <c r="I307" s="536"/>
      <c r="J307" s="555"/>
      <c r="K307" s="555"/>
      <c r="L307" s="21"/>
    </row>
    <row r="308" spans="1:12" ht="15.6" x14ac:dyDescent="0.3">
      <c r="A308" s="550" t="s">
        <v>59</v>
      </c>
      <c r="B308" s="560" t="s">
        <v>340</v>
      </c>
      <c r="C308" s="125" t="s">
        <v>331</v>
      </c>
      <c r="D308" s="126"/>
      <c r="E308" s="166"/>
      <c r="F308" s="345" t="str">
        <f>IF(E308="","",IF(OR('Quantification Tool R1'!B$12="73a",'Quantification Tool R1'!B$12="73b"),IF(E308&lt;1,0,IF(E308&gt;=30,1,ROUND(IF(E308&lt;22,'Reference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531" t="str">
        <f>IFERROR(AVERAGE(F308:F311),"")</f>
        <v/>
      </c>
      <c r="H308" s="568" t="str">
        <f>IFERROR(ROUND(AVERAGE(G308:G313),2),"")</f>
        <v/>
      </c>
      <c r="I308" s="519" t="str">
        <f>IF(H308="","",IF(H308&gt;0.69,"Functioning",IF(H308&gt;0.29,"Functioning At Risk",IF(H308&gt;-1,"Not Functioning"))))</f>
        <v/>
      </c>
      <c r="J308" s="555"/>
      <c r="K308" s="555"/>
      <c r="L308" s="21"/>
    </row>
    <row r="309" spans="1:12" ht="15.6" x14ac:dyDescent="0.3">
      <c r="A309" s="556"/>
      <c r="B309" s="561"/>
      <c r="C309" s="174" t="s">
        <v>335</v>
      </c>
      <c r="D309" s="175"/>
      <c r="E309" s="165"/>
      <c r="F309" s="346" t="str">
        <f>IF(E309="","",IF(AND('Quantification Tool R1'!$B$12="74b",'Quantification Tool R1'!$B$13&lt;=2),IF(E309&lt;0,0,IF(E309&gt;15.6,0.69,ROUND('Reference Standards'!$AL$54*E309^2+'Reference Standards'!$AL$55*E309+'Reference Standards'!$AL$56,2))),IF(AND('Quantification Tool R1'!$B$12="65abei",'Quantification Tool R1'!$B$13&lt;=2),IF(E309&lt;0,0,IF(E309&gt;=20,0.69,ROUND('Reference Standards'!$AM$54*E309^2+'Reference Standards'!$AM$55*E309+'Reference Standards'!$AM$56,2))),IF(OR(AND('Quantification Tool R1'!$B$12="74a",'Quantification Tool R1'!$B$13&gt;2,'Quantification Tool R1'!$B$19="January - June"),AND('Quantification Tool R1'!$B$12="71i",'Quantification Tool R1'!$B$13&gt;2,'Quantification Tool R1'!$B$20="SQBANK")),IF(E309&lt;0,0,IF(E309&gt;24.7,0.69,ROUND('Reference Standards'!$AN$54*E309^2+'Reference Standards'!$AN$55*E309+'Reference Standards'!$AN$56,2))),IF(OR('Quantification Tool R1'!$B$12="74b",'Quantification Tool R1'!$B$12="65abei"),IF(E309&lt;0,0,IF(E309&gt;32.7,0.69,ROUND('Reference Standards'!$AO$54*E309^2+'Reference Standards'!$AO$55*E309+'Reference Standards'!$AO$56,2))),IF(AND('Quantification Tool R1'!$B$12="68b",'Quantification Tool R1'!$B$13&gt;2),IF(E309&lt;0,0,IF(E309&gt;41.2,0.69,ROUND('Reference Standards'!$AP$54*E309^2+'Reference Standards'!$AP$55*E309+'Reference Standards'!$AP$56,2))),IF(OR(AND('Quantification Tool R1'!$B$12="71i",'Quantification Tool R1'!$B$13&lt;=2),AND(OR('Quantification Tool R1'!$B$12="68c",'Quantification Tool R1'!$B$12="68d"),'Quantification Tool R1'!$B$19="January - June")),IF(E309&lt;0,0,IF(E309&gt;49.2,0.69,ROUND('Reference Standards'!$AL$94*E309^2+'Reference Standards'!$AL$95*E309+'Reference Standards'!$AL$96,2))),IF(OR(AND('Quantification Tool R1'!$B$12="68a",'Quantification Tool R1'!$B$19="January - June"),AND(OR('Quantification Tool R1'!$B$12="68c",'Quantification Tool R1'!$B$12="68d"),'Quantification Tool R1'!$B$19="July - December")),IF(E309&lt;0,0,IF(E309&gt;53.4,0.69,ROUND('Reference Standards'!$AM$94*E309^2+'Reference Standards'!$AM$95*E309+'Reference Standards'!$AM$96,2))),IF(OR(AND('Quantification Tool R1'!$B$12="71i",'Quantification Tool R1'!$B$13&gt;2,'Quantification Tool R1'!$B$20="SQKICK"),AND(OR('Quantification Tool R1'!$B$12="67fhi",'Quantification Tool R1'!$B$12="67g"),'Quantification Tool R1'!$B$13&lt;=2),'Quantification Tool R1'!$B$12="65j"),IF(E309&lt;0,0,IF(E309&gt;57.8,0.69,ROUND('Reference Standards'!$AN$94*E309^2+'Reference Standards'!$AN$95*E309+'Reference Standards'!$AN$96,2))),IF(OR(AND('Quantification Tool R1'!$B$12="74a",'Quantification Tool R1'!$B$13&gt;2,'Quantification Tool R1'!$B$19="July - December"),AND(OR('Quantification Tool R1'!$B$12="67fhi",'Quantification Tool R1'!$B$12="67g"),'Quantification Tool R1'!$B$13&gt;2),'Quantification Tool R1'!$B$12="69de"),IF(E309&lt;0,0,IF(E309&gt;62.5,0.69,ROUND('Reference Standards'!$AO$94*E309^2+'Reference Standards'!$AO$95*E309+'Reference Standards'!$AO$96,2))),  IF(OR('Quantification Tool R1'!$B$12="66d",'Quantification Tool R1'!$B$12="66e",'Quantification Tool R1'!$B$12="66ik",'Quantification Tool R1'!$B$12="71e",'Quantification Tool R1'!$B$12="71f",'Quantification Tool R1'!$B$12="71g",'Quantification Tool R1'!$B$12="71h"),IF(E309&lt;0,0,IF(E309&gt;66.5,0.69,ROUND('Reference Standards'!$AP$94*E309^2+'Reference Standards'!$AP$95*E309+'Reference Standards'!$AP$96,2))),IF(OR('Quantification Tool R1'!$B$12="66f",'Quantification Tool R1'!$B$12="66g",'Quantification Tool R1'!$B$12="66j",AND('Quantification Tool R1'!$B$12="68a",'Quantification Tool R1'!$B$19="July - December")), IF(E309&lt;0,0,IF(E309&gt;69,0.69,ROUND('Reference Standards'!$AQ$94*E309^2+'Reference Standards'!$AQ$95*E309+'Reference Standards'!$AQ$96,2))))   )))))))))))</f>
        <v/>
      </c>
      <c r="G309" s="531"/>
      <c r="H309" s="568"/>
      <c r="I309" s="519"/>
      <c r="J309" s="555"/>
      <c r="K309" s="555"/>
      <c r="L309" s="21"/>
    </row>
    <row r="310" spans="1:12" ht="15.6" x14ac:dyDescent="0.3">
      <c r="A310" s="556"/>
      <c r="B310" s="561"/>
      <c r="C310" s="174" t="s">
        <v>339</v>
      </c>
      <c r="D310" s="175"/>
      <c r="E310" s="165"/>
      <c r="F310" s="346" t="str">
        <f>IF(E310="","",IF(AND('Quantification Tool R1'!$B$12="74b",'Quantification Tool R1'!$B$13&lt;=2),IF(E310&lt;0,0,IF(E310&gt;8.1,0.69,ROUND('Reference Standards'!$AL$131*E310^2+'Reference Standards'!$AL$132*E310+'Reference Standards'!$AL$133,2))),IF(OR('Quantification Tool R1'!$B$12="73a",'Quantification Tool R1'!$B$12="73b"),IF(E310&lt;0,0,IF(E310&gt;=28,0.69,ROUND('Reference Standards'!$AM$131*E310^2+'Reference Standards'!$AM$132*E310+'Reference Standards'!$AM$133,2))),IF(AND('Quantification Tool R1'!$B$12="74a",'Quantification Tool R1'!$B$13&gt;2,'Quantification Tool R1'!$B$19="January - June"),IF(E310&lt;0,0,IF(E310&gt;=32.5,0.69,ROUND('Reference Standards'!$AN$131*E310^2+'Reference Standards'!$AN$132*E310+'Reference Standards'!$AN$133,2))),IF(AND('Quantification Tool R1'!$B$12="71i",'Quantification Tool R1'!$B$13&gt;2,'Quantification Tool R1'!$B$20="SQBANK"),IF(E310&lt;0,0,IF(E310&gt;=37,0.69,ROUND('Reference Standards'!$AO$131*E310^2+'Reference Standards'!$AO$132*E310+'Reference Standards'!$AO$133,2))),IF(OR(AND(OR('Quantification Tool R1'!$B$12="65abei",'Quantification Tool R1'!$B$12="74b"),'Quantification Tool R1'!$B$13&gt;2),AND('Quantification Tool R1'!$B$12="71i",'Quantification Tool R1'!$B$13&gt;2,'Quantification Tool R1'!$B$20="SQKICK")),IF(E310&lt;0,0,IF(E310&gt;42.6,0.69,ROUND('Reference Standards'!$AP$131*E310^2+'Reference Standards'!$AP$132*E310+'Reference Standards'!$AP$133,2))),     IF(OR(AND('Quantification Tool R1'!$B$12="65abei",'Quantification Tool R1'!$B$13&lt;=2),AND(OR('Quantification Tool R1'!$B$12="68c",'Quantification Tool R1'!$B$12="68d"),'Quantification Tool R1'!$B$19="July - December"),'Quantification Tool R1'!$B$12="71e"),IF(E310&lt;0,0,IF(E310&gt;=48,0.69,ROUND('Reference Standards'!$AL$171*E310^2+'Reference Standards'!$AL$172*E310+'Reference Standards'!$AL$173,2))),IF(OR('Quantification Tool R1'!$B$12="65j",'Quantification Tool R1'!$B$12="67fhi",'Quantification Tool R1'!$B$12="67g",AND('Quantification Tool R1'!$B$12="74a",'Quantification Tool R1'!$B$19="July - December",'Quantification Tool R1'!$B$13&gt;2),AND('Quantification Tool R1'!$B$12="71i",'Quantification Tool R1'!$B$13&lt;=2)),IF(E310&lt;0,0,IF(E310&gt;=53,0.69,ROUND('Reference Standards'!$AM$171*E310^2+'Reference Standards'!$AM$172*E310+'Reference Standards'!$AM$173,2))),IF(OR(AND(OR('Quantification Tool R1'!$B$12="68b",'Quantification Tool R1'!$B$12="71f",'Quantification Tool R1'!$B$12="71g",'Quantification Tool R1'!$B$12="71h"),'Quantification Tool R1'!$B$13&gt;2),'Quantification Tool R1'!$B$12="68a"),IF(E310&lt;0,0,IF(E310&gt;=57,0.69,ROUND('Reference Standards'!$AN$171*E310^2+'Reference Standards'!$AN$172*E310+'Reference Standards'!$AN$173,2))),IF(OR('Quantification Tool R1'!$B$12="66f",'Quantification Tool R1'!$B$12="66g",'Quantification Tool R1'!$B$12="66j",AND(OR('Quantification Tool R1'!$B$12="71f",'Quantification Tool R1'!$B$12="71g",'Quantification Tool R1'!$B$12="71h"),'Quantification Tool R1'!$B$13&lt;=2)),IF(E310&lt;0,0,IF(E310&gt;=60,0.69,ROUND('Reference Standards'!$AO$171*E310^2+'Reference Standards'!$AO$172*E310+'Reference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December")),IF(E310&lt;0,0,IF(E310&gt;=67.5,0.69,ROUND('Reference Standards'!$AP$171*E310^2+'Reference Standards'!$AP$172*E310+'Reference Standards'!$AP$173,2))),IF(AND('Quantification Tool R1'!$B$12="69de",'Quantification Tool R1'!$B$19="January - June"), IF(E310&lt;0,0,IF(E310&gt;=72,0.69,ROUND('Reference Standards'!$AQ$171*E310^2+'Reference Standards'!$AQ$172*E310+'Reference Standards'!$AQ$173,2))))   )))))))))))</f>
        <v/>
      </c>
      <c r="G310" s="531"/>
      <c r="H310" s="568"/>
      <c r="I310" s="519"/>
      <c r="J310" s="555"/>
      <c r="K310" s="555"/>
      <c r="L310" s="21"/>
    </row>
    <row r="311" spans="1:12" ht="15.6" x14ac:dyDescent="0.3">
      <c r="A311" s="556"/>
      <c r="B311" s="562"/>
      <c r="C311" s="127" t="s">
        <v>336</v>
      </c>
      <c r="D311" s="71"/>
      <c r="E311" s="167"/>
      <c r="F311" s="346" t="str">
        <f>IF(E311="","",IF(OR('Quantification Tool R1'!$B$12="67fhi",'Quantification Tool R1'!$B$12="67g",'Quantification Tool R1'!$B$12="71e",'Quantification Tool R1'!$B$12="73a",'Quantification Tool R1'!$B$12="73b",AND(OR('Quantification Tool R1'!$B$12="71f",'Quantification Tool R1'!$B$12="71g",'Quantification Tool R1'!$B$12="71h"),'Quantification Tool R1'!$B$13&gt;2)),IF(E311&gt;100,0,IF(E311&lt;15,0.69,ROUND('Reference Standards'!$AL$208*E311^2+'Reference Standards'!$AL$209*E311+'Reference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),IF(E311&gt;100,0,IF(E311&lt;19,0.69,ROUND('Reference Standards'!$AM$208*E311^2+'Reference Standards'!$AM$209*E311+'Reference Standards'!$AM$210,2))),    IF(OR(AND('Quantification Tool R1'!$B$12="69de",'Quantification Tool R1'!$B$19="January - June"),AND('Quantification Tool R1'!$B$12="71i",'Quantification Tool R1'!$B$13&gt;2,'Quantification Tool R1'!$B$20="SQKICK" )),IF(E311&gt;100,0,IF(E311&lt;22,0.69,ROUND('Reference Standards'!$AN$208*E311^2+'Reference Standards'!$AN$209*E311+'Reference Standards'!$AN$210,2))),    IF(OR('Quantification Tool R1'!$B$12="65j",AND('Quantification Tool R1'!$B$12="68b",'Quantification Tool R1'!$B$13&gt;2)),IF(E311&gt;100,0,IF(E311&lt;24,0.69,ROUND('Reference Standards'!$AO$208*E311^2+'Reference Standards'!$AO$209*E311+'Reference Standards'!$AO$210,2))),    IF(AND(OR('Quantification Tool R1'!$B$12="65abei",'Quantification Tool R1'!$B$12="71f",'Quantification Tool R1'!$B$12="71g",'Quantification Tool R1'!$B$12="71h"),'Quantification Tool R1'!$B$13&lt;=2),IF(E311&gt;95,0,IF(E311&lt;33,0.69,ROUND('Reference Standards'!$AL$246*E311^2+'Reference Standards'!$AL$247*E311+'Reference Standards'!$AL$248,2))),   IF(AND(OR('Quantification Tool R1'!$B$12="65abei",'Quantification Tool R1'!$B$12="74b"),'Quantification Tool R1'!$B$13&gt;2),IF(E311&gt;97,0,IF(E311&lt;36,0.69,ROUND('Reference Standards'!$AM$246*E311^2+'Reference Standards'!$AM$247*E311+'Reference Standards'!$AM$248,2))),  IF(AND('Quantification Tool R1'!$B$12="74a",'Quantification Tool R1'!$B$19="January - June",'Quantification Tool R1'!$B$13&gt;2),IF(E311&gt;93,0,IF(E311&lt;52,0.69,ROUND('Reference Standards'!$AN$246*E311^2+'Reference Standards'!$AN$247*E311+'Reference Standards'!$AN$248,2))),   IF(AND('Quantification Tool R1'!$B$12="74b",'Quantification Tool R1'!$B$13&lt;=2),IF(E311&gt;97,0,IF(E311&lt;62,0.69,ROUND('Reference Standards'!$AO$246*E311^2+'Reference Standards'!$AO$247*E311+'Reference Standards'!$AO$248,2)))  )))))))))</f>
        <v/>
      </c>
      <c r="G311" s="531"/>
      <c r="H311" s="568"/>
      <c r="I311" s="519"/>
      <c r="J311" s="555"/>
      <c r="K311" s="555"/>
      <c r="L311" s="21"/>
    </row>
    <row r="312" spans="1:12" ht="15.6" x14ac:dyDescent="0.3">
      <c r="A312" s="556"/>
      <c r="B312" s="563" t="s">
        <v>74</v>
      </c>
      <c r="C312" s="125" t="s">
        <v>211</v>
      </c>
      <c r="D312" s="126"/>
      <c r="E312" s="166"/>
      <c r="F312" s="345" t="str">
        <f>IF(E312="","",IF(E312=1,0.15,IF(E312=3,0.5,IF(E312=5,0.85,0))))</f>
        <v/>
      </c>
      <c r="G312" s="564" t="str">
        <f>IFERROR(AVERAGE(F312:F313),"")</f>
        <v/>
      </c>
      <c r="H312" s="568"/>
      <c r="I312" s="519"/>
      <c r="J312" s="555"/>
      <c r="K312" s="555"/>
      <c r="L312" s="21"/>
    </row>
    <row r="313" spans="1:12" ht="15.6" x14ac:dyDescent="0.3">
      <c r="A313" s="551"/>
      <c r="B313" s="563"/>
      <c r="C313" s="127" t="s">
        <v>332</v>
      </c>
      <c r="D313" s="71"/>
      <c r="E313" s="167"/>
      <c r="F313" s="347" t="str">
        <f>IF(E313="","",IF(E313=1,0.15,IF(E313=3,0.5,IF(E313=5,0.85,0))))</f>
        <v/>
      </c>
      <c r="G313" s="565"/>
      <c r="H313" s="568"/>
      <c r="I313" s="519"/>
      <c r="J313" s="555"/>
      <c r="K313" s="555"/>
      <c r="L313" s="21"/>
    </row>
    <row r="314" spans="1:12" x14ac:dyDescent="0.3">
      <c r="L314" s="21"/>
    </row>
    <row r="315" spans="1:12" x14ac:dyDescent="0.3">
      <c r="L315" s="21"/>
    </row>
    <row r="316" spans="1:12" ht="21" x14ac:dyDescent="0.4">
      <c r="A316" s="148" t="s">
        <v>135</v>
      </c>
      <c r="B316" s="246"/>
      <c r="C316" s="249" t="s">
        <v>324</v>
      </c>
      <c r="D316" s="246"/>
      <c r="E316" s="247"/>
      <c r="F316" s="248"/>
      <c r="G316" s="544" t="s">
        <v>18</v>
      </c>
      <c r="H316" s="545"/>
      <c r="I316" s="545"/>
      <c r="J316" s="545"/>
      <c r="K316" s="546"/>
      <c r="L316" s="21"/>
    </row>
    <row r="317" spans="1:12" ht="15.6" x14ac:dyDescent="0.3">
      <c r="A317" s="158" t="s">
        <v>1</v>
      </c>
      <c r="B317" s="158" t="s">
        <v>2</v>
      </c>
      <c r="C317" s="542" t="s">
        <v>3</v>
      </c>
      <c r="D317" s="644"/>
      <c r="E317" s="158" t="s">
        <v>15</v>
      </c>
      <c r="F317" s="158" t="s">
        <v>16</v>
      </c>
      <c r="G317" s="158" t="s">
        <v>19</v>
      </c>
      <c r="H317" s="158" t="s">
        <v>20</v>
      </c>
      <c r="I317" s="314" t="s">
        <v>20</v>
      </c>
      <c r="J317" s="314" t="s">
        <v>21</v>
      </c>
      <c r="K317" s="315" t="s">
        <v>21</v>
      </c>
    </row>
    <row r="318" spans="1:12" ht="15.6" x14ac:dyDescent="0.3">
      <c r="A318" s="540" t="s">
        <v>60</v>
      </c>
      <c r="B318" s="308" t="s">
        <v>86</v>
      </c>
      <c r="C318" s="52" t="s">
        <v>388</v>
      </c>
      <c r="D318" s="52"/>
      <c r="E318" s="162"/>
      <c r="F318" s="338" t="str">
        <f>IF(E318="","",IF(E318&lt;=0,0,IF(E318&gt;=0.95,1,ROUND('Reference Standards'!C$14*E318+'Reference Standards'!C$15,2))))</f>
        <v/>
      </c>
      <c r="G318" s="83" t="str">
        <f>IFERROR(AVERAGE(F318),"")</f>
        <v/>
      </c>
      <c r="H318" s="522" t="str">
        <f>IFERROR(ROUND(AVERAGE(G318:G319),2),"")</f>
        <v/>
      </c>
      <c r="I318" s="519" t="str">
        <f>IF(H318="","",IF(H318&gt;0.69,"Functioning",IF(H318&gt;0.29,"Functioning At Risk",IF(H318&gt;-1,"Not Functioning"))))</f>
        <v/>
      </c>
      <c r="J318" s="555" t="str">
        <f>IF(AND(H318="",H320="",H322="",H344="",H348=""),"",ROUND((IF(H318="",0,H318)*0.2)+(IF(H320="",0,H320)*0.2)+(IF(H322="",0,H322)*0.2)+(IF(H344="",0,H344)*0.2)+(IF(H348="",0,H348)*0.2),2))</f>
        <v/>
      </c>
      <c r="K318" s="555" t="str">
        <f>IF(J318="","",IF(J318&lt;0.3, "Not Functioning",IF(OR(H318&lt;0.7,H320&lt;0.7,H322&lt;0.7,H344&lt;0.7,H348&lt;0.7),"Functioning At Risk",IF(J318&lt;0.7,"Functioning At Risk","Functioning"))))</f>
        <v/>
      </c>
    </row>
    <row r="319" spans="1:12" ht="15.6" x14ac:dyDescent="0.3">
      <c r="A319" s="541"/>
      <c r="B319" s="370" t="s">
        <v>128</v>
      </c>
      <c r="C319" s="373" t="s">
        <v>161</v>
      </c>
      <c r="D319" s="374"/>
      <c r="E319" s="43"/>
      <c r="F319" s="372" t="str">
        <f>IF(E319="","",IF(E319&gt;=1,1,IF(E319&lt;=0,0,ROUND(E319,2))))</f>
        <v/>
      </c>
      <c r="G319" s="367" t="str">
        <f>IFERROR(AVERAGE(F319:F319),"")</f>
        <v/>
      </c>
      <c r="H319" s="523"/>
      <c r="I319" s="519"/>
      <c r="J319" s="555"/>
      <c r="K319" s="555"/>
    </row>
    <row r="320" spans="1:12" ht="15.6" x14ac:dyDescent="0.3">
      <c r="A320" s="524" t="s">
        <v>6</v>
      </c>
      <c r="B320" s="572" t="s">
        <v>7</v>
      </c>
      <c r="C320" s="54" t="s">
        <v>8</v>
      </c>
      <c r="D320" s="54"/>
      <c r="E320" s="162"/>
      <c r="F320" s="339" t="str">
        <f>IF(E320="","",ROUND(IF(E320&gt;1.6,0,IF(E320&lt;=1,1,E320^2*'Reference Standards'!K$14+E320*'Reference Standards'!K$15+'Reference Standards'!K$16)),2))</f>
        <v/>
      </c>
      <c r="G320" s="579" t="str">
        <f>IFERROR(AVERAGE(F320:F321),"")</f>
        <v/>
      </c>
      <c r="H320" s="579" t="str">
        <f>IFERROR(ROUND(AVERAGE(G320),2),"")</f>
        <v/>
      </c>
      <c r="I320" s="569" t="str">
        <f>IF(H320="","",IF(H320&gt;0.69,"Functioning",IF(H320&gt;0.29,"Functioning At Risk",IF(H320&gt;-1,"Not Functioning"))))</f>
        <v/>
      </c>
      <c r="J320" s="555"/>
      <c r="K320" s="555"/>
    </row>
    <row r="321" spans="1:13" ht="15.6" x14ac:dyDescent="0.3">
      <c r="A321" s="525"/>
      <c r="B321" s="572"/>
      <c r="C321" s="54" t="s">
        <v>9</v>
      </c>
      <c r="D321" s="54"/>
      <c r="E321" s="163"/>
      <c r="F321" s="339" t="str">
        <f>IF(E321="","",(IF(OR('Quantification Tool R1'!B$11="A",'Quantification Tool R1'!B$11="B",'Quantification Tool R1'!$B$11="Bc"),IF(E321&lt;1.2,0,IF(E321&gt;=2.2,1,ROUND(IF(E321&lt;1.4,E321*'Reference Standards'!$K$84+'Reference Standards'!$K$85,E321*'Reference Standards'!$L$84+'Reference Standards'!$L$85),2))),IF(OR('Quantification Tool R1'!B$11="C",'Quantification Tool R1'!B$11="E"),IF(E321&lt;2,0,IF(E321&gt;=5,1,ROUND(IF(E321&lt;2.4,E321*'Reference Standards'!$L$49+'Reference Standards'!$L$50,E321*'Reference Standards'!$K$49+'Reference Standards'!$K$50),2)))))))</f>
        <v/>
      </c>
      <c r="G321" s="581"/>
      <c r="H321" s="580"/>
      <c r="I321" s="570"/>
      <c r="J321" s="555"/>
      <c r="K321" s="555"/>
    </row>
    <row r="322" spans="1:13" ht="15.6" x14ac:dyDescent="0.3">
      <c r="A322" s="526" t="s">
        <v>26</v>
      </c>
      <c r="B322" s="557" t="s">
        <v>27</v>
      </c>
      <c r="C322" s="60" t="s">
        <v>333</v>
      </c>
      <c r="D322" s="244"/>
      <c r="E322" s="61"/>
      <c r="F322" s="340" t="str">
        <f>IF(E322="","",IF(OR(LEFT('Quantification Tool R1'!$B$12,2)="65",LEFT('Quantification Tool R1'!$B$12,2)="66",LEFT('Quantification Tool R1'!$B$12,2)="71"),IF(E322&gt;=850,1,IF(E322&lt;250,ROUND('Reference Standards'!$S$17*(E322)+'Reference Standards'!$S$18,2),ROUND('Reference Standards'!$T$17*E322+'Reference Standards'!$T$18,2))),  IF(E322&gt;=345,1,IF(E322&lt;=180,ROUND('Reference Standards'!$U$17*(E322)+'Reference Standards'!$U$18,2),ROUND('Reference Standards'!$V$17*E322+'Reference Standards'!$V$18,2))))    )</f>
        <v/>
      </c>
      <c r="G322" s="528" t="str">
        <f>IFERROR(AVERAGE(F322:F323),"")</f>
        <v/>
      </c>
      <c r="H322" s="566" t="str">
        <f>IFERROR(ROUND(AVERAGE(G322:G343),2),"")</f>
        <v/>
      </c>
      <c r="I322" s="555" t="str">
        <f>IF(H322="","",IF(H322&gt;0.69,"Functioning",IF(H322&gt;0.29,"Functioning At Risk",IF(H322&gt;-1,"Not Functioning"))))</f>
        <v/>
      </c>
      <c r="J322" s="555"/>
      <c r="K322" s="555"/>
    </row>
    <row r="323" spans="1:13" ht="15.6" x14ac:dyDescent="0.3">
      <c r="A323" s="520"/>
      <c r="B323" s="558"/>
      <c r="C323" s="63" t="s">
        <v>323</v>
      </c>
      <c r="D323" s="245"/>
      <c r="E323" s="53"/>
      <c r="F323" s="341" t="str">
        <f>IF(E323="","",IF(OR(LEFT('Quantification Tool R1'!$B$12,2)="65",LEFT('Quantification Tool R1'!$B$12,2)="66",LEFT('Quantification Tool R1'!$B$12,2)="71"),IF(E323&gt;=30,1,IF(E323&lt;13,ROUND('Reference Standards'!$S$53*(E323)+'Reference Standards'!$S$54,2),ROUND('Reference Standards'!$T$53*E323+'Reference Standards'!$T$54,2))),  IF(E323&gt;=16,1,IF(E323&lt;=9,ROUND('Reference Standards'!$U$53*(E323)+'Reference Standards'!$U$54,2),ROUND('Reference Standards'!$V$53*E323+'Reference Standards'!$V$54,2))))    )</f>
        <v/>
      </c>
      <c r="G323" s="530"/>
      <c r="H323" s="566"/>
      <c r="I323" s="555"/>
      <c r="J323" s="555"/>
      <c r="K323" s="555"/>
    </row>
    <row r="324" spans="1:13" ht="15.6" x14ac:dyDescent="0.3">
      <c r="A324" s="520"/>
      <c r="B324" s="520" t="s">
        <v>395</v>
      </c>
      <c r="C324" s="58" t="s">
        <v>80</v>
      </c>
      <c r="D324" s="58"/>
      <c r="E324" s="165"/>
      <c r="F324" s="340" t="str">
        <f>IF(E324="","",ROUND(IF(E324&gt;0.7,0,IF(E324&lt;=0.1,1,E324^3*'Reference Standards'!S$87+E324^2*'Reference Standards'!S$88+E324*'Reference Standards'!S$89+'Reference Standards'!S$90)),2))</f>
        <v/>
      </c>
      <c r="G324" s="528" t="str">
        <f>IFERROR(ROUND(AVERAGE(F324:F327),2),"")</f>
        <v/>
      </c>
      <c r="H324" s="567"/>
      <c r="I324" s="555"/>
      <c r="J324" s="555"/>
      <c r="K324" s="555"/>
    </row>
    <row r="325" spans="1:13" ht="15.6" x14ac:dyDescent="0.3">
      <c r="A325" s="520"/>
      <c r="B325" s="520"/>
      <c r="C325" s="58" t="s">
        <v>49</v>
      </c>
      <c r="D325" s="58"/>
      <c r="E325" s="165"/>
      <c r="F325" s="84"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529"/>
      <c r="H325" s="567"/>
      <c r="I325" s="555"/>
      <c r="J325" s="555"/>
      <c r="K325" s="555"/>
    </row>
    <row r="326" spans="1:13" ht="15.6" x14ac:dyDescent="0.3">
      <c r="A326" s="520"/>
      <c r="B326" s="520"/>
      <c r="C326" s="58" t="s">
        <v>87</v>
      </c>
      <c r="D326" s="58"/>
      <c r="E326" s="165"/>
      <c r="F326" s="84" t="str">
        <f>IF(E326="","",ROUND(IF(E326&gt;40,0,IF(E326&lt;5,1,E326^3*'Reference Standards'!S$122+E326^2*'Reference Standards'!S$123+E326*'Reference Standards'!S$124+'Reference Standards'!S$125)),2))</f>
        <v/>
      </c>
      <c r="G326" s="529"/>
      <c r="H326" s="567"/>
      <c r="I326" s="555"/>
      <c r="J326" s="555"/>
      <c r="K326" s="555"/>
    </row>
    <row r="327" spans="1:13" ht="15.6" x14ac:dyDescent="0.3">
      <c r="A327" s="520"/>
      <c r="B327" s="521"/>
      <c r="C327" s="59" t="s">
        <v>394</v>
      </c>
      <c r="D327" s="59"/>
      <c r="E327" s="167"/>
      <c r="F327" s="341" t="str">
        <f>IF(E327="","",ROUND(IF(E327&gt;=30,0,IF(E327&lt;=0,1,E327*'Reference Standards'!S$156+'Reference Standards'!S$157)),2))</f>
        <v/>
      </c>
      <c r="G327" s="530"/>
      <c r="H327" s="567"/>
      <c r="I327" s="555"/>
      <c r="J327" s="555"/>
      <c r="K327" s="555"/>
    </row>
    <row r="328" spans="1:13" ht="15.6" x14ac:dyDescent="0.3">
      <c r="A328" s="520"/>
      <c r="B328" s="520" t="s">
        <v>50</v>
      </c>
      <c r="C328" s="60" t="s">
        <v>377</v>
      </c>
      <c r="D328" s="64"/>
      <c r="E328" s="136"/>
      <c r="F328" s="294" t="str">
        <f>IF(E328="","",ROUND(IF(E328&gt;9.2,1,E328*'Reference Standards'!$S$189+'Reference Standards'!$S$190),2))</f>
        <v/>
      </c>
      <c r="G328" s="552" t="str">
        <f>IFERROR(ROUND(AVERAGE(F328:F337),2),"")</f>
        <v/>
      </c>
      <c r="H328" s="567"/>
      <c r="I328" s="555"/>
      <c r="J328" s="555"/>
      <c r="K328" s="555"/>
    </row>
    <row r="329" spans="1:13" ht="15.6" x14ac:dyDescent="0.3">
      <c r="A329" s="520"/>
      <c r="B329" s="520"/>
      <c r="C329" s="62" t="s">
        <v>378</v>
      </c>
      <c r="D329" s="58"/>
      <c r="E329" s="162"/>
      <c r="F329" s="294" t="str">
        <f>IF(E329="","",ROUND(IF(E329&gt;9.2,1,E329*'Reference Standards'!$S$189+'Reference Standards'!$S$190),2))</f>
        <v/>
      </c>
      <c r="G329" s="553"/>
      <c r="H329" s="567"/>
      <c r="I329" s="555"/>
      <c r="J329" s="555"/>
      <c r="K329" s="555"/>
    </row>
    <row r="330" spans="1:13" ht="15.6" x14ac:dyDescent="0.3">
      <c r="A330" s="520"/>
      <c r="B330" s="520"/>
      <c r="C330" s="62" t="s">
        <v>379</v>
      </c>
      <c r="D330" s="58"/>
      <c r="E330" s="162"/>
      <c r="F330" s="294" t="str">
        <f>IF(E330="","",ROUND( IF(E330&gt;=200,1,IF(E330&lt;50, E330^2*'Reference Standards'!S$224+E330*'Reference Standards'!S$225+'Reference Standards'!S$226, E330*'Reference Standards'!T$224+'Reference Standards'!T$225)),2))</f>
        <v/>
      </c>
      <c r="G330" s="553"/>
      <c r="H330" s="567"/>
      <c r="I330" s="555"/>
      <c r="J330" s="555"/>
      <c r="K330" s="555"/>
    </row>
    <row r="331" spans="1:13" ht="15.6" x14ac:dyDescent="0.3">
      <c r="A331" s="520"/>
      <c r="B331" s="520"/>
      <c r="C331" s="62" t="s">
        <v>380</v>
      </c>
      <c r="D331" s="58"/>
      <c r="E331" s="162"/>
      <c r="F331" s="294" t="str">
        <f>IF(E331="","",ROUND( IF(E331&gt;=200,1,IF(E331&lt;50, E331^2*'Reference Standards'!S$224+E331*'Reference Standards'!S$225+'Reference Standards'!S$226, E331*'Reference Standards'!T$224+'Reference Standards'!T$225)),2))</f>
        <v/>
      </c>
      <c r="G331" s="553"/>
      <c r="H331" s="567"/>
      <c r="I331" s="555"/>
      <c r="J331" s="555"/>
      <c r="K331" s="555"/>
    </row>
    <row r="332" spans="1:13" ht="15.6" x14ac:dyDescent="0.3">
      <c r="A332" s="520"/>
      <c r="B332" s="520"/>
      <c r="C332" s="58" t="s">
        <v>381</v>
      </c>
      <c r="D332" s="58"/>
      <c r="E332" s="162"/>
      <c r="F332" s="294" t="str">
        <f>IF(E332="","",ROUND(IF(AND(E332&gt;=135,E332&lt;=262),1,IF(  E332&gt;=366,0.5, IF(E332&lt;135,E332*'Reference Standards'!S$259+'Reference Standards'!S$260, E332*'Reference Standards'!T$259+'Reference Standards'!T$260))),2))</f>
        <v/>
      </c>
      <c r="G332" s="553"/>
      <c r="H332" s="567"/>
      <c r="I332" s="555"/>
      <c r="J332" s="555"/>
      <c r="K332" s="555"/>
    </row>
    <row r="333" spans="1:13" ht="15.6" x14ac:dyDescent="0.3">
      <c r="A333" s="520"/>
      <c r="B333" s="520"/>
      <c r="C333" s="58" t="s">
        <v>382</v>
      </c>
      <c r="D333" s="58"/>
      <c r="E333" s="162"/>
      <c r="F333" s="294" t="str">
        <f>IF(E333="","",ROUND(IF(AND(E333&gt;=135,E333&lt;=262),1,IF(  E333&gt;=366,0.5, IF(E333&lt;135,E333*'Reference Standards'!S$259+'Reference Standards'!S$260, E333*'Reference Standards'!T$259+'Reference Standards'!T$260))),2))</f>
        <v/>
      </c>
      <c r="G333" s="553"/>
      <c r="H333" s="567"/>
      <c r="I333" s="555"/>
      <c r="J333" s="555"/>
      <c r="K333" s="555"/>
    </row>
    <row r="334" spans="1:13" ht="15.6" x14ac:dyDescent="0.3">
      <c r="A334" s="520"/>
      <c r="B334" s="520"/>
      <c r="C334" s="58" t="s">
        <v>383</v>
      </c>
      <c r="D334" s="58"/>
      <c r="E334" s="162"/>
      <c r="F334" s="84" t="str">
        <f>IF(E334="","",ROUND(IF(E334&gt;=75,1,IF(E334&lt;=0,0,E334*'Reference Standards'!S$330)),2))</f>
        <v/>
      </c>
      <c r="G334" s="553"/>
      <c r="H334" s="567"/>
      <c r="I334" s="555"/>
      <c r="J334" s="555"/>
      <c r="K334" s="555"/>
    </row>
    <row r="335" spans="1:13" ht="15.6" x14ac:dyDescent="0.3">
      <c r="A335" s="520"/>
      <c r="B335" s="520"/>
      <c r="C335" s="58" t="s">
        <v>384</v>
      </c>
      <c r="D335" s="58"/>
      <c r="E335" s="162"/>
      <c r="F335" s="84" t="str">
        <f>IF(E335="","",ROUND(IF(E335&gt;=75,1,IF(E335&lt;=0,0,E335*'Reference Standards'!S$330)),2))</f>
        <v/>
      </c>
      <c r="G335" s="553"/>
      <c r="H335" s="567"/>
      <c r="I335" s="555"/>
      <c r="J335" s="555"/>
      <c r="K335" s="555"/>
    </row>
    <row r="336" spans="1:13" ht="15.6" x14ac:dyDescent="0.3">
      <c r="A336" s="520"/>
      <c r="B336" s="520"/>
      <c r="C336" s="58" t="s">
        <v>385</v>
      </c>
      <c r="D336" s="58"/>
      <c r="E336" s="162"/>
      <c r="F336" s="294" t="str">
        <f>IF(E336="","",ROUND(IF(AND(E336&gt;=36.3,E336&lt;=68),1,IF(E336&gt;100,0,IF(E336&lt;36.3,(('Reference Standards'!S$297*(E336^2))+('Reference Standards'!S$298*E336)+'Reference Standards'!S$299),IF(E336&gt;68,(('Reference Standards'!T$297*(E336^2))+('Reference Standards'!T$298*E336)+'Reference Standards'!T$299))))),2))</f>
        <v/>
      </c>
      <c r="G336" s="553"/>
      <c r="H336" s="567"/>
      <c r="I336" s="555"/>
      <c r="J336" s="555"/>
      <c r="K336" s="555"/>
      <c r="M336" s="21"/>
    </row>
    <row r="337" spans="1:12" ht="15.6" x14ac:dyDescent="0.3">
      <c r="A337" s="520"/>
      <c r="B337" s="521"/>
      <c r="C337" s="58" t="s">
        <v>386</v>
      </c>
      <c r="D337" s="65"/>
      <c r="E337" s="162"/>
      <c r="F337" s="294" t="str">
        <f>IF(E337="","",ROUND(IF(AND(E337&gt;=36.3,E337&lt;=68),1,IF(E337&gt;100,0,IF(E337&lt;36.3,(('Reference Standards'!S$297*(E337^2))+('Reference Standards'!S$298*E337)+'Reference Standards'!S$299),IF(E337&gt;68,(('Reference Standards'!T$297*(E337^2))+('Reference Standards'!T$298*E337)+'Reference Standards'!T$299))))),2))</f>
        <v/>
      </c>
      <c r="G337" s="554"/>
      <c r="H337" s="567"/>
      <c r="I337" s="555"/>
      <c r="J337" s="555"/>
      <c r="K337" s="555"/>
    </row>
    <row r="338" spans="1:12" ht="15.6" x14ac:dyDescent="0.3">
      <c r="A338" s="520"/>
      <c r="B338" s="56" t="s">
        <v>108</v>
      </c>
      <c r="C338" s="72" t="s">
        <v>130</v>
      </c>
      <c r="D338" s="58"/>
      <c r="E338" s="43"/>
      <c r="F338" s="82" t="str">
        <f>IF(E338="","",IF(OR('Quantification Tool R1'!B$14="Gravel",'Quantification Tool R1'!B$14="Cobble"),IF(E338&gt;0.1,1,IF(E338&lt;=0.01,0,ROUND(E338*'Reference Standards'!$S$362+'Reference Standards'!$S$363,2)))))</f>
        <v/>
      </c>
      <c r="G338" s="82" t="str">
        <f>IFERROR(AVERAGE(F338),"")</f>
        <v/>
      </c>
      <c r="H338" s="567"/>
      <c r="I338" s="555"/>
      <c r="J338" s="555"/>
      <c r="K338" s="555"/>
    </row>
    <row r="339" spans="1:12" ht="15.6" x14ac:dyDescent="0.3">
      <c r="A339" s="520"/>
      <c r="B339" s="526" t="s">
        <v>51</v>
      </c>
      <c r="C339" s="64" t="s">
        <v>52</v>
      </c>
      <c r="D339" s="64"/>
      <c r="E339" s="166"/>
      <c r="F339" s="337" t="str">
        <f>IF(E339="","", IF(ISNUMBER('Quantification Tool R1'!$B$17), IF('Quantification Tool R1'!$B$17&lt;=2,   IF(AND(E339&gt;=3,E339&lt;=5),1, IF(OR(E339&lt;=1,E339&gt;=7), 0, ROUND( IF(E339&lt;3, E339*'Reference Standards'!S$398+'Reference Standards'!S$399,E339*'Reference Standards'!T$398+'Reference Standards'!T$399),2) ) ),   IF(E339&lt;=2.5,1, IF(E339&gt;=5.8,0, ROUND(E339*'Reference Standards'!S$430+'Reference Standards'!S$431,2))))   ))</f>
        <v/>
      </c>
      <c r="G339" s="528" t="str">
        <f>IFERROR(AVERAGE(F339:F342),"")</f>
        <v/>
      </c>
      <c r="H339" s="567"/>
      <c r="I339" s="555"/>
      <c r="J339" s="555"/>
      <c r="K339" s="555"/>
    </row>
    <row r="340" spans="1:12" ht="15.6" x14ac:dyDescent="0.3">
      <c r="A340" s="520"/>
      <c r="B340" s="520"/>
      <c r="C340" s="58" t="s">
        <v>53</v>
      </c>
      <c r="D340" s="58"/>
      <c r="E340" s="165"/>
      <c r="F340" s="84" t="str">
        <f>IF(E340="","", IF( E340&gt;=2.4,1, IF(E340&lt;=1,0,  ROUND(IF(E340&lt;2.4, E340*'Reference Standards'!$S$464+'Reference Standards'!$S$465  ),2))))</f>
        <v/>
      </c>
      <c r="G340" s="529"/>
      <c r="H340" s="567"/>
      <c r="I340" s="555"/>
      <c r="J340" s="555"/>
      <c r="K340" s="555"/>
    </row>
    <row r="341" spans="1:12" ht="15.6" x14ac:dyDescent="0.3">
      <c r="A341" s="520"/>
      <c r="B341" s="520"/>
      <c r="C341" s="58" t="s">
        <v>334</v>
      </c>
      <c r="D341" s="58"/>
      <c r="E341" s="165"/>
      <c r="F341" s="390" t="str">
        <f>IF(E341="","", IF(LEFT('Quantification Tool R1'!$B$12,2)="67",  IF( AND(E341&gt;=45,E341&lt;=65),1, IF(OR(E341&lt;=20,E341&gt;=90),0, ROUND(  IF(E341&lt;45, E341*'Reference Standards'!$S$498+'Reference Standards'!$S$499,E341*'Reference Standards'!$T$498+'Reference Standards'!$T$499),2))), IF(OR(  LEFT('Quantification Tool R1'!$B$12,2)="68", LEFT('Quantification Tool R1'!$B$12,2)="69",LEFT('Quantification Tool R1'!$B$12,2)="71"),  IF( AND(E341&gt;=30,E341&lt;=50),1, IF(OR(E341&lt;=10,E341&gt;=70),0, ROUND(  IF(E341&lt;30, E341*'Reference Standards'!$S$533+'Reference Standards'!$S$534,E341*'Reference Standards'!$T$533+'Reference Standards'!$T$534),2))), IF(LEFT('Quantification Tool R1'!$B$12,2)="66",  IF( AND(E341&gt;=20,E341&lt;=45),1, IF(OR(E341&lt;=0,E341&gt;=90),0, ROUND(  IF(E341&lt;20, E341*'Reference Standards'!$S$567+'Reference Standards'!$S$568,E341*'Reference Standards'!$T$567+'Reference Standards'!$T$568),2))), IF(OR(  LEFT('Quantification Tool R1'!$B$12,2)="65", LEFT('Quantification Tool R1'!$B$12,2)="74", LEFT('Quantification Tool R1'!$B$12,2)="73"),  IF( AND(E341&gt;=20,E341&lt;=30),1, IF(OR(E341&lt;=0,E341&gt;=50),0, ROUND(  IF(E341&lt;20, E341*'Reference Standards'!$S$601+'Reference Standards'!$S$602,E341*'Reference Standards'!$T$601+'Reference Standards'!$T$602),2))))))))</f>
        <v/>
      </c>
      <c r="G341" s="529"/>
      <c r="H341" s="567"/>
      <c r="I341" s="555"/>
      <c r="J341" s="555"/>
      <c r="K341" s="555"/>
    </row>
    <row r="342" spans="1:12" ht="15.6" x14ac:dyDescent="0.3">
      <c r="A342" s="520"/>
      <c r="B342" s="521"/>
      <c r="C342" s="62" t="s">
        <v>210</v>
      </c>
      <c r="D342" s="58"/>
      <c r="E342" s="167"/>
      <c r="F342" s="391" t="str">
        <f>IF(E342="","",IF(E342&gt;=1.6,0,IF(E342&lt;=1,1,ROUND('Reference Standards'!$S$633*E342^3+'Reference Standards'!$S$634*E342^2+'Reference Standards'!$S$635*E342+'Reference Standards'!$S$636,2))))</f>
        <v/>
      </c>
      <c r="G342" s="530"/>
      <c r="H342" s="567"/>
      <c r="I342" s="555"/>
      <c r="J342" s="555"/>
      <c r="K342" s="555"/>
    </row>
    <row r="343" spans="1:12" ht="15.6" x14ac:dyDescent="0.3">
      <c r="A343" s="521"/>
      <c r="B343" s="309" t="s">
        <v>55</v>
      </c>
      <c r="C343" s="242" t="s">
        <v>54</v>
      </c>
      <c r="D343" s="243"/>
      <c r="E343" s="163"/>
      <c r="F343" s="342" t="str">
        <f>IF(E343="","",IF(AND('Quantification Tool R1'!B$11="E",'Quantification Tool R1'!$B$14="Sand",'Quantification Tool R1'!$B$21="Unconfined Alluvial"),ROUND(IF(OR(E343&gt;1.8,E343&lt;1.3),0,IF(E343&lt;=1.6,1,E343*'Reference Standards'!S$667+'Reference Standards'!S$668)),2),    IF('Quantification Tool R1'!$B$21="Unconfined Alluvial",ROUND(IF(OR(E343&lt;1.2, E343&gt;1.5),0,IF(E343&lt;=1.4,1,E343*'Reference Standards'!$S$700+'Reference Standards'!$S$701)),2), IF('Quantification Tool R1'!$B$21="Confined Alluvial",ROUND(IF(E343&lt;1.15,0,IF(E343&lt;=1.4,E343*'Reference Standards'!$S$729+'Reference Standards'!$S$730,1)),2),  IF('Quantification Tool R1'!$B$21="Colluvial",ROUND(IF(E343&gt;1.3,0,IF(E343&gt;1.2,E343*'Reference Standards'!$S$760+'Reference Standards'!$S$761,1)),2) )))))</f>
        <v/>
      </c>
      <c r="G343" s="84" t="str">
        <f>IFERROR(AVERAGE(F343),"")</f>
        <v/>
      </c>
      <c r="H343" s="567"/>
      <c r="I343" s="555"/>
      <c r="J343" s="555"/>
      <c r="K343" s="555"/>
      <c r="L343" s="13"/>
    </row>
    <row r="344" spans="1:12" ht="15.6" x14ac:dyDescent="0.3">
      <c r="A344" s="537" t="s">
        <v>58</v>
      </c>
      <c r="B344" s="67" t="s">
        <v>88</v>
      </c>
      <c r="C344" s="70" t="s">
        <v>338</v>
      </c>
      <c r="D344" s="70"/>
      <c r="E344" s="43"/>
      <c r="F344" s="343" t="str">
        <f>IF(E344="","",ROUND(IF(E344&gt;=942,0,IF(E344&lt;=487,E344*'Reference Standards'!AB$15+'Reference Standards'!AB$16,E344*'Reference Standards'!$AC$15+'Reference Standards'!$AC$16)),2))</f>
        <v/>
      </c>
      <c r="G344" s="85" t="str">
        <f>IFERROR(AVERAGE(F344),"")</f>
        <v/>
      </c>
      <c r="H344" s="547" t="str">
        <f>IFERROR(ROUND(AVERAGE(G344:G347),2),"")</f>
        <v/>
      </c>
      <c r="I344" s="534" t="str">
        <f>IF(H344="","",IF(H344&gt;0.69,"Functioning",IF(H344&gt;0.29,"Functioning At Risk",IF(H344&gt;-1,"Not Functioning"))))</f>
        <v/>
      </c>
      <c r="J344" s="555"/>
      <c r="K344" s="555"/>
      <c r="L344" s="13"/>
    </row>
    <row r="345" spans="1:12" ht="15.6" x14ac:dyDescent="0.3">
      <c r="A345" s="538"/>
      <c r="B345" s="306" t="s">
        <v>362</v>
      </c>
      <c r="C345" s="66" t="s">
        <v>354</v>
      </c>
      <c r="D345" s="66"/>
      <c r="E345" s="163"/>
      <c r="F345" s="344" t="str">
        <f>IF(E345="","",IF(OR('Quantification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June")),IF(E345&gt;93,0,IF(E345&lt;13,1,ROUND('Reference Standards'!$AB$53*E345^2+'Reference Standards'!$AB$54*E345+'Reference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R1'!$B$12="73b"),IF(E345&gt;94,0,IF(E345&lt;17,1,ROUND('Reference Standards'!$AC$53*E345^2+'Reference Standards'!$AC$54*E345+'Reference Standards'!$AC$55,2))),    IF(OR(AND(OR('Quantification Tool R1'!$B$12="68b",'Quantification Tool R1'!$B$12="71i"),'Quantification Tool R1'!$B$13&gt;2), 'Quantification Tool R1'!$B$12="71e"),IF(E345&gt;91,0,IF(E345&lt;24,1,ROUND('Reference Standards'!$AD$53*E345^2+'Reference Standards'!$AD$54*E345+'Reference Standards'!$AD$55,2))),  IF(OR(AND(OR('Quantification Tool R1'!$B$12="71f",'Quantification Tool R1'!$B$12="71g",'Quantification Tool R1'!$B$12="71h",'Quantification Tool R1'!$B$12="71i"),'Quantification Tool R1'!$B$13&lt;=2), AND('Quantification Tool R1'!$B$12="74a",'Quantification Tool R1'!$B$13&gt;2)),IF(E345&gt;95,0,IF(E345&lt;=36,1,ROUND('Reference Standards'!$AE$53*E345^2+'Reference Standards'!$AE$54*E345+'Reference Standards'!$AE$55,2))))))))</f>
        <v/>
      </c>
      <c r="G345" s="236" t="str">
        <f>IFERROR(AVERAGE(F345:F345),"")</f>
        <v/>
      </c>
      <c r="H345" s="548"/>
      <c r="I345" s="535"/>
      <c r="J345" s="555"/>
      <c r="K345" s="555"/>
      <c r="L345" s="21"/>
    </row>
    <row r="346" spans="1:12" ht="15.6" x14ac:dyDescent="0.3">
      <c r="A346" s="538"/>
      <c r="B346" s="67" t="s">
        <v>81</v>
      </c>
      <c r="C346" s="68" t="s">
        <v>281</v>
      </c>
      <c r="D346" s="68"/>
      <c r="E346" s="162"/>
      <c r="F346" s="344" t="str">
        <f>IF(E346="","",IF(ISNUMBER('Quantification Tool R1'!$B$13), IF(OR('Quantification Tool R1'!$B$12="66e",'Quantification Tool R1'!$B$12="66f",'Quantification Tool R1'!$B$12="66g"), ROUND(IF(E346&gt;=0.61,0,IF(E346&lt;=0.01,1,IF(E346&lt;=0.06,E346*'Reference Standards'!$AD$197+'Reference Standards'!$AD$198,E346^2*'Reference Standards'!$AB$196+E346*'Reference Standards'!$AB$197+'Reference Standards'!$AB$198))),2),  IF('Quantification Tool R1'!$B$12="68b", ROUND(IF(E346&gt;=1.1,0,IF(E346&lt;=0.17,1,IF(E346&lt;=0.22,E346*'Reference Standards'!$AE$197+'Reference Standards'!$AE$198,E346^2*'Reference Standards'!$AC$196+E346*'Reference Standards'!$AC$197+'Reference Standards'!$AC$198))),2),IF('Quantification Tool R1'!$B$13&lt;=2.5,   IF('Quantification Tool R1'!$B$12="69de",ROUND(IF(E346&gt;=0.22,0,IF(E346&lt;=0.01,1,E346^2*'Reference Standards'!$AB$90+E346*'Reference Standards'!$AB$91+'Reference Standards'!$AB$92)),2),   IF('Quantification Tool R1'!$B$12="68c",ROUND(IF(E346&gt;=0.87,0,IF(E346&lt;=0.01,1,E346^2*'Reference Standards'!$AC$90+E346*'Reference Standards'!$AC$91+'Reference Standards'!$AC$92)),2),   IF('Quantification Tool R1'!$B$12="68a",ROUND(IF(E346&gt;=0.81,0,IF(E346&lt;=0.01,1,E346^2*'Reference Standards'!$AD$90+E346*'Reference Standards'!$AD$91+'Reference Standards'!$AD$92)),2),   IF('Quantification Tool R1'!$B$12="65abei",ROUND(IF(E346&gt;=0.67,0,IF(E346&lt;=0.01,1,IF(E346&lt;=0.18,E346*'Reference Standards'!$AG$91+'Reference Standards'!$AG$92,E346*'Reference Standards'!$AE$91+'Reference Standards'!$AE$92))),2),   IF('Quantification Tool R1'!$B$12="65j",ROUND(IF(E346&gt;=0.32,0,IF(E346&lt;=0.01,1,IF(E346&lt;=0.25,E346*'Reference Standards'!$AH$91+'Reference Standards'!$AH$92,E346*'Reference Standards'!$AF$91+'Reference Standards'!$AF$92))),2),   IF('Quantification Tool R1'!$B$12="71f",ROUND(IF(E346&gt;=3,0,IF(E346&lt;=0,1,IF(E346&lt;=0.01,0.7,E346^2*'Reference Standards'!$AB$126+E346*'Reference Standards'!$AB$127+'Reference Standards'!$AB$128))),2),   IF('Quantification Tool R1'!$B$12="74a",ROUND(IF(E346&gt;=0.14,0,IF(E346&lt;=0.01,1,IF(E346&lt;=0.02,0.7,E346^2*'Reference Standards'!$AC$126+E346*'Reference Standards'!$AC$127+'Reference Standards'!$AC$128))),2),   IF(OR('Quantification Tool R1'!$B$12="67fhi",'Quantification Tool R1'!$B$12="67g"),ROUND(IF(E346&gt;=1.9,0,IF(E346&lt;=0.01,1,IF(E346&lt;=0.05,E346*'Reference Standards'!$AF$127+'Reference Standards'!$AF$128,E346^2*'Reference Standards'!$AD$126+E346*'Reference Standards'!$AD$127+'Reference Standards'!$AD$128))),2),   IF('Quantification Tool R1'!$B$12="73a",ROUND(IF(E346&gt;=1.44,0,IF(E346&lt;=0.01,1,IF(E346&lt;=0.12,E346*'Reference Standards'!$AG$127+'Reference Standards'!$AG$128,E346^2*'Reference Standards'!$AE$126+E346*'Reference Standards'!$AE$127+'Reference Standards'!$AE$128))),2),   IF('Quantification Tool R1'!$B$12="66d",ROUND(IF(E346&gt;=0.46,0,IF(E346&lt;=0.02,1,IF(E346&lt;=0.08,E346*'Reference Standards'!$AF$163+'Reference Standards'!$AF$164,E346^2*'Reference Standards'!$AB$162+E346*'Reference Standards'!$AB$163+'Reference Standards'!$AB$164))),2),   IF(OR('Quantification Tool R1'!$B$12="71g",'Quantification Tool R1'!$B$12="71h",'Quantification Tool R1'!$B$12="71i"),ROUND(IF(E346&gt;=3,0,IF(E346&lt;=0.06,1,IF(E346&lt;=0.24,E346*'Reference Standards'!$AG$163+'Reference Standards'!$AG$164, E346^2*'Reference Standards'!$AC$162+E346*'Reference Standards'!$AC$163+'Reference Standards'!$AC$164))),2),   IF('Quantification Tool R1'!$B$12="74b",ROUND(IF(E346&gt;=1.3,0,IF(E346&lt;=0.29,1,IF(E346&lt;=0.48,E346*'Reference Standards'!$AH$163+'Reference Standards'!$AH$164,E346^2*'Reference Standards'!$AD$162+E346*'Reference Standards'!$AD$163+'Reference Standards'!$AD$164))),2),   IF('Quantification Tool R1'!$B$12="71e",ROUND(IF(E346&gt;=4.3,0,IF(E346&lt;=0.53,1,IF(E346&lt;=0.67,E346*'Reference Standards'!$AI$163+'Reference Standards'!$AI$164,E346^2*'Reference Standards'!$AE$162+E346*'Reference Standards'!$AE$163+'Reference Standards'!$AE$164))),2)       ))))))))))))),IF('Quantification Tool R1'!$B$13&gt;2.5,    IF('Quantification Tool R1'!$B$12="73a",ROUND(IF(E346&gt;=0.55,0,IF(E346&lt;=0,1,E346^2*'Reference Standards'!$AB$232+E346*'Reference Standards'!$AB$233+'Reference Standards'!$AB$234)),2),   IF('Quantification Tool R1'!$B$12="68a",ROUND(IF(E346&gt;=0.54,0,IF(E346&lt;=0,1, IF(E346&lt;=0.01,0.85, E346^2*'Reference Standards'!$AC$232+E346*'Reference Standards'!$AC$233+'Reference Standards'!$AC$234))),2),   IF('Quantification Tool R1'!$B$12="74a",ROUND(IF(E346&gt;=0.47,0,IF(E346&lt;=0.01,1, IF(E346&lt;=0.02,0.7, E346^2*'Reference Standards'!$AD$232+E346*'Reference Standards'!$AD$233+'Reference Standards'!$AD$234))),2),    IF('Quantification Tool R1'!$B$12="69de",ROUND(IF(E346&gt;=0.26,0,IF(E346&lt;=0.01,1, IF(E346&lt;=0.02,0.85, E346^2*'Reference Standards'!$AE$232+E346*'Reference Standards'!$AE$233+'Reference Standards'!$AE$234))),2),   IF('Quantification Tool R1'!$B$12="71f",ROUND(IF(E346&gt;=0.87,0,IF(E346&lt;=0.01,1,IF(E346&lt;=0.04,E346*'Reference Standards'!$AF$269+'Reference Standards'!$AF$270,E346^2*'Reference Standards'!$AB$268+E346*'Reference Standards'!$AB$269+'Reference Standards'!$AB$270))),2),  IF('Quantification Tool R1'!$B$12="65abei",ROUND(IF(E346&gt;=0.82,0,IF(E346&lt;=0.01,1,IF(E346&lt;=0.06,E346*'Reference Standards'!$AG$269+'Reference Standards'!$AG$270,E346^2*'Reference Standards'!$AC$268+E346*'Reference Standards'!$AC$269+'Reference Standards'!$AC$270))),2),  IF('Quantification Tool R1'!$B$12="65j",ROUND(IF(E346&gt;=0.33,0,IF(E346&lt;=0.03,1,IF(E346&lt;=0.09,E346*'Reference Standards'!$AH$269+'Reference Standards'!$AH$270,E346^2*'Reference Standards'!$AD$268+E346*'Reference Standards'!$AD$269+'Reference Standards'!$AD$270))),2),  IF('Quantification Tool R1'!$B$12="68c",ROUND(IF(E346&gt;=0.7,0,IF(E346&lt;=0.07,1,IF(E346&lt;=0.12,E346*'Reference Standards'!$AI$269+'Reference Standards'!$AI$270,E346^2*'Reference Standards'!$AE$268+E346*'Reference Standards'!$AE$269+'Reference Standards'!$AE$270))),2),   IF(OR('Quantification Tool R1'!$B$12="67fhi",'Quantification Tool R1'!$B$12="67g"),ROUND(IF(E346&gt;=1.8,0,IF(E346&lt;=0.08,1,IF(E346&lt;=0.2,E346*'Reference Standards'!$AF$306+'Reference Standards'!$AF$307,E346^2*'Reference Standards'!$AB$305+E346*'Reference Standards'!$AB$306+'Reference Standards'!$AB$307))),2),   IF('Quantification Tool R1'!$B$12="74b",ROUND(IF(E346&gt;=0.96,0,IF(E346&lt;=0.12,1,IF(E346&lt;=0.16,E346*'Reference Standards'!$AG$306+'Reference Standards'!$AG$307,E346^2*'Reference Standards'!$AC$305+E346*'Reference Standards'!$AC$306+'Reference Standards'!$AC$307))),2),   IF('Quantification Tool R1'!$B$12="66d",ROUND(IF(E346&gt;=0.75,0,IF(E346&lt;=0.13,1,IF(E346&lt;=0.2,E346*'Reference Standards'!$AH$306+'Reference Standards'!$AH$307,E346^2*'Reference Standards'!$AD$305+E346*'Reference Standards'!$AD$306+'Reference Standards'!$AD$307))),2),    IF(OR('Quantification Tool R1'!$B$12="71g",'Quantification Tool R1'!$B$12="71h",'Quantification Tool R1'!$B$12="71i"),ROUND(IF(E346&gt;=1.68,0,IF(E346&lt;=0.08,1,IF(E346&lt;=0.23,E346*'Reference Standards'!$AI$306+'Reference Standards'!$AI$307,E346^2*'Reference Standards'!$AE$305+E346*'Reference Standards'!$AE$306+'Reference Standards'!$AE$307))),2),   IF('Quantification Tool R1'!$B$12="71e",ROUND(IF(E346&gt;=5.3,0,IF(E346&lt;=0.94,1,IF(E346&lt;=1.4,E346*'Reference Standards'!$AF$310+'Reference Standards'!$AF$311,E346^2*'Reference Standards'!$AB$309+E346*'Reference Standards'!$AB$310+'Reference Standards'!$AB$311))),2))    ))))))))))))))))))</f>
        <v/>
      </c>
      <c r="G346" s="86" t="str">
        <f>IFERROR(AVERAGE(F346),"")</f>
        <v/>
      </c>
      <c r="H346" s="548"/>
      <c r="I346" s="535"/>
      <c r="J346" s="555"/>
      <c r="K346" s="555"/>
      <c r="L346" s="21"/>
    </row>
    <row r="347" spans="1:12" ht="15.6" x14ac:dyDescent="0.3">
      <c r="A347" s="539"/>
      <c r="B347" s="307" t="s">
        <v>82</v>
      </c>
      <c r="C347" s="66" t="s">
        <v>280</v>
      </c>
      <c r="D347" s="66"/>
      <c r="E347" s="136"/>
      <c r="F347" s="343" t="str">
        <f>IF(E347="","", IF(ISNUMBER('Quantification Tool R1'!$B$13),IF('Quantification Tool R1'!$B$13&gt;2.5,IF(OR('Quantification Tool R1'!$B$12="71h",'Quantification Tool R1'!$B$12="71i",'Quantification Tool R1'!$B$12="73a",'Quantification Tool R1'!$B$12="74a"),IF(E347&lt;=0.01,1,IF(OR('Quantification Tool R1'!$B$12="71h",'Quantification Tool R1'!$B$12="71i"),IF(E347&gt;0.37,0,ROUND(IF(E347&gt;0.03,'Reference Standards'!$AB$425*E347^2+'Reference Standards'!$AB$426*E347+'Reference Standards'!$AB$427,'Reference Standards'!$AF$426*E347+'Reference Standards'!$AF$427),2)),  IF('Quantification Tool R1'!$B$12="73a",IF(E347&gt;0.405,0,ROUND(IF(E347&gt;0.046,'Reference Standards'!$AC$425*E347^2+'Reference Standards'!$AC$426*E347+'Reference Standards'!$AC$427,'Reference Standards'!$AG$426*E347+'Reference Standards'!$AG$427),2)),IF('Quantification Tool R1'!$B$12="74a",IF(E347&gt;0.3,0,ROUND(IF(E347&gt;0.052,'Reference Standards'!$AD$425*E347^2+'Reference Standards'!$AD$426*E347+'Reference Standards'!$AD$427,'Reference Standards'!$AH$426*E347+'Reference Standards'!$AH$427),2)))))),   IF(E347&lt;=0.002,1,IF(OR('Quantification Tool R1'!$B$12="66d",'Quantification Tool R1'!$B$12="66e",'Quantification Tool R1'!$B$12="66g"),IF(E347&gt;0.053,0,ROUND(E347^2*'Reference Standards'!$AB$347+E347*'Reference Standards'!$AB$348+'Reference Standards'!$AB$349,2)), IF('Quantification Tool R1'!$B$12="68b",IF(E347&gt;0.05,0,ROUND(E347^2*'Reference Standards'!$AC$347+E347*'Reference Standards'!$AC$348+'Reference Standards'!$AC$349,2)),  IF(OR('Quantification Tool R1'!$B$12="68a",'Quantification Tool R1'!$B$12="68c"),IF(E347&gt;0.07,0,ROUND(E347^2*'Reference Standards'!$AD$347+E347*'Reference Standards'!$AD$348+'Reference Standards'!$AD$349,2)), IF(OR('Quantification Tool R1'!$B$12="71f",'Quantification Tool R1'!$B$12="71g"),IF(E347&gt;0.13,0,ROUND(IF(E347&gt;0.042,E347*'Reference Standards'!$AE$348+'Reference Standards'!$AE$349,E347*'Reference Standards'!$AF$348+'Reference Standards'!$AF$349),2)), IF('Quantification Tool R1'!$B$12="67fhi",IF(E347&gt;0.16,0,ROUND(E347^2*'Reference Standards'!$AG$347+E347*'Reference Standards'!$AG$348+'Reference Standards'!$AG$349,2)),  IF('Quantification Tool R1'!$B$12="65j",IF(E347&gt;0.035,0,ROUND(IF(E347&lt;=0.003,0.7,E347^2*'Reference Standards'!$AB$387+E347*'Reference Standards'!$AB$388+'Reference Standards'!$AB$389),2)),IF('Quantification Tool R1'!$B$12="69de",IF(E347&gt;0.037,0,ROUND(IF(E347&lt;=0.003,0.7,E347^2*'Reference Standards'!$AC$387+E347*'Reference Standards'!$AC$388+'Reference Standards'!$AC$389),2)),IF('Quantification Tool R1'!$B$12="71e",IF(E347&gt;0.23,0,ROUND(IF(E347&lt;=0.003,0.7,E347^2*'Reference Standards'!$AD$387+E347*'Reference Standards'!$AD$388+'Reference Standards'!$AD$389),2)),IF('Quantification Tool R1'!$B$12="66f",IF(E347&gt;0.06,0,ROUND(IF(E347&lt;=0.003,0.85,IF(E347&lt;=0.004,0.7,E347^2*'Reference Standards'!$AE$387+E347*'Reference Standards'!$AE$388+'Reference Standards'!$AE$389)),2)),IF('Quantification Tool R1'!$B$12="67g",IF(E347&gt;0.11,0,ROUND(IF(E347&lt;=0.01,E347*'Reference Standards'!$AH$388+'Reference Standards'!$AH$389, E347^2*'Reference Standards'!$AF$387+E347*'Reference Standards'!$AF$388+'Reference Standards'!$AF$389),2)),IF('Quantification Tool R1'!$B$12="74b",IF(E347&gt;0.49,0,ROUND(IF(E347&lt;=0.01,E347*'Reference Standards'!$AH$388+'Reference Standards'!$AH$389, E347^2*'Reference Standards'!$AG$387+E347*'Reference Standards'!$AG$388+'Reference Standards'!$AG$389),2)),IF('Quantification Tool R1'!$B$12="65abei",IF(E347&gt;0.199,0,ROUND(IF(E347&lt;=0.01,E347*'Reference Standards'!$AI$426+'Reference Standards'!$AI$427, E347^2*'Reference Standards'!$AE$425+E347*'Reference Standards'!$AE$426+'Reference Standards'!$AE$427),2))    )))))))))))))),      IF('Quantification Tool R1'!$B$13&lt;=2.5, IF(OR('Quantification Tool R1'!$B$12="66d",'Quantification Tool R1'!$B$12="66e",'Quantification Tool R1'!$B$12="66g"),IF(E347&gt;0.05,0,ROUND(IF(E347&lt;=0.002,1,IF(E347&lt;=0.005,E347*'Reference Standards'!$AF$464+'Reference Standards'!$AF$465, E347^2*'Reference Standards'!$AB$463+E347*'Reference Standards'!$AB$464+'Reference Standards'!$AB$465)),2)), IF('Quantification Tool R1'!$B$12="67fhi",IF(E347&gt;0.1,0,ROUND(IF(E347&lt;=0.002,1,IF(E347&lt;=0.006,E347*'Reference Standards'!$AG$464+'Reference Standards'!$AG$465, E347^2*'Reference Standards'!$AC$463+E347*'Reference Standards'!$AC$464+'Reference Standards'!$AC$465)),2)), IF('Quantification Tool R1'!$B$12="65abei",IF(E347&gt;0.13,0,ROUND(IF(E347&lt;=0.003,1,IF(E347&lt;=0.008,E347*'Reference Standards'!$AH$464+'Reference Standards'!$AH$465, E347^2*'Reference Standards'!$AD$463+E347*'Reference Standards'!$AD$464+'Reference Standards'!$AD$465)),2)), IF('Quantification Tool R1'!$B$12="68b",IF(E347&gt;0.043,0,ROUND(IF(E347&lt;=0.004,1, IF(E347&lt;=0.005,0.7, E347^2*'Reference Standards'!$AE$463+E347*'Reference Standards'!$AE$464+'Reference Standards'!$AE$465)),2)), IF('Quantification Tool R1'!$B$12="69de",IF(E347&gt;=0.034,0,ROUND(IF(E347&lt;=0.003,1, IF(E347&lt;=0.006,E347*'Reference Standards'!$AG$500+'Reference Standards'!$AG$501, E347*'Reference Standards'!$AB$500+'Reference Standards'!$AB$501)),2)), IF(OR('Quantification Tool R1'!$B$12="68a",'Quantification Tool R1'!$B$12="68c"),IF(E347&gt;0.202,0,ROUND(IF(E347&lt;=0.003,1, IF(E347&lt;=0.006,E347*'Reference Standards'!$AG$500+'Reference Standards'!$AG$501, IF(E347&gt;=0.04,E347*'Reference Standards'!$AC$500+'Reference Standards'!$AC$501,E347*'Reference Standards'!$AE$500+'Reference Standards'!$AE$501))),2)), IF(OR('Quantification Tool R1'!$B$12="71f",'Quantification Tool R1'!$B$12="71g"),IF(E347&gt;0.631,0,ROUND(IF(E347&lt;=0.003,1, IF(E347&lt;=0.006,E347*'Reference Standards'!$AG$500+'Reference Standards'!$AG$501, IF(E347&gt;=0.17,E347*'Reference Standards'!$AD$500+'Reference Standards'!$AD$501,E347*'Reference Standards'!$AF$500+'Reference Standards'!$AF$501))),2)),   IF('Quantification Tool R1'!$B$12="71e",IF(E347&gt;1.23,0,ROUND(IF(E347&lt;=0.004,1,IF(E347&lt;=0.006,E347*'Reference Standards'!$AF$538+'Reference Standards'!$AF$539, E347^2*'Reference Standards'!$AB$537+E347*'Reference Standards'!$AB$538+'Reference Standards'!$AB$539)),2)), IF('Quantification Tool R1'!$B$12="67g",IF(E347&gt;0.11,0,ROUND(IF(E347&lt;=0.006,1,IF(E347&lt;=0.011,E347*'Reference Standards'!$AG$538+'Reference Standards'!$AG$539, E347^2*'Reference Standards'!$AC$537+E347*'Reference Standards'!$AC$538+'Reference Standards'!$AC$539)),2)), IF('Quantification Tool R1'!$B$12="65j",IF(E347&gt;0.046,0,ROUND(IF(E347&lt;=0.007,1,IF(E347&lt;=0.012,E347*'Reference Standards'!$AH$538+'Reference Standards'!$AH$539, E347^2*'Reference Standards'!$AD$537+E347*'Reference Standards'!$AD$538+'Reference Standards'!$AD$539)),2)), IF('Quantification Tool R1'!$B$12="66f",IF(E347&gt;0.081,0,ROUND(IF(E347&lt;=0.008,1,IF(E347&lt;=0.011,E347*'Reference Standards'!$AI$538+'Reference Standards'!$AI$539, E347^2*'Reference Standards'!$AE$537+E347*'Reference Standards'!$AE$538+'Reference Standards'!$AE$539)),2)), IF(OR('Quantification Tool R1'!$B$12="71h",'Quantification Tool R1'!$B$12="71i"),IF(E347&gt;0.37,0,ROUND(IF(E347&lt;=0.013,1,IF(E347&lt;=0.032,E347*'Reference Standards'!$AH$576+'Reference Standards'!$AH$577, IF(E347&lt;=0.3,E347*'Reference Standards'!$AF$576+'Reference Standards'!$AF$577,E347*'Reference Standards'!$AB$576+'Reference Standards'!$AB$577))),2)), IF('Quantification Tool R1'!$B$12="73a",IF(E347&gt;0.448,0,ROUND(IF(E347&lt;=0.071,1,IF(E347&lt;=0.086,E347*'Reference Standards'!$AJ$576+'Reference Standards'!$AJ$577, IF(E347&lt;=0.165,E347*'Reference Standards'!$AG$576+'Reference Standards'!$AG$577,E347*'Reference Standards'!$AE$576+'Reference Standards'!$AE$577))),2)),  IF('Quantification Tool R1'!$B$12="74b",IF(E347&gt;0.43,0,ROUND(IF(E347&lt;=0.018,1,IF(E347&lt;=0.019,0.85, IF(E347&lt;=0.02,0.7, E347^2*'Reference Standards'!$AC$575+E347*'Reference Standards'!$AC$576+'Reference Standards'!$AC$577))),2)), IF('Quantification Tool R1'!$B$12="74a",IF(E347&gt;0.217,0,ROUND(IF(E347&lt;=0.02,1,IF(E347&lt;=0.033,E347*'Reference Standards'!$AI$576+'Reference Standards'!$AI$577, E347^2*'Reference Standards'!$AD$575+E347*'Reference Standards'!$AD$576+'Reference Standards'!$AD$577)),2))     )))))))))))))))))))</f>
        <v/>
      </c>
      <c r="G347" s="87" t="str">
        <f>IFERROR(AVERAGE(F347),"")</f>
        <v/>
      </c>
      <c r="H347" s="549"/>
      <c r="I347" s="536"/>
      <c r="J347" s="555"/>
      <c r="K347" s="555"/>
      <c r="L347" s="21"/>
    </row>
    <row r="348" spans="1:12" ht="15.6" x14ac:dyDescent="0.3">
      <c r="A348" s="550" t="s">
        <v>59</v>
      </c>
      <c r="B348" s="560" t="s">
        <v>340</v>
      </c>
      <c r="C348" s="125" t="s">
        <v>331</v>
      </c>
      <c r="D348" s="126"/>
      <c r="E348" s="166"/>
      <c r="F348" s="345" t="str">
        <f>IF(E348="","",IF(OR('Quantification Tool R1'!B$12="73a",'Quantification Tool R1'!B$12="73b"),IF(E348&lt;1,0,IF(E348&gt;=30,1,ROUND(IF(E348&lt;22,'Reference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531" t="str">
        <f>IFERROR(AVERAGE(F348:F351),"")</f>
        <v/>
      </c>
      <c r="H348" s="568" t="str">
        <f>IFERROR(ROUND(AVERAGE(G348:G353),2),"")</f>
        <v/>
      </c>
      <c r="I348" s="519" t="str">
        <f>IF(H348="","",IF(H348&gt;0.69,"Functioning",IF(H348&gt;0.29,"Functioning At Risk",IF(H348&gt;-1,"Not Functioning"))))</f>
        <v/>
      </c>
      <c r="J348" s="555"/>
      <c r="K348" s="555"/>
      <c r="L348" s="21"/>
    </row>
    <row r="349" spans="1:12" ht="15.6" x14ac:dyDescent="0.3">
      <c r="A349" s="556"/>
      <c r="B349" s="561"/>
      <c r="C349" s="174" t="s">
        <v>335</v>
      </c>
      <c r="D349" s="175"/>
      <c r="E349" s="165"/>
      <c r="F349" s="346" t="str">
        <f>IF(E349="","",IF(AND('Quantification Tool R1'!$B$12="74b",'Quantification Tool R1'!$B$13&lt;=2),IF(E349&lt;0,0,IF(E349&gt;15.6,0.69,ROUND('Reference Standards'!$AL$54*E349^2+'Reference Standards'!$AL$55*E349+'Reference Standards'!$AL$56,2))),IF(AND('Quantification Tool R1'!$B$12="65abei",'Quantification Tool R1'!$B$13&lt;=2),IF(E349&lt;0,0,IF(E349&gt;=20,0.69,ROUND('Reference Standards'!$AM$54*E349^2+'Reference Standards'!$AM$55*E349+'Reference Standards'!$AM$56,2))),IF(OR(AND('Quantification Tool R1'!$B$12="74a",'Quantification Tool R1'!$B$13&gt;2,'Quantification Tool R1'!$B$19="January - June"),AND('Quantification Tool R1'!$B$12="71i",'Quantification Tool R1'!$B$13&gt;2,'Quantification Tool R1'!$B$20="SQBANK")),IF(E349&lt;0,0,IF(E349&gt;24.7,0.69,ROUND('Reference Standards'!$AN$54*E349^2+'Reference Standards'!$AN$55*E349+'Reference Standards'!$AN$56,2))),IF(OR('Quantification Tool R1'!$B$12="74b",'Quantification Tool R1'!$B$12="65abei"),IF(E349&lt;0,0,IF(E349&gt;32.7,0.69,ROUND('Reference Standards'!$AO$54*E349^2+'Reference Standards'!$AO$55*E349+'Reference Standards'!$AO$56,2))),IF(AND('Quantification Tool R1'!$B$12="68b",'Quantification Tool R1'!$B$13&gt;2),IF(E349&lt;0,0,IF(E349&gt;41.2,0.69,ROUND('Reference Standards'!$AP$54*E349^2+'Reference Standards'!$AP$55*E349+'Reference Standards'!$AP$56,2))),IF(OR(AND('Quantification Tool R1'!$B$12="71i",'Quantification Tool R1'!$B$13&lt;=2),AND(OR('Quantification Tool R1'!$B$12="68c",'Quantification Tool R1'!$B$12="68d"),'Quantification Tool R1'!$B$19="January - June")),IF(E349&lt;0,0,IF(E349&gt;49.2,0.69,ROUND('Reference Standards'!$AL$94*E349^2+'Reference Standards'!$AL$95*E349+'Reference Standards'!$AL$96,2))),IF(OR(AND('Quantification Tool R1'!$B$12="68a",'Quantification Tool R1'!$B$19="January - June"),AND(OR('Quantification Tool R1'!$B$12="68c",'Quantification Tool R1'!$B$12="68d"),'Quantification Tool R1'!$B$19="July - December")),IF(E349&lt;0,0,IF(E349&gt;53.4,0.69,ROUND('Reference Standards'!$AM$94*E349^2+'Reference Standards'!$AM$95*E349+'Reference Standards'!$AM$96,2))),IF(OR(AND('Quantification Tool R1'!$B$12="71i",'Quantification Tool R1'!$B$13&gt;2,'Quantification Tool R1'!$B$20="SQKICK"),AND(OR('Quantification Tool R1'!$B$12="67fhi",'Quantification Tool R1'!$B$12="67g"),'Quantification Tool R1'!$B$13&lt;=2),'Quantification Tool R1'!$B$12="65j"),IF(E349&lt;0,0,IF(E349&gt;57.8,0.69,ROUND('Reference Standards'!$AN$94*E349^2+'Reference Standards'!$AN$95*E349+'Reference Standards'!$AN$96,2))),IF(OR(AND('Quantification Tool R1'!$B$12="74a",'Quantification Tool R1'!$B$13&gt;2,'Quantification Tool R1'!$B$19="July - December"),AND(OR('Quantification Tool R1'!$B$12="67fhi",'Quantification Tool R1'!$B$12="67g"),'Quantification Tool R1'!$B$13&gt;2),'Quantification Tool R1'!$B$12="69de"),IF(E349&lt;0,0,IF(E349&gt;62.5,0.69,ROUND('Reference Standards'!$AO$94*E349^2+'Reference Standards'!$AO$95*E349+'Reference Standards'!$AO$96,2))),  IF(OR('Quantification Tool R1'!$B$12="66d",'Quantification Tool R1'!$B$12="66e",'Quantification Tool R1'!$B$12="66ik",'Quantification Tool R1'!$B$12="71e",'Quantification Tool R1'!$B$12="71f",'Quantification Tool R1'!$B$12="71g",'Quantification Tool R1'!$B$12="71h"),IF(E349&lt;0,0,IF(E349&gt;66.5,0.69,ROUND('Reference Standards'!$AP$94*E349^2+'Reference Standards'!$AP$95*E349+'Reference Standards'!$AP$96,2))),IF(OR('Quantification Tool R1'!$B$12="66f",'Quantification Tool R1'!$B$12="66g",'Quantification Tool R1'!$B$12="66j",AND('Quantification Tool R1'!$B$12="68a",'Quantification Tool R1'!$B$19="July - December")), IF(E349&lt;0,0,IF(E349&gt;69,0.69,ROUND('Reference Standards'!$AQ$94*E349^2+'Reference Standards'!$AQ$95*E349+'Reference Standards'!$AQ$96,2))))   )))))))))))</f>
        <v/>
      </c>
      <c r="G349" s="531"/>
      <c r="H349" s="568"/>
      <c r="I349" s="519"/>
      <c r="J349" s="555"/>
      <c r="K349" s="555"/>
      <c r="L349" s="21"/>
    </row>
    <row r="350" spans="1:12" ht="15.6" x14ac:dyDescent="0.3">
      <c r="A350" s="556"/>
      <c r="B350" s="561"/>
      <c r="C350" s="174" t="s">
        <v>339</v>
      </c>
      <c r="D350" s="175"/>
      <c r="E350" s="165"/>
      <c r="F350" s="346" t="str">
        <f>IF(E350="","",IF(AND('Quantification Tool R1'!$B$12="74b",'Quantification Tool R1'!$B$13&lt;=2),IF(E350&lt;0,0,IF(E350&gt;8.1,0.69,ROUND('Reference Standards'!$AL$131*E350^2+'Reference Standards'!$AL$132*E350+'Reference Standards'!$AL$133,2))),IF(OR('Quantification Tool R1'!$B$12="73a",'Quantification Tool R1'!$B$12="73b"),IF(E350&lt;0,0,IF(E350&gt;=28,0.69,ROUND('Reference Standards'!$AM$131*E350^2+'Reference Standards'!$AM$132*E350+'Reference Standards'!$AM$133,2))),IF(AND('Quantification Tool R1'!$B$12="74a",'Quantification Tool R1'!$B$13&gt;2,'Quantification Tool R1'!$B$19="January - June"),IF(E350&lt;0,0,IF(E350&gt;=32.5,0.69,ROUND('Reference Standards'!$AN$131*E350^2+'Reference Standards'!$AN$132*E350+'Reference Standards'!$AN$133,2))),IF(AND('Quantification Tool R1'!$B$12="71i",'Quantification Tool R1'!$B$13&gt;2,'Quantification Tool R1'!$B$20="SQBANK"),IF(E350&lt;0,0,IF(E350&gt;=37,0.69,ROUND('Reference Standards'!$AO$131*E350^2+'Reference Standards'!$AO$132*E350+'Reference Standards'!$AO$133,2))),IF(OR(AND(OR('Quantification Tool R1'!$B$12="65abei",'Quantification Tool R1'!$B$12="74b"),'Quantification Tool R1'!$B$13&gt;2),AND('Quantification Tool R1'!$B$12="71i",'Quantification Tool R1'!$B$13&gt;2,'Quantification Tool R1'!$B$20="SQKICK")),IF(E350&lt;0,0,IF(E350&gt;42.6,0.69,ROUND('Reference Standards'!$AP$131*E350^2+'Reference Standards'!$AP$132*E350+'Reference Standards'!$AP$133,2))),     IF(OR(AND('Quantification Tool R1'!$B$12="65abei",'Quantification Tool R1'!$B$13&lt;=2),AND(OR('Quantification Tool R1'!$B$12="68c",'Quantification Tool R1'!$B$12="68d"),'Quantification Tool R1'!$B$19="July - December"),'Quantification Tool R1'!$B$12="71e"),IF(E350&lt;0,0,IF(E350&gt;=48,0.69,ROUND('Reference Standards'!$AL$171*E350^2+'Reference Standards'!$AL$172*E350+'Reference Standards'!$AL$173,2))),IF(OR('Quantification Tool R1'!$B$12="65j",'Quantification Tool R1'!$B$12="67fhi",'Quantification Tool R1'!$B$12="67g",AND('Quantification Tool R1'!$B$12="74a",'Quantification Tool R1'!$B$19="July - December",'Quantification Tool R1'!$B$13&gt;2),AND('Quantification Tool R1'!$B$12="71i",'Quantification Tool R1'!$B$13&lt;=2)),IF(E350&lt;0,0,IF(E350&gt;=53,0.69,ROUND('Reference Standards'!$AM$171*E350^2+'Reference Standards'!$AM$172*E350+'Reference Standards'!$AM$173,2))),IF(OR(AND(OR('Quantification Tool R1'!$B$12="68b",'Quantification Tool R1'!$B$12="71f",'Quantification Tool R1'!$B$12="71g",'Quantification Tool R1'!$B$12="71h"),'Quantification Tool R1'!$B$13&gt;2),'Quantification Tool R1'!$B$12="68a"),IF(E350&lt;0,0,IF(E350&gt;=57,0.69,ROUND('Reference Standards'!$AN$171*E350^2+'Reference Standards'!$AN$172*E350+'Reference Standards'!$AN$173,2))),IF(OR('Quantification Tool R1'!$B$12="66f",'Quantification Tool R1'!$B$12="66g",'Quantification Tool R1'!$B$12="66j",AND(OR('Quantification Tool R1'!$B$12="71f",'Quantification Tool R1'!$B$12="71g",'Quantification Tool R1'!$B$12="71h"),'Quantification Tool R1'!$B$13&lt;=2)),IF(E350&lt;0,0,IF(E350&gt;=60,0.69,ROUND('Reference Standards'!$AO$171*E350^2+'Reference Standards'!$AO$172*E350+'Reference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December")),IF(E350&lt;0,0,IF(E350&gt;=67.5,0.69,ROUND('Reference Standards'!$AP$171*E350^2+'Reference Standards'!$AP$172*E350+'Reference Standards'!$AP$173,2))),IF(AND('Quantification Tool R1'!$B$12="69de",'Quantification Tool R1'!$B$19="January - June"), IF(E350&lt;0,0,IF(E350&gt;=72,0.69,ROUND('Reference Standards'!$AQ$171*E350^2+'Reference Standards'!$AQ$172*E350+'Reference Standards'!$AQ$173,2))))   )))))))))))</f>
        <v/>
      </c>
      <c r="G350" s="531"/>
      <c r="H350" s="568"/>
      <c r="I350" s="519"/>
      <c r="J350" s="555"/>
      <c r="K350" s="555"/>
      <c r="L350" s="21"/>
    </row>
    <row r="351" spans="1:12" ht="15.6" x14ac:dyDescent="0.3">
      <c r="A351" s="556"/>
      <c r="B351" s="562"/>
      <c r="C351" s="127" t="s">
        <v>336</v>
      </c>
      <c r="D351" s="71"/>
      <c r="E351" s="167"/>
      <c r="F351" s="346" t="str">
        <f>IF(E351="","",IF(OR('Quantification Tool R1'!$B$12="67fhi",'Quantification Tool R1'!$B$12="67g",'Quantification Tool R1'!$B$12="71e",'Quantification Tool R1'!$B$12="73a",'Quantification Tool R1'!$B$12="73b",AND(OR('Quantification Tool R1'!$B$12="71f",'Quantification Tool R1'!$B$12="71g",'Quantification Tool R1'!$B$12="71h"),'Quantification Tool R1'!$B$13&gt;2)),IF(E351&gt;100,0,IF(E351&lt;15,0.69,ROUND('Reference Standards'!$AL$208*E351^2+'Reference Standards'!$AL$209*E351+'Reference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),IF(E351&gt;100,0,IF(E351&lt;19,0.69,ROUND('Reference Standards'!$AM$208*E351^2+'Reference Standards'!$AM$209*E351+'Reference Standards'!$AM$210,2))),    IF(OR(AND('Quantification Tool R1'!$B$12="69de",'Quantification Tool R1'!$B$19="January - June"),AND('Quantification Tool R1'!$B$12="71i",'Quantification Tool R1'!$B$13&gt;2,'Quantification Tool R1'!$B$20="SQKICK" )),IF(E351&gt;100,0,IF(E351&lt;22,0.69,ROUND('Reference Standards'!$AN$208*E351^2+'Reference Standards'!$AN$209*E351+'Reference Standards'!$AN$210,2))),    IF(OR('Quantification Tool R1'!$B$12="65j",AND('Quantification Tool R1'!$B$12="68b",'Quantification Tool R1'!$B$13&gt;2)),IF(E351&gt;100,0,IF(E351&lt;24,0.69,ROUND('Reference Standards'!$AO$208*E351^2+'Reference Standards'!$AO$209*E351+'Reference Standards'!$AO$210,2))),    IF(AND(OR('Quantification Tool R1'!$B$12="65abei",'Quantification Tool R1'!$B$12="71f",'Quantification Tool R1'!$B$12="71g",'Quantification Tool R1'!$B$12="71h"),'Quantification Tool R1'!$B$13&lt;=2),IF(E351&gt;95,0,IF(E351&lt;33,0.69,ROUND('Reference Standards'!$AL$246*E351^2+'Reference Standards'!$AL$247*E351+'Reference Standards'!$AL$248,2))),   IF(AND(OR('Quantification Tool R1'!$B$12="65abei",'Quantification Tool R1'!$B$12="74b"),'Quantification Tool R1'!$B$13&gt;2),IF(E351&gt;97,0,IF(E351&lt;36,0.69,ROUND('Reference Standards'!$AM$246*E351^2+'Reference Standards'!$AM$247*E351+'Reference Standards'!$AM$248,2))),  IF(AND('Quantification Tool R1'!$B$12="74a",'Quantification Tool R1'!$B$19="January - June",'Quantification Tool R1'!$B$13&gt;2),IF(E351&gt;93,0,IF(E351&lt;52,0.69,ROUND('Reference Standards'!$AN$246*E351^2+'Reference Standards'!$AN$247*E351+'Reference Standards'!$AN$248,2))),   IF(AND('Quantification Tool R1'!$B$12="74b",'Quantification Tool R1'!$B$13&lt;=2),IF(E351&gt;97,0,IF(E351&lt;62,0.69,ROUND('Reference Standards'!$AO$246*E351^2+'Reference Standards'!$AO$247*E351+'Reference Standards'!$AO$248,2)))  )))))))))</f>
        <v/>
      </c>
      <c r="G351" s="531"/>
      <c r="H351" s="568"/>
      <c r="I351" s="519"/>
      <c r="J351" s="555"/>
      <c r="K351" s="555"/>
      <c r="L351" s="21"/>
    </row>
    <row r="352" spans="1:12" ht="15.6" x14ac:dyDescent="0.3">
      <c r="A352" s="556"/>
      <c r="B352" s="563" t="s">
        <v>74</v>
      </c>
      <c r="C352" s="125" t="s">
        <v>211</v>
      </c>
      <c r="D352" s="126"/>
      <c r="E352" s="166"/>
      <c r="F352" s="345" t="str">
        <f>IF(E352="","",IF(E352=1,0.15,IF(E352=3,0.5,IF(E352=5,0.85,0))))</f>
        <v/>
      </c>
      <c r="G352" s="564" t="str">
        <f>IFERROR(AVERAGE(F352:F353),"")</f>
        <v/>
      </c>
      <c r="H352" s="568"/>
      <c r="I352" s="519"/>
      <c r="J352" s="555"/>
      <c r="K352" s="555"/>
      <c r="L352" s="21"/>
    </row>
    <row r="353" spans="1:12" ht="15.6" x14ac:dyDescent="0.3">
      <c r="A353" s="551"/>
      <c r="B353" s="563"/>
      <c r="C353" s="127" t="s">
        <v>332</v>
      </c>
      <c r="D353" s="71"/>
      <c r="E353" s="167"/>
      <c r="F353" s="347" t="str">
        <f>IF(E353="","",IF(E353=1,0.15,IF(E353=3,0.5,IF(E353=5,0.85,0))))</f>
        <v/>
      </c>
      <c r="G353" s="565"/>
      <c r="H353" s="568"/>
      <c r="I353" s="519"/>
      <c r="J353" s="555"/>
      <c r="K353" s="555"/>
      <c r="L353" s="21"/>
    </row>
    <row r="354" spans="1:12" x14ac:dyDescent="0.3">
      <c r="L354" s="21"/>
    </row>
    <row r="355" spans="1:12" x14ac:dyDescent="0.3">
      <c r="L355" s="21"/>
    </row>
    <row r="356" spans="1:12" ht="21" x14ac:dyDescent="0.4">
      <c r="A356" s="148" t="s">
        <v>135</v>
      </c>
      <c r="B356" s="246"/>
      <c r="C356" s="249" t="s">
        <v>324</v>
      </c>
      <c r="D356" s="246"/>
      <c r="E356" s="247"/>
      <c r="F356" s="248"/>
      <c r="G356" s="544" t="s">
        <v>18</v>
      </c>
      <c r="H356" s="545"/>
      <c r="I356" s="545"/>
      <c r="J356" s="545"/>
      <c r="K356" s="546"/>
    </row>
    <row r="357" spans="1:12" ht="16.5" customHeight="1" x14ac:dyDescent="0.3">
      <c r="A357" s="158" t="s">
        <v>1</v>
      </c>
      <c r="B357" s="158" t="s">
        <v>2</v>
      </c>
      <c r="C357" s="542" t="s">
        <v>3</v>
      </c>
      <c r="D357" s="644"/>
      <c r="E357" s="158" t="s">
        <v>15</v>
      </c>
      <c r="F357" s="158" t="s">
        <v>16</v>
      </c>
      <c r="G357" s="158" t="s">
        <v>19</v>
      </c>
      <c r="H357" s="158" t="s">
        <v>20</v>
      </c>
      <c r="I357" s="314" t="s">
        <v>20</v>
      </c>
      <c r="J357" s="314" t="s">
        <v>21</v>
      </c>
      <c r="K357" s="315" t="s">
        <v>21</v>
      </c>
    </row>
    <row r="358" spans="1:12" ht="15.75" customHeight="1" x14ac:dyDescent="0.3">
      <c r="A358" s="540" t="s">
        <v>60</v>
      </c>
      <c r="B358" s="308" t="s">
        <v>86</v>
      </c>
      <c r="C358" s="52" t="s">
        <v>388</v>
      </c>
      <c r="D358" s="52"/>
      <c r="E358" s="162"/>
      <c r="F358" s="338" t="str">
        <f>IF(E358="","",IF(E358&lt;=0,0,IF(E358&gt;=0.95,1,ROUND('Reference Standards'!C$14*E358+'Reference Standards'!C$15,2))))</f>
        <v/>
      </c>
      <c r="G358" s="83" t="str">
        <f>IFERROR(AVERAGE(F358),"")</f>
        <v/>
      </c>
      <c r="H358" s="522" t="str">
        <f>IFERROR(ROUND(AVERAGE(G358:G359),2),"")</f>
        <v/>
      </c>
      <c r="I358" s="519" t="str">
        <f>IF(H358="","",IF(H358&gt;0.69,"Functioning",IF(H358&gt;0.29,"Functioning At Risk",IF(H358&gt;-1,"Not Functioning"))))</f>
        <v/>
      </c>
      <c r="J358" s="555" t="str">
        <f>IF(AND(H358="",H360="",H362="",H384="",H388=""),"",ROUND((IF(H358="",0,H358)*0.2)+(IF(H360="",0,H360)*0.2)+(IF(H362="",0,H362)*0.2)+(IF(H384="",0,H384)*0.2)+(IF(H388="",0,H388)*0.2),2))</f>
        <v/>
      </c>
      <c r="K358" s="555" t="str">
        <f>IF(J358="","",IF(J358&lt;0.3, "Not Functioning",IF(OR(H358&lt;0.7,H360&lt;0.7,H362&lt;0.7,H384&lt;0.7,H388&lt;0.7),"Functioning At Risk",IF(J358&lt;0.7,"Functioning At Risk","Functioning"))))</f>
        <v/>
      </c>
    </row>
    <row r="359" spans="1:12" ht="15.75" customHeight="1" x14ac:dyDescent="0.3">
      <c r="A359" s="541"/>
      <c r="B359" s="371" t="s">
        <v>128</v>
      </c>
      <c r="C359" s="373" t="s">
        <v>161</v>
      </c>
      <c r="D359" s="374"/>
      <c r="E359" s="43"/>
      <c r="F359" s="372" t="str">
        <f>IF(E359="","",IF(E359&gt;=1,1,IF(E359&lt;=0,0,ROUND(E359,2))))</f>
        <v/>
      </c>
      <c r="G359" s="367" t="str">
        <f>IFERROR(AVERAGE(F359:F359),"")</f>
        <v/>
      </c>
      <c r="H359" s="523"/>
      <c r="I359" s="519"/>
      <c r="J359" s="555"/>
      <c r="K359" s="555"/>
    </row>
    <row r="360" spans="1:12" ht="15" customHeight="1" x14ac:dyDescent="0.3">
      <c r="A360" s="524" t="s">
        <v>6</v>
      </c>
      <c r="B360" s="572" t="s">
        <v>7</v>
      </c>
      <c r="C360" s="54" t="s">
        <v>8</v>
      </c>
      <c r="D360" s="54"/>
      <c r="E360" s="162"/>
      <c r="F360" s="339" t="str">
        <f>IF(E360="","",ROUND(IF(E360&gt;1.6,0,IF(E360&lt;=1,1,E360^2*'Reference Standards'!K$14+E360*'Reference Standards'!K$15+'Reference Standards'!K$16)),2))</f>
        <v/>
      </c>
      <c r="G360" s="579" t="str">
        <f>IFERROR(AVERAGE(F360:F361),"")</f>
        <v/>
      </c>
      <c r="H360" s="579" t="str">
        <f>IFERROR(ROUND(AVERAGE(G360),2),"")</f>
        <v/>
      </c>
      <c r="I360" s="569" t="str">
        <f>IF(H360="","",IF(H360&gt;0.69,"Functioning",IF(H360&gt;0.29,"Functioning At Risk",IF(H360&gt;-1,"Not Functioning"))))</f>
        <v/>
      </c>
      <c r="J360" s="555"/>
      <c r="K360" s="555"/>
    </row>
    <row r="361" spans="1:12" ht="15" customHeight="1" x14ac:dyDescent="0.3">
      <c r="A361" s="525"/>
      <c r="B361" s="572"/>
      <c r="C361" s="54" t="s">
        <v>9</v>
      </c>
      <c r="D361" s="54"/>
      <c r="E361" s="163"/>
      <c r="F361" s="339" t="str">
        <f>IF(E361="","",(IF(OR('Quantification Tool R1'!B$11="A",'Quantification Tool R1'!B$11="B",'Quantification Tool R1'!$B$11="Bc"),IF(E361&lt;1.2,0,IF(E361&gt;=2.2,1,ROUND(IF(E361&lt;1.4,E361*'Reference Standards'!$K$84+'Reference Standards'!$K$85,E361*'Reference Standards'!$L$84+'Reference Standards'!$L$85),2))),IF(OR('Quantification Tool R1'!B$11="C",'Quantification Tool R1'!B$11="E"),IF(E361&lt;2,0,IF(E361&gt;=5,1,ROUND(IF(E361&lt;2.4,E361*'Reference Standards'!$L$49+'Reference Standards'!$L$50,E361*'Reference Standards'!$K$49+'Reference Standards'!$K$50),2)))))))</f>
        <v/>
      </c>
      <c r="G361" s="581"/>
      <c r="H361" s="580"/>
      <c r="I361" s="570"/>
      <c r="J361" s="555"/>
      <c r="K361" s="555"/>
    </row>
    <row r="362" spans="1:12" ht="15" customHeight="1" x14ac:dyDescent="0.3">
      <c r="A362" s="526" t="s">
        <v>26</v>
      </c>
      <c r="B362" s="557" t="s">
        <v>27</v>
      </c>
      <c r="C362" s="60" t="s">
        <v>333</v>
      </c>
      <c r="D362" s="244"/>
      <c r="E362" s="61"/>
      <c r="F362" s="340" t="str">
        <f>IF(E362="","",IF(OR(LEFT('Quantification Tool R1'!$B$12,2)="65",LEFT('Quantification Tool R1'!$B$12,2)="66",LEFT('Quantification Tool R1'!$B$12,2)="71"),IF(E362&gt;=850,1,IF(E362&lt;250,ROUND('Reference Standards'!$S$17*(E362)+'Reference Standards'!$S$18,2),ROUND('Reference Standards'!$T$17*E362+'Reference Standards'!$T$18,2))),  IF(E362&gt;=345,1,IF(E362&lt;=180,ROUND('Reference Standards'!$U$17*(E362)+'Reference Standards'!$U$18,2),ROUND('Reference Standards'!$V$17*E362+'Reference Standards'!$V$18,2))))    )</f>
        <v/>
      </c>
      <c r="G362" s="528" t="str">
        <f>IFERROR(AVERAGE(F362:F363),"")</f>
        <v/>
      </c>
      <c r="H362" s="566" t="str">
        <f>IFERROR(ROUND(AVERAGE(G362:G383),2),"")</f>
        <v/>
      </c>
      <c r="I362" s="555" t="str">
        <f>IF(H362="","",IF(H362&gt;0.69,"Functioning",IF(H362&gt;0.29,"Functioning At Risk",IF(H362&gt;-1,"Not Functioning"))))</f>
        <v/>
      </c>
      <c r="J362" s="555"/>
      <c r="K362" s="555"/>
    </row>
    <row r="363" spans="1:12" ht="15" customHeight="1" x14ac:dyDescent="0.3">
      <c r="A363" s="520"/>
      <c r="B363" s="558"/>
      <c r="C363" s="63" t="s">
        <v>323</v>
      </c>
      <c r="D363" s="245"/>
      <c r="E363" s="53"/>
      <c r="F363" s="341" t="str">
        <f>IF(E363="","",IF(OR(LEFT('Quantification Tool R1'!$B$12,2)="65",LEFT('Quantification Tool R1'!$B$12,2)="66",LEFT('Quantification Tool R1'!$B$12,2)="71"),IF(E363&gt;=30,1,IF(E363&lt;13,ROUND('Reference Standards'!$S$53*(E363)+'Reference Standards'!$S$54,2),ROUND('Reference Standards'!$T$53*E363+'Reference Standards'!$T$54,2))),  IF(E363&gt;=16,1,IF(E363&lt;=9,ROUND('Reference Standards'!$U$53*(E363)+'Reference Standards'!$U$54,2),ROUND('Reference Standards'!$V$53*E363+'Reference Standards'!$V$54,2))))    )</f>
        <v/>
      </c>
      <c r="G363" s="530"/>
      <c r="H363" s="566"/>
      <c r="I363" s="555"/>
      <c r="J363" s="555"/>
      <c r="K363" s="555"/>
    </row>
    <row r="364" spans="1:12" ht="15.6" x14ac:dyDescent="0.3">
      <c r="A364" s="520"/>
      <c r="B364" s="520" t="s">
        <v>395</v>
      </c>
      <c r="C364" s="58" t="s">
        <v>80</v>
      </c>
      <c r="D364" s="58"/>
      <c r="E364" s="165"/>
      <c r="F364" s="340" t="str">
        <f>IF(E364="","",ROUND(IF(E364&gt;0.7,0,IF(E364&lt;=0.1,1,E364^3*'Reference Standards'!S$87+E364^2*'Reference Standards'!S$88+E364*'Reference Standards'!S$89+'Reference Standards'!S$90)),2))</f>
        <v/>
      </c>
      <c r="G364" s="528" t="str">
        <f>IFERROR(ROUND(AVERAGE(F364:F367),2),"")</f>
        <v/>
      </c>
      <c r="H364" s="567"/>
      <c r="I364" s="555"/>
      <c r="J364" s="555"/>
      <c r="K364" s="555"/>
    </row>
    <row r="365" spans="1:12" ht="15.6" x14ac:dyDescent="0.3">
      <c r="A365" s="520"/>
      <c r="B365" s="520"/>
      <c r="C365" s="58" t="s">
        <v>49</v>
      </c>
      <c r="D365" s="58"/>
      <c r="E365" s="165"/>
      <c r="F365" s="84"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529"/>
      <c r="H365" s="567"/>
      <c r="I365" s="555"/>
      <c r="J365" s="555"/>
      <c r="K365" s="555"/>
    </row>
    <row r="366" spans="1:12" ht="15.6" x14ac:dyDescent="0.3">
      <c r="A366" s="520"/>
      <c r="B366" s="520"/>
      <c r="C366" s="58" t="s">
        <v>87</v>
      </c>
      <c r="D366" s="58"/>
      <c r="E366" s="165"/>
      <c r="F366" s="84" t="str">
        <f>IF(E366="","",ROUND(IF(E366&gt;40,0,IF(E366&lt;5,1,E366^3*'Reference Standards'!S$122+E366^2*'Reference Standards'!S$123+E366*'Reference Standards'!S$124+'Reference Standards'!S$125)),2))</f>
        <v/>
      </c>
      <c r="G366" s="529"/>
      <c r="H366" s="567"/>
      <c r="I366" s="555"/>
      <c r="J366" s="555"/>
      <c r="K366" s="555"/>
    </row>
    <row r="367" spans="1:12" ht="15.6" x14ac:dyDescent="0.3">
      <c r="A367" s="520"/>
      <c r="B367" s="521"/>
      <c r="C367" s="59" t="s">
        <v>394</v>
      </c>
      <c r="D367" s="59"/>
      <c r="E367" s="167"/>
      <c r="F367" s="341" t="str">
        <f>IF(E367="","",ROUND(IF(E367&gt;=30,0,IF(E367&lt;=0,1,E367*'Reference Standards'!S$156+'Reference Standards'!S$157)),2))</f>
        <v/>
      </c>
      <c r="G367" s="530"/>
      <c r="H367" s="567"/>
      <c r="I367" s="555"/>
      <c r="J367" s="555"/>
      <c r="K367" s="555"/>
    </row>
    <row r="368" spans="1:12" ht="15.6" x14ac:dyDescent="0.3">
      <c r="A368" s="520"/>
      <c r="B368" s="520" t="s">
        <v>50</v>
      </c>
      <c r="C368" s="60" t="s">
        <v>377</v>
      </c>
      <c r="D368" s="64"/>
      <c r="E368" s="136"/>
      <c r="F368" s="294" t="str">
        <f>IF(E368="","",ROUND(IF(E368&gt;9.2,1,E368*'Reference Standards'!$S$189+'Reference Standards'!$S$190),2))</f>
        <v/>
      </c>
      <c r="G368" s="552" t="str">
        <f>IFERROR(ROUND(AVERAGE(F368:F377),2),"")</f>
        <v/>
      </c>
      <c r="H368" s="567"/>
      <c r="I368" s="555"/>
      <c r="J368" s="555"/>
      <c r="K368" s="555"/>
    </row>
    <row r="369" spans="1:12" ht="15.6" x14ac:dyDescent="0.3">
      <c r="A369" s="520"/>
      <c r="B369" s="520"/>
      <c r="C369" s="62" t="s">
        <v>378</v>
      </c>
      <c r="D369" s="58"/>
      <c r="E369" s="162"/>
      <c r="F369" s="294" t="str">
        <f>IF(E369="","",ROUND(IF(E369&gt;9.2,1,E369*'Reference Standards'!$S$189+'Reference Standards'!$S$190),2))</f>
        <v/>
      </c>
      <c r="G369" s="553"/>
      <c r="H369" s="567"/>
      <c r="I369" s="555"/>
      <c r="J369" s="555"/>
      <c r="K369" s="555"/>
    </row>
    <row r="370" spans="1:12" ht="15.6" x14ac:dyDescent="0.3">
      <c r="A370" s="520"/>
      <c r="B370" s="520"/>
      <c r="C370" s="62" t="s">
        <v>379</v>
      </c>
      <c r="D370" s="58"/>
      <c r="E370" s="162"/>
      <c r="F370" s="294" t="str">
        <f>IF(E370="","",ROUND( IF(E370&gt;=200,1,IF(E370&lt;50, E370^2*'Reference Standards'!S$224+E370*'Reference Standards'!S$225+'Reference Standards'!S$226, E370*'Reference Standards'!T$224+'Reference Standards'!T$225)),2))</f>
        <v/>
      </c>
      <c r="G370" s="553"/>
      <c r="H370" s="567"/>
      <c r="I370" s="555"/>
      <c r="J370" s="555"/>
      <c r="K370" s="555"/>
    </row>
    <row r="371" spans="1:12" ht="15.6" x14ac:dyDescent="0.3">
      <c r="A371" s="520"/>
      <c r="B371" s="520"/>
      <c r="C371" s="62" t="s">
        <v>380</v>
      </c>
      <c r="D371" s="58"/>
      <c r="E371" s="162"/>
      <c r="F371" s="294" t="str">
        <f>IF(E371="","",ROUND( IF(E371&gt;=200,1,IF(E371&lt;50, E371^2*'Reference Standards'!S$224+E371*'Reference Standards'!S$225+'Reference Standards'!S$226, E371*'Reference Standards'!T$224+'Reference Standards'!T$225)),2))</f>
        <v/>
      </c>
      <c r="G371" s="553"/>
      <c r="H371" s="567"/>
      <c r="I371" s="555"/>
      <c r="J371" s="555"/>
      <c r="K371" s="555"/>
    </row>
    <row r="372" spans="1:12" ht="15.6" x14ac:dyDescent="0.3">
      <c r="A372" s="520"/>
      <c r="B372" s="520"/>
      <c r="C372" s="58" t="s">
        <v>381</v>
      </c>
      <c r="D372" s="58"/>
      <c r="E372" s="162"/>
      <c r="F372" s="294" t="str">
        <f>IF(E372="","",ROUND(IF(AND(E372&gt;=135,E372&lt;=262),1,IF(  E372&gt;=366,0.5, IF(E372&lt;135,E372*'Reference Standards'!S$259+'Reference Standards'!S$260, E372*'Reference Standards'!T$259+'Reference Standards'!T$260))),2))</f>
        <v/>
      </c>
      <c r="G372" s="553"/>
      <c r="H372" s="567"/>
      <c r="I372" s="555"/>
      <c r="J372" s="555"/>
      <c r="K372" s="555"/>
      <c r="L372" s="21"/>
    </row>
    <row r="373" spans="1:12" ht="15.6" x14ac:dyDescent="0.3">
      <c r="A373" s="520"/>
      <c r="B373" s="520"/>
      <c r="C373" s="58" t="s">
        <v>382</v>
      </c>
      <c r="D373" s="58"/>
      <c r="E373" s="162"/>
      <c r="F373" s="294" t="str">
        <f>IF(E373="","",ROUND(IF(AND(E373&gt;=135,E373&lt;=262),1,IF(  E373&gt;=366,0.5, IF(E373&lt;135,E373*'Reference Standards'!S$259+'Reference Standards'!S$260, E373*'Reference Standards'!T$259+'Reference Standards'!T$260))),2))</f>
        <v/>
      </c>
      <c r="G373" s="553"/>
      <c r="H373" s="567"/>
      <c r="I373" s="555"/>
      <c r="J373" s="555"/>
      <c r="K373" s="555"/>
      <c r="L373" s="21"/>
    </row>
    <row r="374" spans="1:12" ht="15.6" x14ac:dyDescent="0.3">
      <c r="A374" s="520"/>
      <c r="B374" s="520"/>
      <c r="C374" s="58" t="s">
        <v>383</v>
      </c>
      <c r="D374" s="58"/>
      <c r="E374" s="162"/>
      <c r="F374" s="84" t="str">
        <f>IF(E374="","",ROUND(IF(E374&gt;=75,1,IF(E374&lt;=0,0,E374*'Reference Standards'!S$330)),2))</f>
        <v/>
      </c>
      <c r="G374" s="553"/>
      <c r="H374" s="567"/>
      <c r="I374" s="555"/>
      <c r="J374" s="555"/>
      <c r="K374" s="555"/>
      <c r="L374" s="21"/>
    </row>
    <row r="375" spans="1:12" ht="15.6" x14ac:dyDescent="0.3">
      <c r="A375" s="520"/>
      <c r="B375" s="520"/>
      <c r="C375" s="58" t="s">
        <v>384</v>
      </c>
      <c r="D375" s="58"/>
      <c r="E375" s="162"/>
      <c r="F375" s="84" t="str">
        <f>IF(E375="","",ROUND(IF(E375&gt;=75,1,IF(E375&lt;=0,0,E375*'Reference Standards'!S$330)),2))</f>
        <v/>
      </c>
      <c r="G375" s="553"/>
      <c r="H375" s="567"/>
      <c r="I375" s="555"/>
      <c r="J375" s="555"/>
      <c r="K375" s="555"/>
      <c r="L375" s="21"/>
    </row>
    <row r="376" spans="1:12" ht="15.6" x14ac:dyDescent="0.3">
      <c r="A376" s="520"/>
      <c r="B376" s="520"/>
      <c r="C376" s="58" t="s">
        <v>385</v>
      </c>
      <c r="D376" s="58"/>
      <c r="E376" s="162"/>
      <c r="F376" s="294" t="str">
        <f>IF(E376="","",ROUND(IF(AND(E376&gt;=36.3,E376&lt;=68),1,IF(E376&gt;100,0,IF(E376&lt;36.3,(('Reference Standards'!S$297*(E376^2))+('Reference Standards'!S$298*E376)+'Reference Standards'!S$299),IF(E376&gt;68,(('Reference Standards'!T$297*(E376^2))+('Reference Standards'!T$298*E376)+'Reference Standards'!T$299))))),2))</f>
        <v/>
      </c>
      <c r="G376" s="553"/>
      <c r="H376" s="567"/>
      <c r="I376" s="555"/>
      <c r="J376" s="555"/>
      <c r="K376" s="555"/>
      <c r="L376" s="21"/>
    </row>
    <row r="377" spans="1:12" ht="15.6" x14ac:dyDescent="0.3">
      <c r="A377" s="520"/>
      <c r="B377" s="521"/>
      <c r="C377" s="58" t="s">
        <v>386</v>
      </c>
      <c r="D377" s="65"/>
      <c r="E377" s="162"/>
      <c r="F377" s="294" t="str">
        <f>IF(E377="","",ROUND(IF(AND(E377&gt;=36.3,E377&lt;=68),1,IF(E377&gt;100,0,IF(E377&lt;36.3,(('Reference Standards'!S$297*(E377^2))+('Reference Standards'!S$298*E377)+'Reference Standards'!S$299),IF(E377&gt;68,(('Reference Standards'!T$297*(E377^2))+('Reference Standards'!T$298*E377)+'Reference Standards'!T$299))))),2))</f>
        <v/>
      </c>
      <c r="G377" s="554"/>
      <c r="H377" s="567"/>
      <c r="I377" s="555"/>
      <c r="J377" s="555"/>
      <c r="K377" s="555"/>
      <c r="L377" s="21"/>
    </row>
    <row r="378" spans="1:12" ht="15.6" x14ac:dyDescent="0.3">
      <c r="A378" s="520"/>
      <c r="B378" s="56" t="s">
        <v>108</v>
      </c>
      <c r="C378" s="72" t="s">
        <v>130</v>
      </c>
      <c r="D378" s="58"/>
      <c r="E378" s="43"/>
      <c r="F378" s="82" t="str">
        <f>IF(E378="","",IF(OR('Quantification Tool R1'!B$14="Gravel",'Quantification Tool R1'!B$14="Cobble"),IF(E378&gt;0.1,1,IF(E378&lt;=0.01,0,ROUND(E378*'Reference Standards'!$S$362+'Reference Standards'!$S$363,2)))))</f>
        <v/>
      </c>
      <c r="G378" s="82" t="str">
        <f>IFERROR(AVERAGE(F378),"")</f>
        <v/>
      </c>
      <c r="H378" s="567"/>
      <c r="I378" s="555"/>
      <c r="J378" s="555"/>
      <c r="K378" s="555"/>
      <c r="L378" s="21"/>
    </row>
    <row r="379" spans="1:12" ht="15.6" x14ac:dyDescent="0.3">
      <c r="A379" s="520"/>
      <c r="B379" s="526" t="s">
        <v>51</v>
      </c>
      <c r="C379" s="64" t="s">
        <v>52</v>
      </c>
      <c r="D379" s="64"/>
      <c r="E379" s="166"/>
      <c r="F379" s="337" t="str">
        <f>IF(E379="","", IF(ISNUMBER('Quantification Tool R1'!$B$17), IF('Quantification Tool R1'!$B$17&lt;=2,   IF(AND(E379&gt;=3,E379&lt;=5),1, IF(OR(E379&lt;=1,E379&gt;=7), 0, ROUND( IF(E379&lt;3, E379*'Reference Standards'!S$398+'Reference Standards'!S$399,E379*'Reference Standards'!T$398+'Reference Standards'!T$399),2) ) ),   IF(E379&lt;=2.5,1, IF(E379&gt;=5.8,0, ROUND(E379*'Reference Standards'!S$430+'Reference Standards'!S$431,2))))   ))</f>
        <v/>
      </c>
      <c r="G379" s="528" t="str">
        <f>IFERROR(AVERAGE(F379:F382),"")</f>
        <v/>
      </c>
      <c r="H379" s="567"/>
      <c r="I379" s="555"/>
      <c r="J379" s="555"/>
      <c r="K379" s="555"/>
      <c r="L379" s="21"/>
    </row>
    <row r="380" spans="1:12" ht="15.6" x14ac:dyDescent="0.3">
      <c r="A380" s="520"/>
      <c r="B380" s="520"/>
      <c r="C380" s="58" t="s">
        <v>53</v>
      </c>
      <c r="D380" s="58"/>
      <c r="E380" s="165"/>
      <c r="F380" s="84" t="str">
        <f>IF(E380="","", IF( E380&gt;=2.4,1, IF(E380&lt;=1,0,  ROUND(IF(E380&lt;2.4, E380*'Reference Standards'!$S$464+'Reference Standards'!$S$465  ),2))))</f>
        <v/>
      </c>
      <c r="G380" s="529"/>
      <c r="H380" s="567"/>
      <c r="I380" s="555"/>
      <c r="J380" s="555"/>
      <c r="K380" s="555"/>
      <c r="L380" s="21"/>
    </row>
    <row r="381" spans="1:12" ht="15.6" x14ac:dyDescent="0.3">
      <c r="A381" s="520"/>
      <c r="B381" s="520"/>
      <c r="C381" s="58" t="s">
        <v>334</v>
      </c>
      <c r="D381" s="58"/>
      <c r="E381" s="165"/>
      <c r="F381" s="390" t="str">
        <f>IF(E381="","", IF(LEFT('Quantification Tool R1'!$B$12,2)="67",  IF( AND(E381&gt;=45,E381&lt;=65),1, IF(OR(E381&lt;=20,E381&gt;=90),0, ROUND(  IF(E381&lt;45, E381*'Reference Standards'!$S$498+'Reference Standards'!$S$499,E381*'Reference Standards'!$T$498+'Reference Standards'!$T$499),2))), IF(OR(  LEFT('Quantification Tool R1'!$B$12,2)="68", LEFT('Quantification Tool R1'!$B$12,2)="69",LEFT('Quantification Tool R1'!$B$12,2)="71"),  IF( AND(E381&gt;=30,E381&lt;=50),1, IF(OR(E381&lt;=10,E381&gt;=70),0, ROUND(  IF(E381&lt;30, E381*'Reference Standards'!$S$533+'Reference Standards'!$S$534,E381*'Reference Standards'!$T$533+'Reference Standards'!$T$534),2))), IF(LEFT('Quantification Tool R1'!$B$12,2)="66",  IF( AND(E381&gt;=20,E381&lt;=45),1, IF(OR(E381&lt;=0,E381&gt;=90),0, ROUND(  IF(E381&lt;20, E381*'Reference Standards'!$S$567+'Reference Standards'!$S$568,E381*'Reference Standards'!$T$567+'Reference Standards'!$T$568),2))), IF(OR(  LEFT('Quantification Tool R1'!$B$12,2)="65", LEFT('Quantification Tool R1'!$B$12,2)="74", LEFT('Quantification Tool R1'!$B$12,2)="73"),  IF( AND(E381&gt;=20,E381&lt;=30),1, IF(OR(E381&lt;=0,E381&gt;=50),0, ROUND(  IF(E381&lt;20, E381*'Reference Standards'!$S$601+'Reference Standards'!$S$602,E381*'Reference Standards'!$T$601+'Reference Standards'!$T$602),2))))))))</f>
        <v/>
      </c>
      <c r="G381" s="529"/>
      <c r="H381" s="567"/>
      <c r="I381" s="555"/>
      <c r="J381" s="555"/>
      <c r="K381" s="555"/>
      <c r="L381" s="21"/>
    </row>
    <row r="382" spans="1:12" ht="15.6" x14ac:dyDescent="0.3">
      <c r="A382" s="520"/>
      <c r="B382" s="521"/>
      <c r="C382" s="62" t="s">
        <v>210</v>
      </c>
      <c r="D382" s="58"/>
      <c r="E382" s="167"/>
      <c r="F382" s="391" t="str">
        <f>IF(E382="","",IF(E382&gt;=1.6,0,IF(E382&lt;=1,1,ROUND('Reference Standards'!$S$633*E382^3+'Reference Standards'!$S$634*E382^2+'Reference Standards'!$S$635*E382+'Reference Standards'!$S$636,2))))</f>
        <v/>
      </c>
      <c r="G382" s="530"/>
      <c r="H382" s="567"/>
      <c r="I382" s="555"/>
      <c r="J382" s="555"/>
      <c r="K382" s="555"/>
      <c r="L382" s="21"/>
    </row>
    <row r="383" spans="1:12" ht="15.6" x14ac:dyDescent="0.3">
      <c r="A383" s="521"/>
      <c r="B383" s="309" t="s">
        <v>55</v>
      </c>
      <c r="C383" s="242" t="s">
        <v>54</v>
      </c>
      <c r="D383" s="243"/>
      <c r="E383" s="163"/>
      <c r="F383" s="342" t="str">
        <f>IF(E383="","",IF(AND('Quantification Tool R1'!B$11="E",'Quantification Tool R1'!$B$14="Sand",'Quantification Tool R1'!$B$21="Unconfined Alluvial"),ROUND(IF(OR(E383&gt;1.8,E383&lt;1.3),0,IF(E383&lt;=1.6,1,E383*'Reference Standards'!S$667+'Reference Standards'!S$668)),2),    IF('Quantification Tool R1'!$B$21="Unconfined Alluvial",ROUND(IF(OR(E383&lt;1.2, E383&gt;1.5),0,IF(E383&lt;=1.4,1,E383*'Reference Standards'!$S$700+'Reference Standards'!$S$701)),2), IF('Quantification Tool R1'!$B$21="Confined Alluvial",ROUND(IF(E383&lt;1.15,0,IF(E383&lt;=1.4,E383*'Reference Standards'!$S$729+'Reference Standards'!$S$730,1)),2),  IF('Quantification Tool R1'!$B$21="Colluvial",ROUND(IF(E383&gt;1.3,0,IF(E383&gt;1.2,E383*'Reference Standards'!$S$760+'Reference Standards'!$S$761,1)),2) )))))</f>
        <v/>
      </c>
      <c r="G383" s="84" t="str">
        <f>IFERROR(AVERAGE(F383),"")</f>
        <v/>
      </c>
      <c r="H383" s="567"/>
      <c r="I383" s="555"/>
      <c r="J383" s="555"/>
      <c r="K383" s="555"/>
      <c r="L383" s="21"/>
    </row>
    <row r="384" spans="1:12" ht="15.6" x14ac:dyDescent="0.3">
      <c r="A384" s="537" t="s">
        <v>58</v>
      </c>
      <c r="B384" s="67" t="s">
        <v>88</v>
      </c>
      <c r="C384" s="70" t="s">
        <v>338</v>
      </c>
      <c r="D384" s="70"/>
      <c r="E384" s="43"/>
      <c r="F384" s="343" t="str">
        <f>IF(E384="","",ROUND(IF(E384&gt;=942,0,IF(E384&lt;=487,E384*'Reference Standards'!AB$15+'Reference Standards'!AB$16,E384*'Reference Standards'!$AC$15+'Reference Standards'!$AC$16)),2))</f>
        <v/>
      </c>
      <c r="G384" s="85" t="str">
        <f>IFERROR(AVERAGE(F384),"")</f>
        <v/>
      </c>
      <c r="H384" s="547" t="str">
        <f>IFERROR(ROUND(AVERAGE(G384:G387),2),"")</f>
        <v/>
      </c>
      <c r="I384" s="534" t="str">
        <f>IF(H384="","",IF(H384&gt;0.69,"Functioning",IF(H384&gt;0.29,"Functioning At Risk",IF(H384&gt;-1,"Not Functioning"))))</f>
        <v/>
      </c>
      <c r="J384" s="555"/>
      <c r="K384" s="555"/>
      <c r="L384" s="21"/>
    </row>
    <row r="385" spans="1:12" ht="15.75" customHeight="1" x14ac:dyDescent="0.3">
      <c r="A385" s="538"/>
      <c r="B385" s="306" t="s">
        <v>362</v>
      </c>
      <c r="C385" s="66" t="s">
        <v>354</v>
      </c>
      <c r="D385" s="66"/>
      <c r="E385" s="163"/>
      <c r="F385" s="344" t="str">
        <f>IF(E385="","",IF(OR('Quantification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June")),IF(E385&gt;93,0,IF(E385&lt;13,1,ROUND('Reference Standards'!$AB$53*E385^2+'Reference Standards'!$AB$54*E385+'Reference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R1'!$B$12="73b"),IF(E385&gt;94,0,IF(E385&lt;17,1,ROUND('Reference Standards'!$AC$53*E385^2+'Reference Standards'!$AC$54*E385+'Reference Standards'!$AC$55,2))),    IF(OR(AND(OR('Quantification Tool R1'!$B$12="68b",'Quantification Tool R1'!$B$12="71i"),'Quantification Tool R1'!$B$13&gt;2), 'Quantification Tool R1'!$B$12="71e"),IF(E385&gt;91,0,IF(E385&lt;24,1,ROUND('Reference Standards'!$AD$53*E385^2+'Reference Standards'!$AD$54*E385+'Reference Standards'!$AD$55,2))),  IF(OR(AND(OR('Quantification Tool R1'!$B$12="71f",'Quantification Tool R1'!$B$12="71g",'Quantification Tool R1'!$B$12="71h",'Quantification Tool R1'!$B$12="71i"),'Quantification Tool R1'!$B$13&lt;=2), AND('Quantification Tool R1'!$B$12="74a",'Quantification Tool R1'!$B$13&gt;2)),IF(E385&gt;95,0,IF(E385&lt;=36,1,ROUND('Reference Standards'!$AE$53*E385^2+'Reference Standards'!$AE$54*E385+'Reference Standards'!$AE$55,2))))))))</f>
        <v/>
      </c>
      <c r="G385" s="236" t="str">
        <f>IFERROR(AVERAGE(F385:F385),"")</f>
        <v/>
      </c>
      <c r="H385" s="548"/>
      <c r="I385" s="535"/>
      <c r="J385" s="555"/>
      <c r="K385" s="555"/>
    </row>
    <row r="386" spans="1:12" ht="15.75" customHeight="1" x14ac:dyDescent="0.3">
      <c r="A386" s="538"/>
      <c r="B386" s="67" t="s">
        <v>81</v>
      </c>
      <c r="C386" s="68" t="s">
        <v>281</v>
      </c>
      <c r="D386" s="68"/>
      <c r="E386" s="162"/>
      <c r="F386" s="344" t="str">
        <f>IF(E386="","",IF(ISNUMBER('Quantification Tool R1'!$B$13), IF(OR('Quantification Tool R1'!$B$12="66e",'Quantification Tool R1'!$B$12="66f",'Quantification Tool R1'!$B$12="66g"), ROUND(IF(E386&gt;=0.61,0,IF(E386&lt;=0.01,1,IF(E386&lt;=0.06,E386*'Reference Standards'!$AD$197+'Reference Standards'!$AD$198,E386^2*'Reference Standards'!$AB$196+E386*'Reference Standards'!$AB$197+'Reference Standards'!$AB$198))),2),  IF('Quantification Tool R1'!$B$12="68b", ROUND(IF(E386&gt;=1.1,0,IF(E386&lt;=0.17,1,IF(E386&lt;=0.22,E386*'Reference Standards'!$AE$197+'Reference Standards'!$AE$198,E386^2*'Reference Standards'!$AC$196+E386*'Reference Standards'!$AC$197+'Reference Standards'!$AC$198))),2),IF('Quantification Tool R1'!$B$13&lt;=2.5,   IF('Quantification Tool R1'!$B$12="69de",ROUND(IF(E386&gt;=0.22,0,IF(E386&lt;=0.01,1,E386^2*'Reference Standards'!$AB$90+E386*'Reference Standards'!$AB$91+'Reference Standards'!$AB$92)),2),   IF('Quantification Tool R1'!$B$12="68c",ROUND(IF(E386&gt;=0.87,0,IF(E386&lt;=0.01,1,E386^2*'Reference Standards'!$AC$90+E386*'Reference Standards'!$AC$91+'Reference Standards'!$AC$92)),2),   IF('Quantification Tool R1'!$B$12="68a",ROUND(IF(E386&gt;=0.81,0,IF(E386&lt;=0.01,1,E386^2*'Reference Standards'!$AD$90+E386*'Reference Standards'!$AD$91+'Reference Standards'!$AD$92)),2),   IF('Quantification Tool R1'!$B$12="65abei",ROUND(IF(E386&gt;=0.67,0,IF(E386&lt;=0.01,1,IF(E386&lt;=0.18,E386*'Reference Standards'!$AG$91+'Reference Standards'!$AG$92,E386*'Reference Standards'!$AE$91+'Reference Standards'!$AE$92))),2),   IF('Quantification Tool R1'!$B$12="65j",ROUND(IF(E386&gt;=0.32,0,IF(E386&lt;=0.01,1,IF(E386&lt;=0.25,E386*'Reference Standards'!$AH$91+'Reference Standards'!$AH$92,E386*'Reference Standards'!$AF$91+'Reference Standards'!$AF$92))),2),   IF('Quantification Tool R1'!$B$12="71f",ROUND(IF(E386&gt;=3,0,IF(E386&lt;=0,1,IF(E386&lt;=0.01,0.7,E386^2*'Reference Standards'!$AB$126+E386*'Reference Standards'!$AB$127+'Reference Standards'!$AB$128))),2),   IF('Quantification Tool R1'!$B$12="74a",ROUND(IF(E386&gt;=0.14,0,IF(E386&lt;=0.01,1,IF(E386&lt;=0.02,0.7,E386^2*'Reference Standards'!$AC$126+E386*'Reference Standards'!$AC$127+'Reference Standards'!$AC$128))),2),   IF(OR('Quantification Tool R1'!$B$12="67fhi",'Quantification Tool R1'!$B$12="67g"),ROUND(IF(E386&gt;=1.9,0,IF(E386&lt;=0.01,1,IF(E386&lt;=0.05,E386*'Reference Standards'!$AF$127+'Reference Standards'!$AF$128,E386^2*'Reference Standards'!$AD$126+E386*'Reference Standards'!$AD$127+'Reference Standards'!$AD$128))),2),   IF('Quantification Tool R1'!$B$12="73a",ROUND(IF(E386&gt;=1.44,0,IF(E386&lt;=0.01,1,IF(E386&lt;=0.12,E386*'Reference Standards'!$AG$127+'Reference Standards'!$AG$128,E386^2*'Reference Standards'!$AE$126+E386*'Reference Standards'!$AE$127+'Reference Standards'!$AE$128))),2),   IF('Quantification Tool R1'!$B$12="66d",ROUND(IF(E386&gt;=0.46,0,IF(E386&lt;=0.02,1,IF(E386&lt;=0.08,E386*'Reference Standards'!$AF$163+'Reference Standards'!$AF$164,E386^2*'Reference Standards'!$AB$162+E386*'Reference Standards'!$AB$163+'Reference Standards'!$AB$164))),2),   IF(OR('Quantification Tool R1'!$B$12="71g",'Quantification Tool R1'!$B$12="71h",'Quantification Tool R1'!$B$12="71i"),ROUND(IF(E386&gt;=3,0,IF(E386&lt;=0.06,1,IF(E386&lt;=0.24,E386*'Reference Standards'!$AG$163+'Reference Standards'!$AG$164, E386^2*'Reference Standards'!$AC$162+E386*'Reference Standards'!$AC$163+'Reference Standards'!$AC$164))),2),   IF('Quantification Tool R1'!$B$12="74b",ROUND(IF(E386&gt;=1.3,0,IF(E386&lt;=0.29,1,IF(E386&lt;=0.48,E386*'Reference Standards'!$AH$163+'Reference Standards'!$AH$164,E386^2*'Reference Standards'!$AD$162+E386*'Reference Standards'!$AD$163+'Reference Standards'!$AD$164))),2),   IF('Quantification Tool R1'!$B$12="71e",ROUND(IF(E386&gt;=4.3,0,IF(E386&lt;=0.53,1,IF(E386&lt;=0.67,E386*'Reference Standards'!$AI$163+'Reference Standards'!$AI$164,E386^2*'Reference Standards'!$AE$162+E386*'Reference Standards'!$AE$163+'Reference Standards'!$AE$164))),2)       ))))))))))))),IF('Quantification Tool R1'!$B$13&gt;2.5,    IF('Quantification Tool R1'!$B$12="73a",ROUND(IF(E386&gt;=0.55,0,IF(E386&lt;=0,1,E386^2*'Reference Standards'!$AB$232+E386*'Reference Standards'!$AB$233+'Reference Standards'!$AB$234)),2),   IF('Quantification Tool R1'!$B$12="68a",ROUND(IF(E386&gt;=0.54,0,IF(E386&lt;=0,1, IF(E386&lt;=0.01,0.85, E386^2*'Reference Standards'!$AC$232+E386*'Reference Standards'!$AC$233+'Reference Standards'!$AC$234))),2),   IF('Quantification Tool R1'!$B$12="74a",ROUND(IF(E386&gt;=0.47,0,IF(E386&lt;=0.01,1, IF(E386&lt;=0.02,0.7, E386^2*'Reference Standards'!$AD$232+E386*'Reference Standards'!$AD$233+'Reference Standards'!$AD$234))),2),    IF('Quantification Tool R1'!$B$12="69de",ROUND(IF(E386&gt;=0.26,0,IF(E386&lt;=0.01,1, IF(E386&lt;=0.02,0.85, E386^2*'Reference Standards'!$AE$232+E386*'Reference Standards'!$AE$233+'Reference Standards'!$AE$234))),2),   IF('Quantification Tool R1'!$B$12="71f",ROUND(IF(E386&gt;=0.87,0,IF(E386&lt;=0.01,1,IF(E386&lt;=0.04,E386*'Reference Standards'!$AF$269+'Reference Standards'!$AF$270,E386^2*'Reference Standards'!$AB$268+E386*'Reference Standards'!$AB$269+'Reference Standards'!$AB$270))),2),  IF('Quantification Tool R1'!$B$12="65abei",ROUND(IF(E386&gt;=0.82,0,IF(E386&lt;=0.01,1,IF(E386&lt;=0.06,E386*'Reference Standards'!$AG$269+'Reference Standards'!$AG$270,E386^2*'Reference Standards'!$AC$268+E386*'Reference Standards'!$AC$269+'Reference Standards'!$AC$270))),2),  IF('Quantification Tool R1'!$B$12="65j",ROUND(IF(E386&gt;=0.33,0,IF(E386&lt;=0.03,1,IF(E386&lt;=0.09,E386*'Reference Standards'!$AH$269+'Reference Standards'!$AH$270,E386^2*'Reference Standards'!$AD$268+E386*'Reference Standards'!$AD$269+'Reference Standards'!$AD$270))),2),  IF('Quantification Tool R1'!$B$12="68c",ROUND(IF(E386&gt;=0.7,0,IF(E386&lt;=0.07,1,IF(E386&lt;=0.12,E386*'Reference Standards'!$AI$269+'Reference Standards'!$AI$270,E386^2*'Reference Standards'!$AE$268+E386*'Reference Standards'!$AE$269+'Reference Standards'!$AE$270))),2),   IF(OR('Quantification Tool R1'!$B$12="67fhi",'Quantification Tool R1'!$B$12="67g"),ROUND(IF(E386&gt;=1.8,0,IF(E386&lt;=0.08,1,IF(E386&lt;=0.2,E386*'Reference Standards'!$AF$306+'Reference Standards'!$AF$307,E386^2*'Reference Standards'!$AB$305+E386*'Reference Standards'!$AB$306+'Reference Standards'!$AB$307))),2),   IF('Quantification Tool R1'!$B$12="74b",ROUND(IF(E386&gt;=0.96,0,IF(E386&lt;=0.12,1,IF(E386&lt;=0.16,E386*'Reference Standards'!$AG$306+'Reference Standards'!$AG$307,E386^2*'Reference Standards'!$AC$305+E386*'Reference Standards'!$AC$306+'Reference Standards'!$AC$307))),2),   IF('Quantification Tool R1'!$B$12="66d",ROUND(IF(E386&gt;=0.75,0,IF(E386&lt;=0.13,1,IF(E386&lt;=0.2,E386*'Reference Standards'!$AH$306+'Reference Standards'!$AH$307,E386^2*'Reference Standards'!$AD$305+E386*'Reference Standards'!$AD$306+'Reference Standards'!$AD$307))),2),    IF(OR('Quantification Tool R1'!$B$12="71g",'Quantification Tool R1'!$B$12="71h",'Quantification Tool R1'!$B$12="71i"),ROUND(IF(E386&gt;=1.68,0,IF(E386&lt;=0.08,1,IF(E386&lt;=0.23,E386*'Reference Standards'!$AI$306+'Reference Standards'!$AI$307,E386^2*'Reference Standards'!$AE$305+E386*'Reference Standards'!$AE$306+'Reference Standards'!$AE$307))),2),   IF('Quantification Tool R1'!$B$12="71e",ROUND(IF(E386&gt;=5.3,0,IF(E386&lt;=0.94,1,IF(E386&lt;=1.4,E386*'Reference Standards'!$AF$310+'Reference Standards'!$AF$311,E386^2*'Reference Standards'!$AB$309+E386*'Reference Standards'!$AB$310+'Reference Standards'!$AB$311))),2))    ))))))))))))))))))</f>
        <v/>
      </c>
      <c r="G386" s="86" t="str">
        <f>IFERROR(AVERAGE(F386),"")</f>
        <v/>
      </c>
      <c r="H386" s="548"/>
      <c r="I386" s="535"/>
      <c r="J386" s="555"/>
      <c r="K386" s="555"/>
    </row>
    <row r="387" spans="1:12" ht="15.75" customHeight="1" x14ac:dyDescent="0.3">
      <c r="A387" s="539"/>
      <c r="B387" s="307" t="s">
        <v>82</v>
      </c>
      <c r="C387" s="66" t="s">
        <v>280</v>
      </c>
      <c r="D387" s="66"/>
      <c r="E387" s="136"/>
      <c r="F387" s="343" t="str">
        <f>IF(E387="","", IF(ISNUMBER('Quantification Tool R1'!$B$13),IF('Quantification Tool R1'!$B$13&gt;2.5,IF(OR('Quantification Tool R1'!$B$12="71h",'Quantification Tool R1'!$B$12="71i",'Quantification Tool R1'!$B$12="73a",'Quantification Tool R1'!$B$12="74a"),IF(E387&lt;=0.01,1,IF(OR('Quantification Tool R1'!$B$12="71h",'Quantification Tool R1'!$B$12="71i"),IF(E387&gt;0.37,0,ROUND(IF(E387&gt;0.03,'Reference Standards'!$AB$425*E387^2+'Reference Standards'!$AB$426*E387+'Reference Standards'!$AB$427,'Reference Standards'!$AF$426*E387+'Reference Standards'!$AF$427),2)),  IF('Quantification Tool R1'!$B$12="73a",IF(E387&gt;0.405,0,ROUND(IF(E387&gt;0.046,'Reference Standards'!$AC$425*E387^2+'Reference Standards'!$AC$426*E387+'Reference Standards'!$AC$427,'Reference Standards'!$AG$426*E387+'Reference Standards'!$AG$427),2)),IF('Quantification Tool R1'!$B$12="74a",IF(E387&gt;0.3,0,ROUND(IF(E387&gt;0.052,'Reference Standards'!$AD$425*E387^2+'Reference Standards'!$AD$426*E387+'Reference Standards'!$AD$427,'Reference Standards'!$AH$426*E387+'Reference Standards'!$AH$427),2)))))),   IF(E387&lt;=0.002,1,IF(OR('Quantification Tool R1'!$B$12="66d",'Quantification Tool R1'!$B$12="66e",'Quantification Tool R1'!$B$12="66g"),IF(E387&gt;0.053,0,ROUND(E387^2*'Reference Standards'!$AB$347+E387*'Reference Standards'!$AB$348+'Reference Standards'!$AB$349,2)), IF('Quantification Tool R1'!$B$12="68b",IF(E387&gt;0.05,0,ROUND(E387^2*'Reference Standards'!$AC$347+E387*'Reference Standards'!$AC$348+'Reference Standards'!$AC$349,2)),  IF(OR('Quantification Tool R1'!$B$12="68a",'Quantification Tool R1'!$B$12="68c"),IF(E387&gt;0.07,0,ROUND(E387^2*'Reference Standards'!$AD$347+E387*'Reference Standards'!$AD$348+'Reference Standards'!$AD$349,2)), IF(OR('Quantification Tool R1'!$B$12="71f",'Quantification Tool R1'!$B$12="71g"),IF(E387&gt;0.13,0,ROUND(IF(E387&gt;0.042,E387*'Reference Standards'!$AE$348+'Reference Standards'!$AE$349,E387*'Reference Standards'!$AF$348+'Reference Standards'!$AF$349),2)), IF('Quantification Tool R1'!$B$12="67fhi",IF(E387&gt;0.16,0,ROUND(E387^2*'Reference Standards'!$AG$347+E387*'Reference Standards'!$AG$348+'Reference Standards'!$AG$349,2)),  IF('Quantification Tool R1'!$B$12="65j",IF(E387&gt;0.035,0,ROUND(IF(E387&lt;=0.003,0.7,E387^2*'Reference Standards'!$AB$387+E387*'Reference Standards'!$AB$388+'Reference Standards'!$AB$389),2)),IF('Quantification Tool R1'!$B$12="69de",IF(E387&gt;0.037,0,ROUND(IF(E387&lt;=0.003,0.7,E387^2*'Reference Standards'!$AC$387+E387*'Reference Standards'!$AC$388+'Reference Standards'!$AC$389),2)),IF('Quantification Tool R1'!$B$12="71e",IF(E387&gt;0.23,0,ROUND(IF(E387&lt;=0.003,0.7,E387^2*'Reference Standards'!$AD$387+E387*'Reference Standards'!$AD$388+'Reference Standards'!$AD$389),2)),IF('Quantification Tool R1'!$B$12="66f",IF(E387&gt;0.06,0,ROUND(IF(E387&lt;=0.003,0.85,IF(E387&lt;=0.004,0.7,E387^2*'Reference Standards'!$AE$387+E387*'Reference Standards'!$AE$388+'Reference Standards'!$AE$389)),2)),IF('Quantification Tool R1'!$B$12="67g",IF(E387&gt;0.11,0,ROUND(IF(E387&lt;=0.01,E387*'Reference Standards'!$AH$388+'Reference Standards'!$AH$389, E387^2*'Reference Standards'!$AF$387+E387*'Reference Standards'!$AF$388+'Reference Standards'!$AF$389),2)),IF('Quantification Tool R1'!$B$12="74b",IF(E387&gt;0.49,0,ROUND(IF(E387&lt;=0.01,E387*'Reference Standards'!$AH$388+'Reference Standards'!$AH$389, E387^2*'Reference Standards'!$AG$387+E387*'Reference Standards'!$AG$388+'Reference Standards'!$AG$389),2)),IF('Quantification Tool R1'!$B$12="65abei",IF(E387&gt;0.199,0,ROUND(IF(E387&lt;=0.01,E387*'Reference Standards'!$AI$426+'Reference Standards'!$AI$427, E387^2*'Reference Standards'!$AE$425+E387*'Reference Standards'!$AE$426+'Reference Standards'!$AE$427),2))    )))))))))))))),      IF('Quantification Tool R1'!$B$13&lt;=2.5, IF(OR('Quantification Tool R1'!$B$12="66d",'Quantification Tool R1'!$B$12="66e",'Quantification Tool R1'!$B$12="66g"),IF(E387&gt;0.05,0,ROUND(IF(E387&lt;=0.002,1,IF(E387&lt;=0.005,E387*'Reference Standards'!$AF$464+'Reference Standards'!$AF$465, E387^2*'Reference Standards'!$AB$463+E387*'Reference Standards'!$AB$464+'Reference Standards'!$AB$465)),2)), IF('Quantification Tool R1'!$B$12="67fhi",IF(E387&gt;0.1,0,ROUND(IF(E387&lt;=0.002,1,IF(E387&lt;=0.006,E387*'Reference Standards'!$AG$464+'Reference Standards'!$AG$465, E387^2*'Reference Standards'!$AC$463+E387*'Reference Standards'!$AC$464+'Reference Standards'!$AC$465)),2)), IF('Quantification Tool R1'!$B$12="65abei",IF(E387&gt;0.13,0,ROUND(IF(E387&lt;=0.003,1,IF(E387&lt;=0.008,E387*'Reference Standards'!$AH$464+'Reference Standards'!$AH$465, E387^2*'Reference Standards'!$AD$463+E387*'Reference Standards'!$AD$464+'Reference Standards'!$AD$465)),2)), IF('Quantification Tool R1'!$B$12="68b",IF(E387&gt;0.043,0,ROUND(IF(E387&lt;=0.004,1, IF(E387&lt;=0.005,0.7, E387^2*'Reference Standards'!$AE$463+E387*'Reference Standards'!$AE$464+'Reference Standards'!$AE$465)),2)), IF('Quantification Tool R1'!$B$12="69de",IF(E387&gt;=0.034,0,ROUND(IF(E387&lt;=0.003,1, IF(E387&lt;=0.006,E387*'Reference Standards'!$AG$500+'Reference Standards'!$AG$501, E387*'Reference Standards'!$AB$500+'Reference Standards'!$AB$501)),2)), IF(OR('Quantification Tool R1'!$B$12="68a",'Quantification Tool R1'!$B$12="68c"),IF(E387&gt;0.202,0,ROUND(IF(E387&lt;=0.003,1, IF(E387&lt;=0.006,E387*'Reference Standards'!$AG$500+'Reference Standards'!$AG$501, IF(E387&gt;=0.04,E387*'Reference Standards'!$AC$500+'Reference Standards'!$AC$501,E387*'Reference Standards'!$AE$500+'Reference Standards'!$AE$501))),2)), IF(OR('Quantification Tool R1'!$B$12="71f",'Quantification Tool R1'!$B$12="71g"),IF(E387&gt;0.631,0,ROUND(IF(E387&lt;=0.003,1, IF(E387&lt;=0.006,E387*'Reference Standards'!$AG$500+'Reference Standards'!$AG$501, IF(E387&gt;=0.17,E387*'Reference Standards'!$AD$500+'Reference Standards'!$AD$501,E387*'Reference Standards'!$AF$500+'Reference Standards'!$AF$501))),2)),   IF('Quantification Tool R1'!$B$12="71e",IF(E387&gt;1.23,0,ROUND(IF(E387&lt;=0.004,1,IF(E387&lt;=0.006,E387*'Reference Standards'!$AF$538+'Reference Standards'!$AF$539, E387^2*'Reference Standards'!$AB$537+E387*'Reference Standards'!$AB$538+'Reference Standards'!$AB$539)),2)), IF('Quantification Tool R1'!$B$12="67g",IF(E387&gt;0.11,0,ROUND(IF(E387&lt;=0.006,1,IF(E387&lt;=0.011,E387*'Reference Standards'!$AG$538+'Reference Standards'!$AG$539, E387^2*'Reference Standards'!$AC$537+E387*'Reference Standards'!$AC$538+'Reference Standards'!$AC$539)),2)), IF('Quantification Tool R1'!$B$12="65j",IF(E387&gt;0.046,0,ROUND(IF(E387&lt;=0.007,1,IF(E387&lt;=0.012,E387*'Reference Standards'!$AH$538+'Reference Standards'!$AH$539, E387^2*'Reference Standards'!$AD$537+E387*'Reference Standards'!$AD$538+'Reference Standards'!$AD$539)),2)), IF('Quantification Tool R1'!$B$12="66f",IF(E387&gt;0.081,0,ROUND(IF(E387&lt;=0.008,1,IF(E387&lt;=0.011,E387*'Reference Standards'!$AI$538+'Reference Standards'!$AI$539, E387^2*'Reference Standards'!$AE$537+E387*'Reference Standards'!$AE$538+'Reference Standards'!$AE$539)),2)), IF(OR('Quantification Tool R1'!$B$12="71h",'Quantification Tool R1'!$B$12="71i"),IF(E387&gt;0.37,0,ROUND(IF(E387&lt;=0.013,1,IF(E387&lt;=0.032,E387*'Reference Standards'!$AH$576+'Reference Standards'!$AH$577, IF(E387&lt;=0.3,E387*'Reference Standards'!$AF$576+'Reference Standards'!$AF$577,E387*'Reference Standards'!$AB$576+'Reference Standards'!$AB$577))),2)), IF('Quantification Tool R1'!$B$12="73a",IF(E387&gt;0.448,0,ROUND(IF(E387&lt;=0.071,1,IF(E387&lt;=0.086,E387*'Reference Standards'!$AJ$576+'Reference Standards'!$AJ$577, IF(E387&lt;=0.165,E387*'Reference Standards'!$AG$576+'Reference Standards'!$AG$577,E387*'Reference Standards'!$AE$576+'Reference Standards'!$AE$577))),2)),  IF('Quantification Tool R1'!$B$12="74b",IF(E387&gt;0.43,0,ROUND(IF(E387&lt;=0.018,1,IF(E387&lt;=0.019,0.85, IF(E387&lt;=0.02,0.7, E387^2*'Reference Standards'!$AC$575+E387*'Reference Standards'!$AC$576+'Reference Standards'!$AC$577))),2)), IF('Quantification Tool R1'!$B$12="74a",IF(E387&gt;0.217,0,ROUND(IF(E387&lt;=0.02,1,IF(E387&lt;=0.033,E387*'Reference Standards'!$AI$576+'Reference Standards'!$AI$577, E387^2*'Reference Standards'!$AD$575+E387*'Reference Standards'!$AD$576+'Reference Standards'!$AD$577)),2))     )))))))))))))))))))</f>
        <v/>
      </c>
      <c r="G387" s="87" t="str">
        <f>IFERROR(AVERAGE(F387),"")</f>
        <v/>
      </c>
      <c r="H387" s="549"/>
      <c r="I387" s="536"/>
      <c r="J387" s="555"/>
      <c r="K387" s="555"/>
    </row>
    <row r="388" spans="1:12" ht="15.6" x14ac:dyDescent="0.3">
      <c r="A388" s="550" t="s">
        <v>59</v>
      </c>
      <c r="B388" s="560" t="s">
        <v>340</v>
      </c>
      <c r="C388" s="125" t="s">
        <v>331</v>
      </c>
      <c r="D388" s="126"/>
      <c r="E388" s="166"/>
      <c r="F388" s="345" t="str">
        <f>IF(E388="","",IF(OR('Quantification Tool R1'!B$12="73a",'Quantification Tool R1'!B$12="73b"),IF(E388&lt;1,0,IF(E388&gt;=30,1,ROUND(IF(E388&lt;22,'Reference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531" t="str">
        <f>IFERROR(AVERAGE(F388:F391),"")</f>
        <v/>
      </c>
      <c r="H388" s="568" t="str">
        <f>IFERROR(ROUND(AVERAGE(G388:G393),2),"")</f>
        <v/>
      </c>
      <c r="I388" s="519" t="str">
        <f>IF(H388="","",IF(H388&gt;0.69,"Functioning",IF(H388&gt;0.29,"Functioning At Risk",IF(H388&gt;-1,"Not Functioning"))))</f>
        <v/>
      </c>
      <c r="J388" s="555"/>
      <c r="K388" s="555"/>
    </row>
    <row r="389" spans="1:12" ht="15.6" x14ac:dyDescent="0.3">
      <c r="A389" s="556"/>
      <c r="B389" s="561"/>
      <c r="C389" s="174" t="s">
        <v>335</v>
      </c>
      <c r="D389" s="175"/>
      <c r="E389" s="165"/>
      <c r="F389" s="346" t="str">
        <f>IF(E389="","",IF(AND('Quantification Tool R1'!$B$12="74b",'Quantification Tool R1'!$B$13&lt;=2),IF(E389&lt;0,0,IF(E389&gt;15.6,0.69,ROUND('Reference Standards'!$AL$54*E389^2+'Reference Standards'!$AL$55*E389+'Reference Standards'!$AL$56,2))),IF(AND('Quantification Tool R1'!$B$12="65abei",'Quantification Tool R1'!$B$13&lt;=2),IF(E389&lt;0,0,IF(E389&gt;=20,0.69,ROUND('Reference Standards'!$AM$54*E389^2+'Reference Standards'!$AM$55*E389+'Reference Standards'!$AM$56,2))),IF(OR(AND('Quantification Tool R1'!$B$12="74a",'Quantification Tool R1'!$B$13&gt;2,'Quantification Tool R1'!$B$19="January - June"),AND('Quantification Tool R1'!$B$12="71i",'Quantification Tool R1'!$B$13&gt;2,'Quantification Tool R1'!$B$20="SQBANK")),IF(E389&lt;0,0,IF(E389&gt;24.7,0.69,ROUND('Reference Standards'!$AN$54*E389^2+'Reference Standards'!$AN$55*E389+'Reference Standards'!$AN$56,2))),IF(OR('Quantification Tool R1'!$B$12="74b",'Quantification Tool R1'!$B$12="65abei"),IF(E389&lt;0,0,IF(E389&gt;32.7,0.69,ROUND('Reference Standards'!$AO$54*E389^2+'Reference Standards'!$AO$55*E389+'Reference Standards'!$AO$56,2))),IF(AND('Quantification Tool R1'!$B$12="68b",'Quantification Tool R1'!$B$13&gt;2),IF(E389&lt;0,0,IF(E389&gt;41.2,0.69,ROUND('Reference Standards'!$AP$54*E389^2+'Reference Standards'!$AP$55*E389+'Reference Standards'!$AP$56,2))),IF(OR(AND('Quantification Tool R1'!$B$12="71i",'Quantification Tool R1'!$B$13&lt;=2),AND(OR('Quantification Tool R1'!$B$12="68c",'Quantification Tool R1'!$B$12="68d"),'Quantification Tool R1'!$B$19="January - June")),IF(E389&lt;0,0,IF(E389&gt;49.2,0.69,ROUND('Reference Standards'!$AL$94*E389^2+'Reference Standards'!$AL$95*E389+'Reference Standards'!$AL$96,2))),IF(OR(AND('Quantification Tool R1'!$B$12="68a",'Quantification Tool R1'!$B$19="January - June"),AND(OR('Quantification Tool R1'!$B$12="68c",'Quantification Tool R1'!$B$12="68d"),'Quantification Tool R1'!$B$19="July - December")),IF(E389&lt;0,0,IF(E389&gt;53.4,0.69,ROUND('Reference Standards'!$AM$94*E389^2+'Reference Standards'!$AM$95*E389+'Reference Standards'!$AM$96,2))),IF(OR(AND('Quantification Tool R1'!$B$12="71i",'Quantification Tool R1'!$B$13&gt;2,'Quantification Tool R1'!$B$20="SQKICK"),AND(OR('Quantification Tool R1'!$B$12="67fhi",'Quantification Tool R1'!$B$12="67g"),'Quantification Tool R1'!$B$13&lt;=2),'Quantification Tool R1'!$B$12="65j"),IF(E389&lt;0,0,IF(E389&gt;57.8,0.69,ROUND('Reference Standards'!$AN$94*E389^2+'Reference Standards'!$AN$95*E389+'Reference Standards'!$AN$96,2))),IF(OR(AND('Quantification Tool R1'!$B$12="74a",'Quantification Tool R1'!$B$13&gt;2,'Quantification Tool R1'!$B$19="July - December"),AND(OR('Quantification Tool R1'!$B$12="67fhi",'Quantification Tool R1'!$B$12="67g"),'Quantification Tool R1'!$B$13&gt;2),'Quantification Tool R1'!$B$12="69de"),IF(E389&lt;0,0,IF(E389&gt;62.5,0.69,ROUND('Reference Standards'!$AO$94*E389^2+'Reference Standards'!$AO$95*E389+'Reference Standards'!$AO$96,2))),  IF(OR('Quantification Tool R1'!$B$12="66d",'Quantification Tool R1'!$B$12="66e",'Quantification Tool R1'!$B$12="66ik",'Quantification Tool R1'!$B$12="71e",'Quantification Tool R1'!$B$12="71f",'Quantification Tool R1'!$B$12="71g",'Quantification Tool R1'!$B$12="71h"),IF(E389&lt;0,0,IF(E389&gt;66.5,0.69,ROUND('Reference Standards'!$AP$94*E389^2+'Reference Standards'!$AP$95*E389+'Reference Standards'!$AP$96,2))),IF(OR('Quantification Tool R1'!$B$12="66f",'Quantification Tool R1'!$B$12="66g",'Quantification Tool R1'!$B$12="66j",AND('Quantification Tool R1'!$B$12="68a",'Quantification Tool R1'!$B$19="July - December")), IF(E389&lt;0,0,IF(E389&gt;69,0.69,ROUND('Reference Standards'!$AQ$94*E389^2+'Reference Standards'!$AQ$95*E389+'Reference Standards'!$AQ$96,2))))   )))))))))))</f>
        <v/>
      </c>
      <c r="G389" s="531"/>
      <c r="H389" s="568"/>
      <c r="I389" s="519"/>
      <c r="J389" s="555"/>
      <c r="K389" s="555"/>
    </row>
    <row r="390" spans="1:12" ht="15.6" x14ac:dyDescent="0.3">
      <c r="A390" s="556"/>
      <c r="B390" s="561"/>
      <c r="C390" s="174" t="s">
        <v>339</v>
      </c>
      <c r="D390" s="175"/>
      <c r="E390" s="165"/>
      <c r="F390" s="346" t="str">
        <f>IF(E390="","",IF(AND('Quantification Tool R1'!$B$12="74b",'Quantification Tool R1'!$B$13&lt;=2),IF(E390&lt;0,0,IF(E390&gt;8.1,0.69,ROUND('Reference Standards'!$AL$131*E390^2+'Reference Standards'!$AL$132*E390+'Reference Standards'!$AL$133,2))),IF(OR('Quantification Tool R1'!$B$12="73a",'Quantification Tool R1'!$B$12="73b"),IF(E390&lt;0,0,IF(E390&gt;=28,0.69,ROUND('Reference Standards'!$AM$131*E390^2+'Reference Standards'!$AM$132*E390+'Reference Standards'!$AM$133,2))),IF(AND('Quantification Tool R1'!$B$12="74a",'Quantification Tool R1'!$B$13&gt;2,'Quantification Tool R1'!$B$19="January - June"),IF(E390&lt;0,0,IF(E390&gt;=32.5,0.69,ROUND('Reference Standards'!$AN$131*E390^2+'Reference Standards'!$AN$132*E390+'Reference Standards'!$AN$133,2))),IF(AND('Quantification Tool R1'!$B$12="71i",'Quantification Tool R1'!$B$13&gt;2,'Quantification Tool R1'!$B$20="SQBANK"),IF(E390&lt;0,0,IF(E390&gt;=37,0.69,ROUND('Reference Standards'!$AO$131*E390^2+'Reference Standards'!$AO$132*E390+'Reference Standards'!$AO$133,2))),IF(OR(AND(OR('Quantification Tool R1'!$B$12="65abei",'Quantification Tool R1'!$B$12="74b"),'Quantification Tool R1'!$B$13&gt;2),AND('Quantification Tool R1'!$B$12="71i",'Quantification Tool R1'!$B$13&gt;2,'Quantification Tool R1'!$B$20="SQKICK")),IF(E390&lt;0,0,IF(E390&gt;42.6,0.69,ROUND('Reference Standards'!$AP$131*E390^2+'Reference Standards'!$AP$132*E390+'Reference Standards'!$AP$133,2))),     IF(OR(AND('Quantification Tool R1'!$B$12="65abei",'Quantification Tool R1'!$B$13&lt;=2),AND(OR('Quantification Tool R1'!$B$12="68c",'Quantification Tool R1'!$B$12="68d"),'Quantification Tool R1'!$B$19="July - December"),'Quantification Tool R1'!$B$12="71e"),IF(E390&lt;0,0,IF(E390&gt;=48,0.69,ROUND('Reference Standards'!$AL$171*E390^2+'Reference Standards'!$AL$172*E390+'Reference Standards'!$AL$173,2))),IF(OR('Quantification Tool R1'!$B$12="65j",'Quantification Tool R1'!$B$12="67fhi",'Quantification Tool R1'!$B$12="67g",AND('Quantification Tool R1'!$B$12="74a",'Quantification Tool R1'!$B$19="July - December",'Quantification Tool R1'!$B$13&gt;2),AND('Quantification Tool R1'!$B$12="71i",'Quantification Tool R1'!$B$13&lt;=2)),IF(E390&lt;0,0,IF(E390&gt;=53,0.69,ROUND('Reference Standards'!$AM$171*E390^2+'Reference Standards'!$AM$172*E390+'Reference Standards'!$AM$173,2))),IF(OR(AND(OR('Quantification Tool R1'!$B$12="68b",'Quantification Tool R1'!$B$12="71f",'Quantification Tool R1'!$B$12="71g",'Quantification Tool R1'!$B$12="71h"),'Quantification Tool R1'!$B$13&gt;2),'Quantification Tool R1'!$B$12="68a"),IF(E390&lt;0,0,IF(E390&gt;=57,0.69,ROUND('Reference Standards'!$AN$171*E390^2+'Reference Standards'!$AN$172*E390+'Reference Standards'!$AN$173,2))),IF(OR('Quantification Tool R1'!$B$12="66f",'Quantification Tool R1'!$B$12="66g",'Quantification Tool R1'!$B$12="66j",AND(OR('Quantification Tool R1'!$B$12="71f",'Quantification Tool R1'!$B$12="71g",'Quantification Tool R1'!$B$12="71h"),'Quantification Tool R1'!$B$13&lt;=2)),IF(E390&lt;0,0,IF(E390&gt;=60,0.69,ROUND('Reference Standards'!$AO$171*E390^2+'Reference Standards'!$AO$172*E390+'Reference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December")),IF(E390&lt;0,0,IF(E390&gt;=67.5,0.69,ROUND('Reference Standards'!$AP$171*E390^2+'Reference Standards'!$AP$172*E390+'Reference Standards'!$AP$173,2))),IF(AND('Quantification Tool R1'!$B$12="69de",'Quantification Tool R1'!$B$19="January - June"), IF(E390&lt;0,0,IF(E390&gt;=72,0.69,ROUND('Reference Standards'!$AQ$171*E390^2+'Reference Standards'!$AQ$172*E390+'Reference Standards'!$AQ$173,2))))   )))))))))))</f>
        <v/>
      </c>
      <c r="G390" s="531"/>
      <c r="H390" s="568"/>
      <c r="I390" s="519"/>
      <c r="J390" s="555"/>
      <c r="K390" s="555"/>
    </row>
    <row r="391" spans="1:12" ht="15.6" x14ac:dyDescent="0.3">
      <c r="A391" s="556"/>
      <c r="B391" s="562"/>
      <c r="C391" s="127" t="s">
        <v>336</v>
      </c>
      <c r="D391" s="71"/>
      <c r="E391" s="167"/>
      <c r="F391" s="346" t="str">
        <f>IF(E391="","",IF(OR('Quantification Tool R1'!$B$12="67fhi",'Quantification Tool R1'!$B$12="67g",'Quantification Tool R1'!$B$12="71e",'Quantification Tool R1'!$B$12="73a",'Quantification Tool R1'!$B$12="73b",AND(OR('Quantification Tool R1'!$B$12="71f",'Quantification Tool R1'!$B$12="71g",'Quantification Tool R1'!$B$12="71h"),'Quantification Tool R1'!$B$13&gt;2)),IF(E391&gt;100,0,IF(E391&lt;15,0.69,ROUND('Reference Standards'!$AL$208*E391^2+'Reference Standards'!$AL$209*E391+'Reference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),IF(E391&gt;100,0,IF(E391&lt;19,0.69,ROUND('Reference Standards'!$AM$208*E391^2+'Reference Standards'!$AM$209*E391+'Reference Standards'!$AM$210,2))),    IF(OR(AND('Quantification Tool R1'!$B$12="69de",'Quantification Tool R1'!$B$19="January - June"),AND('Quantification Tool R1'!$B$12="71i",'Quantification Tool R1'!$B$13&gt;2,'Quantification Tool R1'!$B$20="SQKICK" )),IF(E391&gt;100,0,IF(E391&lt;22,0.69,ROUND('Reference Standards'!$AN$208*E391^2+'Reference Standards'!$AN$209*E391+'Reference Standards'!$AN$210,2))),    IF(OR('Quantification Tool R1'!$B$12="65j",AND('Quantification Tool R1'!$B$12="68b",'Quantification Tool R1'!$B$13&gt;2)),IF(E391&gt;100,0,IF(E391&lt;24,0.69,ROUND('Reference Standards'!$AO$208*E391^2+'Reference Standards'!$AO$209*E391+'Reference Standards'!$AO$210,2))),    IF(AND(OR('Quantification Tool R1'!$B$12="65abei",'Quantification Tool R1'!$B$12="71f",'Quantification Tool R1'!$B$12="71g",'Quantification Tool R1'!$B$12="71h"),'Quantification Tool R1'!$B$13&lt;=2),IF(E391&gt;95,0,IF(E391&lt;33,0.69,ROUND('Reference Standards'!$AL$246*E391^2+'Reference Standards'!$AL$247*E391+'Reference Standards'!$AL$248,2))),   IF(AND(OR('Quantification Tool R1'!$B$12="65abei",'Quantification Tool R1'!$B$12="74b"),'Quantification Tool R1'!$B$13&gt;2),IF(E391&gt;97,0,IF(E391&lt;36,0.69,ROUND('Reference Standards'!$AM$246*E391^2+'Reference Standards'!$AM$247*E391+'Reference Standards'!$AM$248,2))),  IF(AND('Quantification Tool R1'!$B$12="74a",'Quantification Tool R1'!$B$19="January - June",'Quantification Tool R1'!$B$13&gt;2),IF(E391&gt;93,0,IF(E391&lt;52,0.69,ROUND('Reference Standards'!$AN$246*E391^2+'Reference Standards'!$AN$247*E391+'Reference Standards'!$AN$248,2))),   IF(AND('Quantification Tool R1'!$B$12="74b",'Quantification Tool R1'!$B$13&lt;=2),IF(E391&gt;97,0,IF(E391&lt;62,0.69,ROUND('Reference Standards'!$AO$246*E391^2+'Reference Standards'!$AO$247*E391+'Reference Standards'!$AO$248,2)))  )))))))))</f>
        <v/>
      </c>
      <c r="G391" s="531"/>
      <c r="H391" s="568"/>
      <c r="I391" s="519"/>
      <c r="J391" s="555"/>
      <c r="K391" s="555"/>
    </row>
    <row r="392" spans="1:12" ht="15.6" x14ac:dyDescent="0.3">
      <c r="A392" s="556"/>
      <c r="B392" s="563" t="s">
        <v>74</v>
      </c>
      <c r="C392" s="125" t="s">
        <v>211</v>
      </c>
      <c r="D392" s="126"/>
      <c r="E392" s="166"/>
      <c r="F392" s="345" t="str">
        <f>IF(E392="","",IF(E392=1,0.15,IF(E392=3,0.5,IF(E392=5,0.85,0))))</f>
        <v/>
      </c>
      <c r="G392" s="564" t="str">
        <f>IFERROR(AVERAGE(F392:F393),"")</f>
        <v/>
      </c>
      <c r="H392" s="568"/>
      <c r="I392" s="519"/>
      <c r="J392" s="555"/>
      <c r="K392" s="555"/>
    </row>
    <row r="393" spans="1:12" ht="15.6" x14ac:dyDescent="0.3">
      <c r="A393" s="551"/>
      <c r="B393" s="563"/>
      <c r="C393" s="127" t="s">
        <v>332</v>
      </c>
      <c r="D393" s="71"/>
      <c r="E393" s="167"/>
      <c r="F393" s="347" t="str">
        <f>IF(E393="","",IF(E393=1,0.15,IF(E393=3,0.5,IF(E393=5,0.85,0))))</f>
        <v/>
      </c>
      <c r="G393" s="565"/>
      <c r="H393" s="568"/>
      <c r="I393" s="519"/>
      <c r="J393" s="555"/>
      <c r="K393" s="555"/>
    </row>
    <row r="394" spans="1:12" x14ac:dyDescent="0.3">
      <c r="L394" s="21"/>
    </row>
    <row r="395" spans="1:12" x14ac:dyDescent="0.3">
      <c r="L395" s="21"/>
    </row>
    <row r="396" spans="1:12" ht="21" x14ac:dyDescent="0.4">
      <c r="A396" s="148" t="s">
        <v>135</v>
      </c>
      <c r="B396" s="246"/>
      <c r="C396" s="249" t="s">
        <v>324</v>
      </c>
      <c r="D396" s="246"/>
      <c r="E396" s="247"/>
      <c r="F396" s="248"/>
      <c r="G396" s="544" t="s">
        <v>18</v>
      </c>
      <c r="H396" s="545"/>
      <c r="I396" s="545"/>
      <c r="J396" s="545"/>
      <c r="K396" s="546"/>
    </row>
    <row r="397" spans="1:12" ht="16.5" customHeight="1" x14ac:dyDescent="0.3">
      <c r="A397" s="158" t="s">
        <v>1</v>
      </c>
      <c r="B397" s="158" t="s">
        <v>2</v>
      </c>
      <c r="C397" s="542" t="s">
        <v>3</v>
      </c>
      <c r="D397" s="644"/>
      <c r="E397" s="158" t="s">
        <v>15</v>
      </c>
      <c r="F397" s="158" t="s">
        <v>16</v>
      </c>
      <c r="G397" s="158" t="s">
        <v>19</v>
      </c>
      <c r="H397" s="158" t="s">
        <v>20</v>
      </c>
      <c r="I397" s="314" t="s">
        <v>20</v>
      </c>
      <c r="J397" s="314" t="s">
        <v>21</v>
      </c>
      <c r="K397" s="315" t="s">
        <v>21</v>
      </c>
    </row>
    <row r="398" spans="1:12" ht="15.75" customHeight="1" x14ac:dyDescent="0.3">
      <c r="A398" s="540" t="s">
        <v>60</v>
      </c>
      <c r="B398" s="308" t="s">
        <v>86</v>
      </c>
      <c r="C398" s="52" t="s">
        <v>388</v>
      </c>
      <c r="D398" s="52"/>
      <c r="E398" s="162"/>
      <c r="F398" s="338" t="str">
        <f>IF(E398="","",IF(E398&lt;=0,0,IF(E398&gt;=0.95,1,ROUND('Reference Standards'!C$14*E398+'Reference Standards'!C$15,2))))</f>
        <v/>
      </c>
      <c r="G398" s="83" t="str">
        <f>IFERROR(AVERAGE(F398),"")</f>
        <v/>
      </c>
      <c r="H398" s="522" t="str">
        <f>IFERROR(ROUND(AVERAGE(G398:G399),2),"")</f>
        <v/>
      </c>
      <c r="I398" s="519" t="str">
        <f>IF(H398="","",IF(H398&gt;0.69,"Functioning",IF(H398&gt;0.29,"Functioning At Risk",IF(H398&gt;-1,"Not Functioning"))))</f>
        <v/>
      </c>
      <c r="J398" s="555" t="str">
        <f>IF(AND(H398="",H400="",H402="",H424="",H428=""),"",ROUND((IF(H398="",0,H398)*0.2)+(IF(H400="",0,H400)*0.2)+(IF(H402="",0,H402)*0.2)+(IF(H424="",0,H424)*0.2)+(IF(H428="",0,H428)*0.2),2))</f>
        <v/>
      </c>
      <c r="K398" s="555" t="str">
        <f>IF(J398="","",IF(J398&lt;0.3, "Not Functioning",IF(OR(H398&lt;0.7,H400&lt;0.7,H402&lt;0.7,H424&lt;0.7,H428&lt;0.7),"Functioning At Risk",IF(J398&lt;0.7,"Functioning At Risk","Functioning"))))</f>
        <v/>
      </c>
    </row>
    <row r="399" spans="1:12" ht="15.75" customHeight="1" x14ac:dyDescent="0.3">
      <c r="A399" s="541"/>
      <c r="B399" s="371" t="s">
        <v>128</v>
      </c>
      <c r="C399" s="373" t="s">
        <v>161</v>
      </c>
      <c r="D399" s="374"/>
      <c r="E399" s="43"/>
      <c r="F399" s="372" t="str">
        <f>IF(E399="","",IF(E399&gt;=1,1,IF(E399&lt;=0,0,ROUND(E399,2))))</f>
        <v/>
      </c>
      <c r="G399" s="367" t="str">
        <f>IFERROR(AVERAGE(F399:F399),"")</f>
        <v/>
      </c>
      <c r="H399" s="523"/>
      <c r="I399" s="519"/>
      <c r="J399" s="555"/>
      <c r="K399" s="555"/>
    </row>
    <row r="400" spans="1:12" ht="15" customHeight="1" x14ac:dyDescent="0.3">
      <c r="A400" s="524" t="s">
        <v>6</v>
      </c>
      <c r="B400" s="572" t="s">
        <v>7</v>
      </c>
      <c r="C400" s="54" t="s">
        <v>8</v>
      </c>
      <c r="D400" s="54"/>
      <c r="E400" s="162"/>
      <c r="F400" s="339" t="str">
        <f>IF(E400="","",ROUND(IF(E400&gt;1.6,0,IF(E400&lt;=1,1,E400^2*'Reference Standards'!K$14+E400*'Reference Standards'!K$15+'Reference Standards'!K$16)),2))</f>
        <v/>
      </c>
      <c r="G400" s="579" t="str">
        <f>IFERROR(AVERAGE(F400:F401),"")</f>
        <v/>
      </c>
      <c r="H400" s="579" t="str">
        <f>IFERROR(ROUND(AVERAGE(G400),2),"")</f>
        <v/>
      </c>
      <c r="I400" s="569" t="str">
        <f>IF(H400="","",IF(H400&gt;0.69,"Functioning",IF(H400&gt;0.29,"Functioning At Risk",IF(H400&gt;-1,"Not Functioning"))))</f>
        <v/>
      </c>
      <c r="J400" s="555"/>
      <c r="K400" s="555"/>
    </row>
    <row r="401" spans="1:12" ht="15" customHeight="1" x14ac:dyDescent="0.3">
      <c r="A401" s="525"/>
      <c r="B401" s="572"/>
      <c r="C401" s="54" t="s">
        <v>9</v>
      </c>
      <c r="D401" s="54"/>
      <c r="E401" s="163"/>
      <c r="F401" s="339" t="str">
        <f>IF(E401="","",(IF(OR('Quantification Tool R1'!B$11="A",'Quantification Tool R1'!B$11="B",'Quantification Tool R1'!$B$11="Bc"),IF(E401&lt;1.2,0,IF(E401&gt;=2.2,1,ROUND(IF(E401&lt;1.4,E401*'Reference Standards'!$K$84+'Reference Standards'!$K$85,E401*'Reference Standards'!$L$84+'Reference Standards'!$L$85),2))),IF(OR('Quantification Tool R1'!B$11="C",'Quantification Tool R1'!B$11="E"),IF(E401&lt;2,0,IF(E401&gt;=5,1,ROUND(IF(E401&lt;2.4,E401*'Reference Standards'!$L$49+'Reference Standards'!$L$50,E401*'Reference Standards'!$K$49+'Reference Standards'!$K$50),2)))))))</f>
        <v/>
      </c>
      <c r="G401" s="581"/>
      <c r="H401" s="580"/>
      <c r="I401" s="570"/>
      <c r="J401" s="555"/>
      <c r="K401" s="555"/>
    </row>
    <row r="402" spans="1:12" ht="15" customHeight="1" x14ac:dyDescent="0.3">
      <c r="A402" s="526" t="s">
        <v>26</v>
      </c>
      <c r="B402" s="557" t="s">
        <v>27</v>
      </c>
      <c r="C402" s="60" t="s">
        <v>333</v>
      </c>
      <c r="D402" s="244"/>
      <c r="E402" s="61"/>
      <c r="F402" s="340" t="str">
        <f>IF(E402="","",IF(OR(LEFT('Quantification Tool R1'!$B$12,2)="65",LEFT('Quantification Tool R1'!$B$12,2)="66",LEFT('Quantification Tool R1'!$B$12,2)="71"),IF(E402&gt;=850,1,IF(E402&lt;250,ROUND('Reference Standards'!$S$17*(E402)+'Reference Standards'!$S$18,2),ROUND('Reference Standards'!$T$17*E402+'Reference Standards'!$T$18,2))),  IF(E402&gt;=345,1,IF(E402&lt;=180,ROUND('Reference Standards'!$U$17*(E402)+'Reference Standards'!$U$18,2),ROUND('Reference Standards'!$V$17*E402+'Reference Standards'!$V$18,2))))    )</f>
        <v/>
      </c>
      <c r="G402" s="528" t="str">
        <f>IFERROR(AVERAGE(F402:F403),"")</f>
        <v/>
      </c>
      <c r="H402" s="566" t="str">
        <f>IFERROR(ROUND(AVERAGE(G402:G423),2),"")</f>
        <v/>
      </c>
      <c r="I402" s="555" t="str">
        <f>IF(H402="","",IF(H402&gt;0.69,"Functioning",IF(H402&gt;0.29,"Functioning At Risk",IF(H402&gt;-1,"Not Functioning"))))</f>
        <v/>
      </c>
      <c r="J402" s="555"/>
      <c r="K402" s="555"/>
    </row>
    <row r="403" spans="1:12" ht="15" customHeight="1" x14ac:dyDescent="0.3">
      <c r="A403" s="520"/>
      <c r="B403" s="558"/>
      <c r="C403" s="63" t="s">
        <v>323</v>
      </c>
      <c r="D403" s="245"/>
      <c r="E403" s="53"/>
      <c r="F403" s="341" t="str">
        <f>IF(E403="","",IF(OR(LEFT('Quantification Tool R1'!$B$12,2)="65",LEFT('Quantification Tool R1'!$B$12,2)="66",LEFT('Quantification Tool R1'!$B$12,2)="71"),IF(E403&gt;=30,1,IF(E403&lt;13,ROUND('Reference Standards'!$S$53*(E403)+'Reference Standards'!$S$54,2),ROUND('Reference Standards'!$T$53*E403+'Reference Standards'!$T$54,2))),  IF(E403&gt;=16,1,IF(E403&lt;=9,ROUND('Reference Standards'!$U$53*(E403)+'Reference Standards'!$U$54,2),ROUND('Reference Standards'!$V$53*E403+'Reference Standards'!$V$54,2))))    )</f>
        <v/>
      </c>
      <c r="G403" s="530"/>
      <c r="H403" s="566"/>
      <c r="I403" s="555"/>
      <c r="J403" s="555"/>
      <c r="K403" s="555"/>
    </row>
    <row r="404" spans="1:12" ht="15.6" x14ac:dyDescent="0.3">
      <c r="A404" s="520"/>
      <c r="B404" s="520" t="s">
        <v>395</v>
      </c>
      <c r="C404" s="58" t="s">
        <v>80</v>
      </c>
      <c r="D404" s="58"/>
      <c r="E404" s="165"/>
      <c r="F404" s="340" t="str">
        <f>IF(E404="","",ROUND(IF(E404&gt;0.7,0,IF(E404&lt;=0.1,1,E404^3*'Reference Standards'!S$87+E404^2*'Reference Standards'!S$88+E404*'Reference Standards'!S$89+'Reference Standards'!S$90)),2))</f>
        <v/>
      </c>
      <c r="G404" s="528" t="str">
        <f>IFERROR(ROUND(AVERAGE(F404:F407),2),"")</f>
        <v/>
      </c>
      <c r="H404" s="567"/>
      <c r="I404" s="555"/>
      <c r="J404" s="555"/>
      <c r="K404" s="555"/>
    </row>
    <row r="405" spans="1:12" ht="15.6" x14ac:dyDescent="0.3">
      <c r="A405" s="520"/>
      <c r="B405" s="520"/>
      <c r="C405" s="58" t="s">
        <v>49</v>
      </c>
      <c r="D405" s="58"/>
      <c r="E405" s="165"/>
      <c r="F405" s="84"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529"/>
      <c r="H405" s="567"/>
      <c r="I405" s="555"/>
      <c r="J405" s="555"/>
      <c r="K405" s="555"/>
    </row>
    <row r="406" spans="1:12" ht="15.6" x14ac:dyDescent="0.3">
      <c r="A406" s="520"/>
      <c r="B406" s="520"/>
      <c r="C406" s="58" t="s">
        <v>87</v>
      </c>
      <c r="D406" s="58"/>
      <c r="E406" s="165"/>
      <c r="F406" s="84" t="str">
        <f>IF(E406="","",ROUND(IF(E406&gt;40,0,IF(E406&lt;5,1,E406^3*'Reference Standards'!S$122+E406^2*'Reference Standards'!S$123+E406*'Reference Standards'!S$124+'Reference Standards'!S$125)),2))</f>
        <v/>
      </c>
      <c r="G406" s="529"/>
      <c r="H406" s="567"/>
      <c r="I406" s="555"/>
      <c r="J406" s="555"/>
      <c r="K406" s="555"/>
    </row>
    <row r="407" spans="1:12" ht="15.6" x14ac:dyDescent="0.3">
      <c r="A407" s="520"/>
      <c r="B407" s="521"/>
      <c r="C407" s="59" t="s">
        <v>394</v>
      </c>
      <c r="D407" s="59"/>
      <c r="E407" s="167"/>
      <c r="F407" s="341" t="str">
        <f>IF(E407="","",ROUND(IF(E407&gt;=30,0,IF(E407&lt;=0,1,E407*'Reference Standards'!S$156+'Reference Standards'!S$157)),2))</f>
        <v/>
      </c>
      <c r="G407" s="530"/>
      <c r="H407" s="567"/>
      <c r="I407" s="555"/>
      <c r="J407" s="555"/>
      <c r="K407" s="555"/>
    </row>
    <row r="408" spans="1:12" ht="15.6" x14ac:dyDescent="0.3">
      <c r="A408" s="520"/>
      <c r="B408" s="520" t="s">
        <v>50</v>
      </c>
      <c r="C408" s="60" t="s">
        <v>377</v>
      </c>
      <c r="D408" s="64"/>
      <c r="E408" s="136"/>
      <c r="F408" s="294" t="str">
        <f>IF(E408="","",ROUND(IF(E408&gt;9.2,1,E408*'Reference Standards'!$S$189+'Reference Standards'!$S$190),2))</f>
        <v/>
      </c>
      <c r="G408" s="552" t="str">
        <f>IFERROR(ROUND(AVERAGE(F408:F417),2),"")</f>
        <v/>
      </c>
      <c r="H408" s="567"/>
      <c r="I408" s="555"/>
      <c r="J408" s="555"/>
      <c r="K408" s="555"/>
    </row>
    <row r="409" spans="1:12" ht="15.6" x14ac:dyDescent="0.3">
      <c r="A409" s="520"/>
      <c r="B409" s="520"/>
      <c r="C409" s="62" t="s">
        <v>378</v>
      </c>
      <c r="D409" s="58"/>
      <c r="E409" s="162"/>
      <c r="F409" s="294" t="str">
        <f>IF(E409="","",ROUND(IF(E409&gt;9.2,1,E409*'Reference Standards'!$S$189+'Reference Standards'!$S$190),2))</f>
        <v/>
      </c>
      <c r="G409" s="553"/>
      <c r="H409" s="567"/>
      <c r="I409" s="555"/>
      <c r="J409" s="555"/>
      <c r="K409" s="555"/>
    </row>
    <row r="410" spans="1:12" ht="15.6" x14ac:dyDescent="0.3">
      <c r="A410" s="520"/>
      <c r="B410" s="520"/>
      <c r="C410" s="62" t="s">
        <v>379</v>
      </c>
      <c r="D410" s="58"/>
      <c r="E410" s="162"/>
      <c r="F410" s="294" t="str">
        <f>IF(E410="","",ROUND( IF(E410&gt;=200,1,IF(E410&lt;50, E410^2*'Reference Standards'!S$224+E410*'Reference Standards'!S$225+'Reference Standards'!S$226, E410*'Reference Standards'!T$224+'Reference Standards'!T$225)),2))</f>
        <v/>
      </c>
      <c r="G410" s="553"/>
      <c r="H410" s="567"/>
      <c r="I410" s="555"/>
      <c r="J410" s="555"/>
      <c r="K410" s="555"/>
    </row>
    <row r="411" spans="1:12" ht="15.6" x14ac:dyDescent="0.3">
      <c r="A411" s="520"/>
      <c r="B411" s="520"/>
      <c r="C411" s="62" t="s">
        <v>380</v>
      </c>
      <c r="D411" s="58"/>
      <c r="E411" s="162"/>
      <c r="F411" s="294" t="str">
        <f>IF(E411="","",ROUND( IF(E411&gt;=200,1,IF(E411&lt;50, E411^2*'Reference Standards'!S$224+E411*'Reference Standards'!S$225+'Reference Standards'!S$226, E411*'Reference Standards'!T$224+'Reference Standards'!T$225)),2))</f>
        <v/>
      </c>
      <c r="G411" s="553"/>
      <c r="H411" s="567"/>
      <c r="I411" s="555"/>
      <c r="J411" s="555"/>
      <c r="K411" s="555"/>
    </row>
    <row r="412" spans="1:12" ht="15.6" x14ac:dyDescent="0.3">
      <c r="A412" s="520"/>
      <c r="B412" s="520"/>
      <c r="C412" s="58" t="s">
        <v>381</v>
      </c>
      <c r="D412" s="58"/>
      <c r="E412" s="162"/>
      <c r="F412" s="294" t="str">
        <f>IF(E412="","",ROUND(IF(AND(E412&gt;=135,E412&lt;=262),1,IF(  E412&gt;=366,0.5, IF(E412&lt;135,E412*'Reference Standards'!S$259+'Reference Standards'!S$260, E412*'Reference Standards'!T$259+'Reference Standards'!T$260))),2))</f>
        <v/>
      </c>
      <c r="G412" s="553"/>
      <c r="H412" s="567"/>
      <c r="I412" s="555"/>
      <c r="J412" s="555"/>
      <c r="K412" s="555"/>
      <c r="L412" s="21"/>
    </row>
    <row r="413" spans="1:12" ht="15.6" x14ac:dyDescent="0.3">
      <c r="A413" s="520"/>
      <c r="B413" s="520"/>
      <c r="C413" s="58" t="s">
        <v>382</v>
      </c>
      <c r="D413" s="58"/>
      <c r="E413" s="162"/>
      <c r="F413" s="294" t="str">
        <f>IF(E413="","",ROUND(IF(AND(E413&gt;=135,E413&lt;=262),1,IF(  E413&gt;=366,0.5, IF(E413&lt;135,E413*'Reference Standards'!S$259+'Reference Standards'!S$260, E413*'Reference Standards'!T$259+'Reference Standards'!T$260))),2))</f>
        <v/>
      </c>
      <c r="G413" s="553"/>
      <c r="H413" s="567"/>
      <c r="I413" s="555"/>
      <c r="J413" s="555"/>
      <c r="K413" s="555"/>
      <c r="L413" s="21"/>
    </row>
    <row r="414" spans="1:12" ht="15.6" x14ac:dyDescent="0.3">
      <c r="A414" s="520"/>
      <c r="B414" s="520"/>
      <c r="C414" s="58" t="s">
        <v>383</v>
      </c>
      <c r="D414" s="58"/>
      <c r="E414" s="162"/>
      <c r="F414" s="84" t="str">
        <f>IF(E414="","",ROUND(IF(E414&gt;=75,1,IF(E414&lt;=0,0,E414*'Reference Standards'!S$330)),2))</f>
        <v/>
      </c>
      <c r="G414" s="553"/>
      <c r="H414" s="567"/>
      <c r="I414" s="555"/>
      <c r="J414" s="555"/>
      <c r="K414" s="555"/>
      <c r="L414" s="21"/>
    </row>
    <row r="415" spans="1:12" ht="15.6" x14ac:dyDescent="0.3">
      <c r="A415" s="520"/>
      <c r="B415" s="520"/>
      <c r="C415" s="58" t="s">
        <v>384</v>
      </c>
      <c r="D415" s="58"/>
      <c r="E415" s="162"/>
      <c r="F415" s="84" t="str">
        <f>IF(E415="","",ROUND(IF(E415&gt;=75,1,IF(E415&lt;=0,0,E415*'Reference Standards'!S$330)),2))</f>
        <v/>
      </c>
      <c r="G415" s="553"/>
      <c r="H415" s="567"/>
      <c r="I415" s="555"/>
      <c r="J415" s="555"/>
      <c r="K415" s="555"/>
      <c r="L415" s="21"/>
    </row>
    <row r="416" spans="1:12" ht="15.6" x14ac:dyDescent="0.3">
      <c r="A416" s="520"/>
      <c r="B416" s="520"/>
      <c r="C416" s="58" t="s">
        <v>385</v>
      </c>
      <c r="D416" s="58"/>
      <c r="E416" s="162"/>
      <c r="F416" s="294" t="str">
        <f>IF(E416="","",ROUND(IF(AND(E416&gt;=36.3,E416&lt;=68),1,IF(E416&gt;100,0,IF(E416&lt;36.3,(('Reference Standards'!S$297*(E416^2))+('Reference Standards'!S$298*E416)+'Reference Standards'!S$299),IF(E416&gt;68,(('Reference Standards'!T$297*(E416^2))+('Reference Standards'!T$298*E416)+'Reference Standards'!T$299))))),2))</f>
        <v/>
      </c>
      <c r="G416" s="553"/>
      <c r="H416" s="567"/>
      <c r="I416" s="555"/>
      <c r="J416" s="555"/>
      <c r="K416" s="555"/>
      <c r="L416" s="21"/>
    </row>
    <row r="417" spans="1:12" ht="15.6" x14ac:dyDescent="0.3">
      <c r="A417" s="520"/>
      <c r="B417" s="521"/>
      <c r="C417" s="58" t="s">
        <v>386</v>
      </c>
      <c r="D417" s="65"/>
      <c r="E417" s="162"/>
      <c r="F417" s="294" t="str">
        <f>IF(E417="","",ROUND(IF(AND(E417&gt;=36.3,E417&lt;=68),1,IF(E417&gt;100,0,IF(E417&lt;36.3,(('Reference Standards'!S$297*(E417^2))+('Reference Standards'!S$298*E417)+'Reference Standards'!S$299),IF(E417&gt;68,(('Reference Standards'!T$297*(E417^2))+('Reference Standards'!T$298*E417)+'Reference Standards'!T$299))))),2))</f>
        <v/>
      </c>
      <c r="G417" s="554"/>
      <c r="H417" s="567"/>
      <c r="I417" s="555"/>
      <c r="J417" s="555"/>
      <c r="K417" s="555"/>
      <c r="L417" s="21"/>
    </row>
    <row r="418" spans="1:12" ht="15.6" x14ac:dyDescent="0.3">
      <c r="A418" s="520"/>
      <c r="B418" s="56" t="s">
        <v>108</v>
      </c>
      <c r="C418" s="72" t="s">
        <v>130</v>
      </c>
      <c r="D418" s="58"/>
      <c r="E418" s="43"/>
      <c r="F418" s="82" t="str">
        <f>IF(E418="","",IF(OR('Quantification Tool R1'!B$14="Gravel",'Quantification Tool R1'!B$14="Cobble"),IF(E418&gt;0.1,1,IF(E418&lt;=0.01,0,ROUND(E418*'Reference Standards'!$S$362+'Reference Standards'!$S$363,2)))))</f>
        <v/>
      </c>
      <c r="G418" s="82" t="str">
        <f>IFERROR(AVERAGE(F418),"")</f>
        <v/>
      </c>
      <c r="H418" s="567"/>
      <c r="I418" s="555"/>
      <c r="J418" s="555"/>
      <c r="K418" s="555"/>
      <c r="L418" s="21"/>
    </row>
    <row r="419" spans="1:12" ht="15.6" x14ac:dyDescent="0.3">
      <c r="A419" s="520"/>
      <c r="B419" s="526" t="s">
        <v>51</v>
      </c>
      <c r="C419" s="64" t="s">
        <v>52</v>
      </c>
      <c r="D419" s="64"/>
      <c r="E419" s="166"/>
      <c r="F419" s="337" t="str">
        <f>IF(E419="","", IF(ISNUMBER('Quantification Tool R1'!$B$17), IF('Quantification Tool R1'!$B$17&lt;=2,   IF(AND(E419&gt;=3,E419&lt;=5),1, IF(OR(E419&lt;=1,E419&gt;=7), 0, ROUND( IF(E419&lt;3, E419*'Reference Standards'!S$398+'Reference Standards'!S$399,E419*'Reference Standards'!T$398+'Reference Standards'!T$399),2) ) ),   IF(E419&lt;=2.5,1, IF(E419&gt;=5.8,0, ROUND(E419*'Reference Standards'!S$430+'Reference Standards'!S$431,2))))   ))</f>
        <v/>
      </c>
      <c r="G419" s="528" t="str">
        <f>IFERROR(AVERAGE(F419:F422),"")</f>
        <v/>
      </c>
      <c r="H419" s="567"/>
      <c r="I419" s="555"/>
      <c r="J419" s="555"/>
      <c r="K419" s="555"/>
      <c r="L419" s="21"/>
    </row>
    <row r="420" spans="1:12" ht="15.6" x14ac:dyDescent="0.3">
      <c r="A420" s="520"/>
      <c r="B420" s="520"/>
      <c r="C420" s="58" t="s">
        <v>53</v>
      </c>
      <c r="D420" s="58"/>
      <c r="E420" s="165"/>
      <c r="F420" s="84" t="str">
        <f>IF(E420="","", IF( E420&gt;=2.4,1, IF(E420&lt;=1,0,  ROUND(IF(E420&lt;2.4, E420*'Reference Standards'!$S$464+'Reference Standards'!$S$465  ),2))))</f>
        <v/>
      </c>
      <c r="G420" s="529"/>
      <c r="H420" s="567"/>
      <c r="I420" s="555"/>
      <c r="J420" s="555"/>
      <c r="K420" s="555"/>
      <c r="L420" s="21"/>
    </row>
    <row r="421" spans="1:12" ht="15.6" x14ac:dyDescent="0.3">
      <c r="A421" s="520"/>
      <c r="B421" s="520"/>
      <c r="C421" s="58" t="s">
        <v>334</v>
      </c>
      <c r="D421" s="58"/>
      <c r="E421" s="165"/>
      <c r="F421" s="390" t="str">
        <f>IF(E421="","", IF(LEFT('Quantification Tool R1'!$B$12,2)="67",  IF( AND(E421&gt;=45,E421&lt;=65),1, IF(OR(E421&lt;=20,E421&gt;=90),0, ROUND(  IF(E421&lt;45, E421*'Reference Standards'!$S$498+'Reference Standards'!$S$499,E421*'Reference Standards'!$T$498+'Reference Standards'!$T$499),2))), IF(OR(  LEFT('Quantification Tool R1'!$B$12,2)="68", LEFT('Quantification Tool R1'!$B$12,2)="69",LEFT('Quantification Tool R1'!$B$12,2)="71"),  IF( AND(E421&gt;=30,E421&lt;=50),1, IF(OR(E421&lt;=10,E421&gt;=70),0, ROUND(  IF(E421&lt;30, E421*'Reference Standards'!$S$533+'Reference Standards'!$S$534,E421*'Reference Standards'!$T$533+'Reference Standards'!$T$534),2))), IF(LEFT('Quantification Tool R1'!$B$12,2)="66",  IF( AND(E421&gt;=20,E421&lt;=45),1, IF(OR(E421&lt;=0,E421&gt;=90),0, ROUND(  IF(E421&lt;20, E421*'Reference Standards'!$S$567+'Reference Standards'!$S$568,E421*'Reference Standards'!$T$567+'Reference Standards'!$T$568),2))), IF(OR(  LEFT('Quantification Tool R1'!$B$12,2)="65", LEFT('Quantification Tool R1'!$B$12,2)="74", LEFT('Quantification Tool R1'!$B$12,2)="73"),  IF( AND(E421&gt;=20,E421&lt;=30),1, IF(OR(E421&lt;=0,E421&gt;=50),0, ROUND(  IF(E421&lt;20, E421*'Reference Standards'!$S$601+'Reference Standards'!$S$602,E421*'Reference Standards'!$T$601+'Reference Standards'!$T$602),2))))))))</f>
        <v/>
      </c>
      <c r="G421" s="529"/>
      <c r="H421" s="567"/>
      <c r="I421" s="555"/>
      <c r="J421" s="555"/>
      <c r="K421" s="555"/>
      <c r="L421" s="21"/>
    </row>
    <row r="422" spans="1:12" ht="15.6" x14ac:dyDescent="0.3">
      <c r="A422" s="520"/>
      <c r="B422" s="521"/>
      <c r="C422" s="62" t="s">
        <v>210</v>
      </c>
      <c r="D422" s="58"/>
      <c r="E422" s="167"/>
      <c r="F422" s="391" t="str">
        <f>IF(E422="","",IF(E422&gt;=1.6,0,IF(E422&lt;=1,1,ROUND('Reference Standards'!$S$633*E422^3+'Reference Standards'!$S$634*E422^2+'Reference Standards'!$S$635*E422+'Reference Standards'!$S$636,2))))</f>
        <v/>
      </c>
      <c r="G422" s="530"/>
      <c r="H422" s="567"/>
      <c r="I422" s="555"/>
      <c r="J422" s="555"/>
      <c r="K422" s="555"/>
      <c r="L422" s="21"/>
    </row>
    <row r="423" spans="1:12" ht="15.6" x14ac:dyDescent="0.3">
      <c r="A423" s="521"/>
      <c r="B423" s="309" t="s">
        <v>55</v>
      </c>
      <c r="C423" s="242" t="s">
        <v>54</v>
      </c>
      <c r="D423" s="243"/>
      <c r="E423" s="163"/>
      <c r="F423" s="342" t="str">
        <f>IF(E423="","",IF(AND('Quantification Tool R1'!B$11="E",'Quantification Tool R1'!$B$14="Sand",'Quantification Tool R1'!$B$21="Unconfined Alluvial"),ROUND(IF(OR(E423&gt;1.8,E423&lt;1.3),0,IF(E423&lt;=1.6,1,E423*'Reference Standards'!S$667+'Reference Standards'!S$668)),2),    IF('Quantification Tool R1'!$B$21="Unconfined Alluvial",ROUND(IF(OR(E423&lt;1.2, E423&gt;1.5),0,IF(E423&lt;=1.4,1,E423*'Reference Standards'!$S$700+'Reference Standards'!$S$701)),2), IF('Quantification Tool R1'!$B$21="Confined Alluvial",ROUND(IF(E423&lt;1.15,0,IF(E423&lt;=1.4,E423*'Reference Standards'!$S$729+'Reference Standards'!$S$730,1)),2),  IF('Quantification Tool R1'!$B$21="Colluvial",ROUND(IF(E423&gt;1.3,0,IF(E423&gt;1.2,E423*'Reference Standards'!$S$760+'Reference Standards'!$S$761,1)),2) )))))</f>
        <v/>
      </c>
      <c r="G423" s="84" t="str">
        <f>IFERROR(AVERAGE(F423),"")</f>
        <v/>
      </c>
      <c r="H423" s="567"/>
      <c r="I423" s="555"/>
      <c r="J423" s="555"/>
      <c r="K423" s="555"/>
      <c r="L423" s="21"/>
    </row>
    <row r="424" spans="1:12" ht="15.6" x14ac:dyDescent="0.3">
      <c r="A424" s="537" t="s">
        <v>58</v>
      </c>
      <c r="B424" s="67" t="s">
        <v>88</v>
      </c>
      <c r="C424" s="70" t="s">
        <v>338</v>
      </c>
      <c r="D424" s="70"/>
      <c r="E424" s="43"/>
      <c r="F424" s="343" t="str">
        <f>IF(E424="","",ROUND(IF(E424&gt;=942,0,IF(E424&lt;=487,E424*'Reference Standards'!AB$15+'Reference Standards'!AB$16,E424*'Reference Standards'!$AC$15+'Reference Standards'!$AC$16)),2))</f>
        <v/>
      </c>
      <c r="G424" s="85" t="str">
        <f>IFERROR(AVERAGE(F424),"")</f>
        <v/>
      </c>
      <c r="H424" s="547" t="str">
        <f>IFERROR(ROUND(AVERAGE(G424:G427),2),"")</f>
        <v/>
      </c>
      <c r="I424" s="534" t="str">
        <f>IF(H424="","",IF(H424&gt;0.69,"Functioning",IF(H424&gt;0.29,"Functioning At Risk",IF(H424&gt;-1,"Not Functioning"))))</f>
        <v/>
      </c>
      <c r="J424" s="555"/>
      <c r="K424" s="555"/>
      <c r="L424" s="21"/>
    </row>
    <row r="425" spans="1:12" ht="15.75" customHeight="1" x14ac:dyDescent="0.3">
      <c r="A425" s="538"/>
      <c r="B425" s="306" t="s">
        <v>362</v>
      </c>
      <c r="C425" s="66" t="s">
        <v>354</v>
      </c>
      <c r="D425" s="66"/>
      <c r="E425" s="163"/>
      <c r="F425" s="344" t="str">
        <f>IF(E425="","",IF(OR('Quantification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June")),IF(E425&gt;93,0,IF(E425&lt;13,1,ROUND('Reference Standards'!$AB$53*E425^2+'Reference Standards'!$AB$54*E425+'Reference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R1'!$B$12="73b"),IF(E425&gt;94,0,IF(E425&lt;17,1,ROUND('Reference Standards'!$AC$53*E425^2+'Reference Standards'!$AC$54*E425+'Reference Standards'!$AC$55,2))),    IF(OR(AND(OR('Quantification Tool R1'!$B$12="68b",'Quantification Tool R1'!$B$12="71i"),'Quantification Tool R1'!$B$13&gt;2), 'Quantification Tool R1'!$B$12="71e"),IF(E425&gt;91,0,IF(E425&lt;24,1,ROUND('Reference Standards'!$AD$53*E425^2+'Reference Standards'!$AD$54*E425+'Reference Standards'!$AD$55,2))),  IF(OR(AND(OR('Quantification Tool R1'!$B$12="71f",'Quantification Tool R1'!$B$12="71g",'Quantification Tool R1'!$B$12="71h",'Quantification Tool R1'!$B$12="71i"),'Quantification Tool R1'!$B$13&lt;=2), AND('Quantification Tool R1'!$B$12="74a",'Quantification Tool R1'!$B$13&gt;2)),IF(E425&gt;95,0,IF(E425&lt;=36,1,ROUND('Reference Standards'!$AE$53*E425^2+'Reference Standards'!$AE$54*E425+'Reference Standards'!$AE$55,2))))))))</f>
        <v/>
      </c>
      <c r="G425" s="236" t="str">
        <f>IFERROR(AVERAGE(F425:F425),"")</f>
        <v/>
      </c>
      <c r="H425" s="548"/>
      <c r="I425" s="535"/>
      <c r="J425" s="555"/>
      <c r="K425" s="555"/>
    </row>
    <row r="426" spans="1:12" ht="15.75" customHeight="1" x14ac:dyDescent="0.3">
      <c r="A426" s="538"/>
      <c r="B426" s="67" t="s">
        <v>81</v>
      </c>
      <c r="C426" s="68" t="s">
        <v>281</v>
      </c>
      <c r="D426" s="68"/>
      <c r="E426" s="162"/>
      <c r="F426" s="344" t="str">
        <f>IF(E426="","",IF(ISNUMBER('Quantification Tool R1'!$B$13), IF(OR('Quantification Tool R1'!$B$12="66e",'Quantification Tool R1'!$B$12="66f",'Quantification Tool R1'!$B$12="66g"), ROUND(IF(E426&gt;=0.61,0,IF(E426&lt;=0.01,1,IF(E426&lt;=0.06,E426*'Reference Standards'!$AD$197+'Reference Standards'!$AD$198,E426^2*'Reference Standards'!$AB$196+E426*'Reference Standards'!$AB$197+'Reference Standards'!$AB$198))),2),  IF('Quantification Tool R1'!$B$12="68b", ROUND(IF(E426&gt;=1.1,0,IF(E426&lt;=0.17,1,IF(E426&lt;=0.22,E426*'Reference Standards'!$AE$197+'Reference Standards'!$AE$198,E426^2*'Reference Standards'!$AC$196+E426*'Reference Standards'!$AC$197+'Reference Standards'!$AC$198))),2),IF('Quantification Tool R1'!$B$13&lt;=2.5,   IF('Quantification Tool R1'!$B$12="69de",ROUND(IF(E426&gt;=0.22,0,IF(E426&lt;=0.01,1,E426^2*'Reference Standards'!$AB$90+E426*'Reference Standards'!$AB$91+'Reference Standards'!$AB$92)),2),   IF('Quantification Tool R1'!$B$12="68c",ROUND(IF(E426&gt;=0.87,0,IF(E426&lt;=0.01,1,E426^2*'Reference Standards'!$AC$90+E426*'Reference Standards'!$AC$91+'Reference Standards'!$AC$92)),2),   IF('Quantification Tool R1'!$B$12="68a",ROUND(IF(E426&gt;=0.81,0,IF(E426&lt;=0.01,1,E426^2*'Reference Standards'!$AD$90+E426*'Reference Standards'!$AD$91+'Reference Standards'!$AD$92)),2),   IF('Quantification Tool R1'!$B$12="65abei",ROUND(IF(E426&gt;=0.67,0,IF(E426&lt;=0.01,1,IF(E426&lt;=0.18,E426*'Reference Standards'!$AG$91+'Reference Standards'!$AG$92,E426*'Reference Standards'!$AE$91+'Reference Standards'!$AE$92))),2),   IF('Quantification Tool R1'!$B$12="65j",ROUND(IF(E426&gt;=0.32,0,IF(E426&lt;=0.01,1,IF(E426&lt;=0.25,E426*'Reference Standards'!$AH$91+'Reference Standards'!$AH$92,E426*'Reference Standards'!$AF$91+'Reference Standards'!$AF$92))),2),   IF('Quantification Tool R1'!$B$12="71f",ROUND(IF(E426&gt;=3,0,IF(E426&lt;=0,1,IF(E426&lt;=0.01,0.7,E426^2*'Reference Standards'!$AB$126+E426*'Reference Standards'!$AB$127+'Reference Standards'!$AB$128))),2),   IF('Quantification Tool R1'!$B$12="74a",ROUND(IF(E426&gt;=0.14,0,IF(E426&lt;=0.01,1,IF(E426&lt;=0.02,0.7,E426^2*'Reference Standards'!$AC$126+E426*'Reference Standards'!$AC$127+'Reference Standards'!$AC$128))),2),   IF(OR('Quantification Tool R1'!$B$12="67fhi",'Quantification Tool R1'!$B$12="67g"),ROUND(IF(E426&gt;=1.9,0,IF(E426&lt;=0.01,1,IF(E426&lt;=0.05,E426*'Reference Standards'!$AF$127+'Reference Standards'!$AF$128,E426^2*'Reference Standards'!$AD$126+E426*'Reference Standards'!$AD$127+'Reference Standards'!$AD$128))),2),   IF('Quantification Tool R1'!$B$12="73a",ROUND(IF(E426&gt;=1.44,0,IF(E426&lt;=0.01,1,IF(E426&lt;=0.12,E426*'Reference Standards'!$AG$127+'Reference Standards'!$AG$128,E426^2*'Reference Standards'!$AE$126+E426*'Reference Standards'!$AE$127+'Reference Standards'!$AE$128))),2),   IF('Quantification Tool R1'!$B$12="66d",ROUND(IF(E426&gt;=0.46,0,IF(E426&lt;=0.02,1,IF(E426&lt;=0.08,E426*'Reference Standards'!$AF$163+'Reference Standards'!$AF$164,E426^2*'Reference Standards'!$AB$162+E426*'Reference Standards'!$AB$163+'Reference Standards'!$AB$164))),2),   IF(OR('Quantification Tool R1'!$B$12="71g",'Quantification Tool R1'!$B$12="71h",'Quantification Tool R1'!$B$12="71i"),ROUND(IF(E426&gt;=3,0,IF(E426&lt;=0.06,1,IF(E426&lt;=0.24,E426*'Reference Standards'!$AG$163+'Reference Standards'!$AG$164, E426^2*'Reference Standards'!$AC$162+E426*'Reference Standards'!$AC$163+'Reference Standards'!$AC$164))),2),   IF('Quantification Tool R1'!$B$12="74b",ROUND(IF(E426&gt;=1.3,0,IF(E426&lt;=0.29,1,IF(E426&lt;=0.48,E426*'Reference Standards'!$AH$163+'Reference Standards'!$AH$164,E426^2*'Reference Standards'!$AD$162+E426*'Reference Standards'!$AD$163+'Reference Standards'!$AD$164))),2),   IF('Quantification Tool R1'!$B$12="71e",ROUND(IF(E426&gt;=4.3,0,IF(E426&lt;=0.53,1,IF(E426&lt;=0.67,E426*'Reference Standards'!$AI$163+'Reference Standards'!$AI$164,E426^2*'Reference Standards'!$AE$162+E426*'Reference Standards'!$AE$163+'Reference Standards'!$AE$164))),2)       ))))))))))))),IF('Quantification Tool R1'!$B$13&gt;2.5,    IF('Quantification Tool R1'!$B$12="73a",ROUND(IF(E426&gt;=0.55,0,IF(E426&lt;=0,1,E426^2*'Reference Standards'!$AB$232+E426*'Reference Standards'!$AB$233+'Reference Standards'!$AB$234)),2),   IF('Quantification Tool R1'!$B$12="68a",ROUND(IF(E426&gt;=0.54,0,IF(E426&lt;=0,1, IF(E426&lt;=0.01,0.85, E426^2*'Reference Standards'!$AC$232+E426*'Reference Standards'!$AC$233+'Reference Standards'!$AC$234))),2),   IF('Quantification Tool R1'!$B$12="74a",ROUND(IF(E426&gt;=0.47,0,IF(E426&lt;=0.01,1, IF(E426&lt;=0.02,0.7, E426^2*'Reference Standards'!$AD$232+E426*'Reference Standards'!$AD$233+'Reference Standards'!$AD$234))),2),    IF('Quantification Tool R1'!$B$12="69de",ROUND(IF(E426&gt;=0.26,0,IF(E426&lt;=0.01,1, IF(E426&lt;=0.02,0.85, E426^2*'Reference Standards'!$AE$232+E426*'Reference Standards'!$AE$233+'Reference Standards'!$AE$234))),2),   IF('Quantification Tool R1'!$B$12="71f",ROUND(IF(E426&gt;=0.87,0,IF(E426&lt;=0.01,1,IF(E426&lt;=0.04,E426*'Reference Standards'!$AF$269+'Reference Standards'!$AF$270,E426^2*'Reference Standards'!$AB$268+E426*'Reference Standards'!$AB$269+'Reference Standards'!$AB$270))),2),  IF('Quantification Tool R1'!$B$12="65abei",ROUND(IF(E426&gt;=0.82,0,IF(E426&lt;=0.01,1,IF(E426&lt;=0.06,E426*'Reference Standards'!$AG$269+'Reference Standards'!$AG$270,E426^2*'Reference Standards'!$AC$268+E426*'Reference Standards'!$AC$269+'Reference Standards'!$AC$270))),2),  IF('Quantification Tool R1'!$B$12="65j",ROUND(IF(E426&gt;=0.33,0,IF(E426&lt;=0.03,1,IF(E426&lt;=0.09,E426*'Reference Standards'!$AH$269+'Reference Standards'!$AH$270,E426^2*'Reference Standards'!$AD$268+E426*'Reference Standards'!$AD$269+'Reference Standards'!$AD$270))),2),  IF('Quantification Tool R1'!$B$12="68c",ROUND(IF(E426&gt;=0.7,0,IF(E426&lt;=0.07,1,IF(E426&lt;=0.12,E426*'Reference Standards'!$AI$269+'Reference Standards'!$AI$270,E426^2*'Reference Standards'!$AE$268+E426*'Reference Standards'!$AE$269+'Reference Standards'!$AE$270))),2),   IF(OR('Quantification Tool R1'!$B$12="67fhi",'Quantification Tool R1'!$B$12="67g"),ROUND(IF(E426&gt;=1.8,0,IF(E426&lt;=0.08,1,IF(E426&lt;=0.2,E426*'Reference Standards'!$AF$306+'Reference Standards'!$AF$307,E426^2*'Reference Standards'!$AB$305+E426*'Reference Standards'!$AB$306+'Reference Standards'!$AB$307))),2),   IF('Quantification Tool R1'!$B$12="74b",ROUND(IF(E426&gt;=0.96,0,IF(E426&lt;=0.12,1,IF(E426&lt;=0.16,E426*'Reference Standards'!$AG$306+'Reference Standards'!$AG$307,E426^2*'Reference Standards'!$AC$305+E426*'Reference Standards'!$AC$306+'Reference Standards'!$AC$307))),2),   IF('Quantification Tool R1'!$B$12="66d",ROUND(IF(E426&gt;=0.75,0,IF(E426&lt;=0.13,1,IF(E426&lt;=0.2,E426*'Reference Standards'!$AH$306+'Reference Standards'!$AH$307,E426^2*'Reference Standards'!$AD$305+E426*'Reference Standards'!$AD$306+'Reference Standards'!$AD$307))),2),    IF(OR('Quantification Tool R1'!$B$12="71g",'Quantification Tool R1'!$B$12="71h",'Quantification Tool R1'!$B$12="71i"),ROUND(IF(E426&gt;=1.68,0,IF(E426&lt;=0.08,1,IF(E426&lt;=0.23,E426*'Reference Standards'!$AI$306+'Reference Standards'!$AI$307,E426^2*'Reference Standards'!$AE$305+E426*'Reference Standards'!$AE$306+'Reference Standards'!$AE$307))),2),   IF('Quantification Tool R1'!$B$12="71e",ROUND(IF(E426&gt;=5.3,0,IF(E426&lt;=0.94,1,IF(E426&lt;=1.4,E426*'Reference Standards'!$AF$310+'Reference Standards'!$AF$311,E426^2*'Reference Standards'!$AB$309+E426*'Reference Standards'!$AB$310+'Reference Standards'!$AB$311))),2))    ))))))))))))))))))</f>
        <v/>
      </c>
      <c r="G426" s="86" t="str">
        <f>IFERROR(AVERAGE(F426),"")</f>
        <v/>
      </c>
      <c r="H426" s="548"/>
      <c r="I426" s="535"/>
      <c r="J426" s="555"/>
      <c r="K426" s="555"/>
    </row>
    <row r="427" spans="1:12" ht="15.75" customHeight="1" x14ac:dyDescent="0.3">
      <c r="A427" s="539"/>
      <c r="B427" s="307" t="s">
        <v>82</v>
      </c>
      <c r="C427" s="66" t="s">
        <v>280</v>
      </c>
      <c r="D427" s="66"/>
      <c r="E427" s="136"/>
      <c r="F427" s="343" t="str">
        <f>IF(E427="","", IF(ISNUMBER('Quantification Tool R1'!$B$13),IF('Quantification Tool R1'!$B$13&gt;2.5,IF(OR('Quantification Tool R1'!$B$12="71h",'Quantification Tool R1'!$B$12="71i",'Quantification Tool R1'!$B$12="73a",'Quantification Tool R1'!$B$12="74a"),IF(E427&lt;=0.01,1,IF(OR('Quantification Tool R1'!$B$12="71h",'Quantification Tool R1'!$B$12="71i"),IF(E427&gt;0.37,0,ROUND(IF(E427&gt;0.03,'Reference Standards'!$AB$425*E427^2+'Reference Standards'!$AB$426*E427+'Reference Standards'!$AB$427,'Reference Standards'!$AF$426*E427+'Reference Standards'!$AF$427),2)),  IF('Quantification Tool R1'!$B$12="73a",IF(E427&gt;0.405,0,ROUND(IF(E427&gt;0.046,'Reference Standards'!$AC$425*E427^2+'Reference Standards'!$AC$426*E427+'Reference Standards'!$AC$427,'Reference Standards'!$AG$426*E427+'Reference Standards'!$AG$427),2)),IF('Quantification Tool R1'!$B$12="74a",IF(E427&gt;0.3,0,ROUND(IF(E427&gt;0.052,'Reference Standards'!$AD$425*E427^2+'Reference Standards'!$AD$426*E427+'Reference Standards'!$AD$427,'Reference Standards'!$AH$426*E427+'Reference Standards'!$AH$427),2)))))),   IF(E427&lt;=0.002,1,IF(OR('Quantification Tool R1'!$B$12="66d",'Quantification Tool R1'!$B$12="66e",'Quantification Tool R1'!$B$12="66g"),IF(E427&gt;0.053,0,ROUND(E427^2*'Reference Standards'!$AB$347+E427*'Reference Standards'!$AB$348+'Reference Standards'!$AB$349,2)), IF('Quantification Tool R1'!$B$12="68b",IF(E427&gt;0.05,0,ROUND(E427^2*'Reference Standards'!$AC$347+E427*'Reference Standards'!$AC$348+'Reference Standards'!$AC$349,2)),  IF(OR('Quantification Tool R1'!$B$12="68a",'Quantification Tool R1'!$B$12="68c"),IF(E427&gt;0.07,0,ROUND(E427^2*'Reference Standards'!$AD$347+E427*'Reference Standards'!$AD$348+'Reference Standards'!$AD$349,2)), IF(OR('Quantification Tool R1'!$B$12="71f",'Quantification Tool R1'!$B$12="71g"),IF(E427&gt;0.13,0,ROUND(IF(E427&gt;0.042,E427*'Reference Standards'!$AE$348+'Reference Standards'!$AE$349,E427*'Reference Standards'!$AF$348+'Reference Standards'!$AF$349),2)), IF('Quantification Tool R1'!$B$12="67fhi",IF(E427&gt;0.16,0,ROUND(E427^2*'Reference Standards'!$AG$347+E427*'Reference Standards'!$AG$348+'Reference Standards'!$AG$349,2)),  IF('Quantification Tool R1'!$B$12="65j",IF(E427&gt;0.035,0,ROUND(IF(E427&lt;=0.003,0.7,E427^2*'Reference Standards'!$AB$387+E427*'Reference Standards'!$AB$388+'Reference Standards'!$AB$389),2)),IF('Quantification Tool R1'!$B$12="69de",IF(E427&gt;0.037,0,ROUND(IF(E427&lt;=0.003,0.7,E427^2*'Reference Standards'!$AC$387+E427*'Reference Standards'!$AC$388+'Reference Standards'!$AC$389),2)),IF('Quantification Tool R1'!$B$12="71e",IF(E427&gt;0.23,0,ROUND(IF(E427&lt;=0.003,0.7,E427^2*'Reference Standards'!$AD$387+E427*'Reference Standards'!$AD$388+'Reference Standards'!$AD$389),2)),IF('Quantification Tool R1'!$B$12="66f",IF(E427&gt;0.06,0,ROUND(IF(E427&lt;=0.003,0.85,IF(E427&lt;=0.004,0.7,E427^2*'Reference Standards'!$AE$387+E427*'Reference Standards'!$AE$388+'Reference Standards'!$AE$389)),2)),IF('Quantification Tool R1'!$B$12="67g",IF(E427&gt;0.11,0,ROUND(IF(E427&lt;=0.01,E427*'Reference Standards'!$AH$388+'Reference Standards'!$AH$389, E427^2*'Reference Standards'!$AF$387+E427*'Reference Standards'!$AF$388+'Reference Standards'!$AF$389),2)),IF('Quantification Tool R1'!$B$12="74b",IF(E427&gt;0.49,0,ROUND(IF(E427&lt;=0.01,E427*'Reference Standards'!$AH$388+'Reference Standards'!$AH$389, E427^2*'Reference Standards'!$AG$387+E427*'Reference Standards'!$AG$388+'Reference Standards'!$AG$389),2)),IF('Quantification Tool R1'!$B$12="65abei",IF(E427&gt;0.199,0,ROUND(IF(E427&lt;=0.01,E427*'Reference Standards'!$AI$426+'Reference Standards'!$AI$427, E427^2*'Reference Standards'!$AE$425+E427*'Reference Standards'!$AE$426+'Reference Standards'!$AE$427),2))    )))))))))))))),      IF('Quantification Tool R1'!$B$13&lt;=2.5, IF(OR('Quantification Tool R1'!$B$12="66d",'Quantification Tool R1'!$B$12="66e",'Quantification Tool R1'!$B$12="66g"),IF(E427&gt;0.05,0,ROUND(IF(E427&lt;=0.002,1,IF(E427&lt;=0.005,E427*'Reference Standards'!$AF$464+'Reference Standards'!$AF$465, E427^2*'Reference Standards'!$AB$463+E427*'Reference Standards'!$AB$464+'Reference Standards'!$AB$465)),2)), IF('Quantification Tool R1'!$B$12="67fhi",IF(E427&gt;0.1,0,ROUND(IF(E427&lt;=0.002,1,IF(E427&lt;=0.006,E427*'Reference Standards'!$AG$464+'Reference Standards'!$AG$465, E427^2*'Reference Standards'!$AC$463+E427*'Reference Standards'!$AC$464+'Reference Standards'!$AC$465)),2)), IF('Quantification Tool R1'!$B$12="65abei",IF(E427&gt;0.13,0,ROUND(IF(E427&lt;=0.003,1,IF(E427&lt;=0.008,E427*'Reference Standards'!$AH$464+'Reference Standards'!$AH$465, E427^2*'Reference Standards'!$AD$463+E427*'Reference Standards'!$AD$464+'Reference Standards'!$AD$465)),2)), IF('Quantification Tool R1'!$B$12="68b",IF(E427&gt;0.043,0,ROUND(IF(E427&lt;=0.004,1, IF(E427&lt;=0.005,0.7, E427^2*'Reference Standards'!$AE$463+E427*'Reference Standards'!$AE$464+'Reference Standards'!$AE$465)),2)), IF('Quantification Tool R1'!$B$12="69de",IF(E427&gt;=0.034,0,ROUND(IF(E427&lt;=0.003,1, IF(E427&lt;=0.006,E427*'Reference Standards'!$AG$500+'Reference Standards'!$AG$501, E427*'Reference Standards'!$AB$500+'Reference Standards'!$AB$501)),2)), IF(OR('Quantification Tool R1'!$B$12="68a",'Quantification Tool R1'!$B$12="68c"),IF(E427&gt;0.202,0,ROUND(IF(E427&lt;=0.003,1, IF(E427&lt;=0.006,E427*'Reference Standards'!$AG$500+'Reference Standards'!$AG$501, IF(E427&gt;=0.04,E427*'Reference Standards'!$AC$500+'Reference Standards'!$AC$501,E427*'Reference Standards'!$AE$500+'Reference Standards'!$AE$501))),2)), IF(OR('Quantification Tool R1'!$B$12="71f",'Quantification Tool R1'!$B$12="71g"),IF(E427&gt;0.631,0,ROUND(IF(E427&lt;=0.003,1, IF(E427&lt;=0.006,E427*'Reference Standards'!$AG$500+'Reference Standards'!$AG$501, IF(E427&gt;=0.17,E427*'Reference Standards'!$AD$500+'Reference Standards'!$AD$501,E427*'Reference Standards'!$AF$500+'Reference Standards'!$AF$501))),2)),   IF('Quantification Tool R1'!$B$12="71e",IF(E427&gt;1.23,0,ROUND(IF(E427&lt;=0.004,1,IF(E427&lt;=0.006,E427*'Reference Standards'!$AF$538+'Reference Standards'!$AF$539, E427^2*'Reference Standards'!$AB$537+E427*'Reference Standards'!$AB$538+'Reference Standards'!$AB$539)),2)), IF('Quantification Tool R1'!$B$12="67g",IF(E427&gt;0.11,0,ROUND(IF(E427&lt;=0.006,1,IF(E427&lt;=0.011,E427*'Reference Standards'!$AG$538+'Reference Standards'!$AG$539, E427^2*'Reference Standards'!$AC$537+E427*'Reference Standards'!$AC$538+'Reference Standards'!$AC$539)),2)), IF('Quantification Tool R1'!$B$12="65j",IF(E427&gt;0.046,0,ROUND(IF(E427&lt;=0.007,1,IF(E427&lt;=0.012,E427*'Reference Standards'!$AH$538+'Reference Standards'!$AH$539, E427^2*'Reference Standards'!$AD$537+E427*'Reference Standards'!$AD$538+'Reference Standards'!$AD$539)),2)), IF('Quantification Tool R1'!$B$12="66f",IF(E427&gt;0.081,0,ROUND(IF(E427&lt;=0.008,1,IF(E427&lt;=0.011,E427*'Reference Standards'!$AI$538+'Reference Standards'!$AI$539, E427^2*'Reference Standards'!$AE$537+E427*'Reference Standards'!$AE$538+'Reference Standards'!$AE$539)),2)), IF(OR('Quantification Tool R1'!$B$12="71h",'Quantification Tool R1'!$B$12="71i"),IF(E427&gt;0.37,0,ROUND(IF(E427&lt;=0.013,1,IF(E427&lt;=0.032,E427*'Reference Standards'!$AH$576+'Reference Standards'!$AH$577, IF(E427&lt;=0.3,E427*'Reference Standards'!$AF$576+'Reference Standards'!$AF$577,E427*'Reference Standards'!$AB$576+'Reference Standards'!$AB$577))),2)), IF('Quantification Tool R1'!$B$12="73a",IF(E427&gt;0.448,0,ROUND(IF(E427&lt;=0.071,1,IF(E427&lt;=0.086,E427*'Reference Standards'!$AJ$576+'Reference Standards'!$AJ$577, IF(E427&lt;=0.165,E427*'Reference Standards'!$AG$576+'Reference Standards'!$AG$577,E427*'Reference Standards'!$AE$576+'Reference Standards'!$AE$577))),2)),  IF('Quantification Tool R1'!$B$12="74b",IF(E427&gt;0.43,0,ROUND(IF(E427&lt;=0.018,1,IF(E427&lt;=0.019,0.85, IF(E427&lt;=0.02,0.7, E427^2*'Reference Standards'!$AC$575+E427*'Reference Standards'!$AC$576+'Reference Standards'!$AC$577))),2)), IF('Quantification Tool R1'!$B$12="74a",IF(E427&gt;0.217,0,ROUND(IF(E427&lt;=0.02,1,IF(E427&lt;=0.033,E427*'Reference Standards'!$AI$576+'Reference Standards'!$AI$577, E427^2*'Reference Standards'!$AD$575+E427*'Reference Standards'!$AD$576+'Reference Standards'!$AD$577)),2))     )))))))))))))))))))</f>
        <v/>
      </c>
      <c r="G427" s="87" t="str">
        <f>IFERROR(AVERAGE(F427),"")</f>
        <v/>
      </c>
      <c r="H427" s="549"/>
      <c r="I427" s="536"/>
      <c r="J427" s="555"/>
      <c r="K427" s="555"/>
    </row>
    <row r="428" spans="1:12" ht="15.6" x14ac:dyDescent="0.3">
      <c r="A428" s="550" t="s">
        <v>59</v>
      </c>
      <c r="B428" s="560" t="s">
        <v>340</v>
      </c>
      <c r="C428" s="125" t="s">
        <v>331</v>
      </c>
      <c r="D428" s="126"/>
      <c r="E428" s="166"/>
      <c r="F428" s="345" t="str">
        <f>IF(E428="","",IF(OR('Quantification Tool R1'!B$12="73a",'Quantification Tool R1'!B$12="73b"),IF(E428&lt;1,0,IF(E428&gt;=30,1,ROUND(IF(E428&lt;22,'Reference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531" t="str">
        <f>IFERROR(AVERAGE(F428:F431),"")</f>
        <v/>
      </c>
      <c r="H428" s="568" t="str">
        <f>IFERROR(ROUND(AVERAGE(G428:G433),2),"")</f>
        <v/>
      </c>
      <c r="I428" s="519" t="str">
        <f>IF(H428="","",IF(H428&gt;0.69,"Functioning",IF(H428&gt;0.29,"Functioning At Risk",IF(H428&gt;-1,"Not Functioning"))))</f>
        <v/>
      </c>
      <c r="J428" s="555"/>
      <c r="K428" s="555"/>
    </row>
    <row r="429" spans="1:12" ht="15.6" x14ac:dyDescent="0.3">
      <c r="A429" s="556"/>
      <c r="B429" s="561"/>
      <c r="C429" s="174" t="s">
        <v>335</v>
      </c>
      <c r="D429" s="175"/>
      <c r="E429" s="165"/>
      <c r="F429" s="346" t="str">
        <f>IF(E429="","",IF(AND('Quantification Tool R1'!$B$12="74b",'Quantification Tool R1'!$B$13&lt;=2),IF(E429&lt;0,0,IF(E429&gt;15.6,0.69,ROUND('Reference Standards'!$AL$54*E429^2+'Reference Standards'!$AL$55*E429+'Reference Standards'!$AL$56,2))),IF(AND('Quantification Tool R1'!$B$12="65abei",'Quantification Tool R1'!$B$13&lt;=2),IF(E429&lt;0,0,IF(E429&gt;=20,0.69,ROUND('Reference Standards'!$AM$54*E429^2+'Reference Standards'!$AM$55*E429+'Reference Standards'!$AM$56,2))),IF(OR(AND('Quantification Tool R1'!$B$12="74a",'Quantification Tool R1'!$B$13&gt;2,'Quantification Tool R1'!$B$19="January - June"),AND('Quantification Tool R1'!$B$12="71i",'Quantification Tool R1'!$B$13&gt;2,'Quantification Tool R1'!$B$20="SQBANK")),IF(E429&lt;0,0,IF(E429&gt;24.7,0.69,ROUND('Reference Standards'!$AN$54*E429^2+'Reference Standards'!$AN$55*E429+'Reference Standards'!$AN$56,2))),IF(OR('Quantification Tool R1'!$B$12="74b",'Quantification Tool R1'!$B$12="65abei"),IF(E429&lt;0,0,IF(E429&gt;32.7,0.69,ROUND('Reference Standards'!$AO$54*E429^2+'Reference Standards'!$AO$55*E429+'Reference Standards'!$AO$56,2))),IF(AND('Quantification Tool R1'!$B$12="68b",'Quantification Tool R1'!$B$13&gt;2),IF(E429&lt;0,0,IF(E429&gt;41.2,0.69,ROUND('Reference Standards'!$AP$54*E429^2+'Reference Standards'!$AP$55*E429+'Reference Standards'!$AP$56,2))),IF(OR(AND('Quantification Tool R1'!$B$12="71i",'Quantification Tool R1'!$B$13&lt;=2),AND(OR('Quantification Tool R1'!$B$12="68c",'Quantification Tool R1'!$B$12="68d"),'Quantification Tool R1'!$B$19="January - June")),IF(E429&lt;0,0,IF(E429&gt;49.2,0.69,ROUND('Reference Standards'!$AL$94*E429^2+'Reference Standards'!$AL$95*E429+'Reference Standards'!$AL$96,2))),IF(OR(AND('Quantification Tool R1'!$B$12="68a",'Quantification Tool R1'!$B$19="January - June"),AND(OR('Quantification Tool R1'!$B$12="68c",'Quantification Tool R1'!$B$12="68d"),'Quantification Tool R1'!$B$19="July - December")),IF(E429&lt;0,0,IF(E429&gt;53.4,0.69,ROUND('Reference Standards'!$AM$94*E429^2+'Reference Standards'!$AM$95*E429+'Reference Standards'!$AM$96,2))),IF(OR(AND('Quantification Tool R1'!$B$12="71i",'Quantification Tool R1'!$B$13&gt;2,'Quantification Tool R1'!$B$20="SQKICK"),AND(OR('Quantification Tool R1'!$B$12="67fhi",'Quantification Tool R1'!$B$12="67g"),'Quantification Tool R1'!$B$13&lt;=2),'Quantification Tool R1'!$B$12="65j"),IF(E429&lt;0,0,IF(E429&gt;57.8,0.69,ROUND('Reference Standards'!$AN$94*E429^2+'Reference Standards'!$AN$95*E429+'Reference Standards'!$AN$96,2))),IF(OR(AND('Quantification Tool R1'!$B$12="74a",'Quantification Tool R1'!$B$13&gt;2,'Quantification Tool R1'!$B$19="July - December"),AND(OR('Quantification Tool R1'!$B$12="67fhi",'Quantification Tool R1'!$B$12="67g"),'Quantification Tool R1'!$B$13&gt;2),'Quantification Tool R1'!$B$12="69de"),IF(E429&lt;0,0,IF(E429&gt;62.5,0.69,ROUND('Reference Standards'!$AO$94*E429^2+'Reference Standards'!$AO$95*E429+'Reference Standards'!$AO$96,2))),  IF(OR('Quantification Tool R1'!$B$12="66d",'Quantification Tool R1'!$B$12="66e",'Quantification Tool R1'!$B$12="66ik",'Quantification Tool R1'!$B$12="71e",'Quantification Tool R1'!$B$12="71f",'Quantification Tool R1'!$B$12="71g",'Quantification Tool R1'!$B$12="71h"),IF(E429&lt;0,0,IF(E429&gt;66.5,0.69,ROUND('Reference Standards'!$AP$94*E429^2+'Reference Standards'!$AP$95*E429+'Reference Standards'!$AP$96,2))),IF(OR('Quantification Tool R1'!$B$12="66f",'Quantification Tool R1'!$B$12="66g",'Quantification Tool R1'!$B$12="66j",AND('Quantification Tool R1'!$B$12="68a",'Quantification Tool R1'!$B$19="July - December")), IF(E429&lt;0,0,IF(E429&gt;69,0.69,ROUND('Reference Standards'!$AQ$94*E429^2+'Reference Standards'!$AQ$95*E429+'Reference Standards'!$AQ$96,2))))   )))))))))))</f>
        <v/>
      </c>
      <c r="G429" s="531"/>
      <c r="H429" s="568"/>
      <c r="I429" s="519"/>
      <c r="J429" s="555"/>
      <c r="K429" s="555"/>
    </row>
    <row r="430" spans="1:12" ht="15.6" x14ac:dyDescent="0.3">
      <c r="A430" s="556"/>
      <c r="B430" s="561"/>
      <c r="C430" s="174" t="s">
        <v>339</v>
      </c>
      <c r="D430" s="175"/>
      <c r="E430" s="165"/>
      <c r="F430" s="346" t="str">
        <f>IF(E430="","",IF(AND('Quantification Tool R1'!$B$12="74b",'Quantification Tool R1'!$B$13&lt;=2),IF(E430&lt;0,0,IF(E430&gt;8.1,0.69,ROUND('Reference Standards'!$AL$131*E430^2+'Reference Standards'!$AL$132*E430+'Reference Standards'!$AL$133,2))),IF(OR('Quantification Tool R1'!$B$12="73a",'Quantification Tool R1'!$B$12="73b"),IF(E430&lt;0,0,IF(E430&gt;=28,0.69,ROUND('Reference Standards'!$AM$131*E430^2+'Reference Standards'!$AM$132*E430+'Reference Standards'!$AM$133,2))),IF(AND('Quantification Tool R1'!$B$12="74a",'Quantification Tool R1'!$B$13&gt;2,'Quantification Tool R1'!$B$19="January - June"),IF(E430&lt;0,0,IF(E430&gt;=32.5,0.69,ROUND('Reference Standards'!$AN$131*E430^2+'Reference Standards'!$AN$132*E430+'Reference Standards'!$AN$133,2))),IF(AND('Quantification Tool R1'!$B$12="71i",'Quantification Tool R1'!$B$13&gt;2,'Quantification Tool R1'!$B$20="SQBANK"),IF(E430&lt;0,0,IF(E430&gt;=37,0.69,ROUND('Reference Standards'!$AO$131*E430^2+'Reference Standards'!$AO$132*E430+'Reference Standards'!$AO$133,2))),IF(OR(AND(OR('Quantification Tool R1'!$B$12="65abei",'Quantification Tool R1'!$B$12="74b"),'Quantification Tool R1'!$B$13&gt;2),AND('Quantification Tool R1'!$B$12="71i",'Quantification Tool R1'!$B$13&gt;2,'Quantification Tool R1'!$B$20="SQKICK")),IF(E430&lt;0,0,IF(E430&gt;42.6,0.69,ROUND('Reference Standards'!$AP$131*E430^2+'Reference Standards'!$AP$132*E430+'Reference Standards'!$AP$133,2))),     IF(OR(AND('Quantification Tool R1'!$B$12="65abei",'Quantification Tool R1'!$B$13&lt;=2),AND(OR('Quantification Tool R1'!$B$12="68c",'Quantification Tool R1'!$B$12="68d"),'Quantification Tool R1'!$B$19="July - December"),'Quantification Tool R1'!$B$12="71e"),IF(E430&lt;0,0,IF(E430&gt;=48,0.69,ROUND('Reference Standards'!$AL$171*E430^2+'Reference Standards'!$AL$172*E430+'Reference Standards'!$AL$173,2))),IF(OR('Quantification Tool R1'!$B$12="65j",'Quantification Tool R1'!$B$12="67fhi",'Quantification Tool R1'!$B$12="67g",AND('Quantification Tool R1'!$B$12="74a",'Quantification Tool R1'!$B$19="July - December",'Quantification Tool R1'!$B$13&gt;2),AND('Quantification Tool R1'!$B$12="71i",'Quantification Tool R1'!$B$13&lt;=2)),IF(E430&lt;0,0,IF(E430&gt;=53,0.69,ROUND('Reference Standards'!$AM$171*E430^2+'Reference Standards'!$AM$172*E430+'Reference Standards'!$AM$173,2))),IF(OR(AND(OR('Quantification Tool R1'!$B$12="68b",'Quantification Tool R1'!$B$12="71f",'Quantification Tool R1'!$B$12="71g",'Quantification Tool R1'!$B$12="71h"),'Quantification Tool R1'!$B$13&gt;2),'Quantification Tool R1'!$B$12="68a"),IF(E430&lt;0,0,IF(E430&gt;=57,0.69,ROUND('Reference Standards'!$AN$171*E430^2+'Reference Standards'!$AN$172*E430+'Reference Standards'!$AN$173,2))),IF(OR('Quantification Tool R1'!$B$12="66f",'Quantification Tool R1'!$B$12="66g",'Quantification Tool R1'!$B$12="66j",AND(OR('Quantification Tool R1'!$B$12="71f",'Quantification Tool R1'!$B$12="71g",'Quantification Tool R1'!$B$12="71h"),'Quantification Tool R1'!$B$13&lt;=2)),IF(E430&lt;0,0,IF(E430&gt;=60,0.69,ROUND('Reference Standards'!$AO$171*E430^2+'Reference Standards'!$AO$172*E430+'Reference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December")),IF(E430&lt;0,0,IF(E430&gt;=67.5,0.69,ROUND('Reference Standards'!$AP$171*E430^2+'Reference Standards'!$AP$172*E430+'Reference Standards'!$AP$173,2))),IF(AND('Quantification Tool R1'!$B$12="69de",'Quantification Tool R1'!$B$19="January - June"), IF(E430&lt;0,0,IF(E430&gt;=72,0.69,ROUND('Reference Standards'!$AQ$171*E430^2+'Reference Standards'!$AQ$172*E430+'Reference Standards'!$AQ$173,2))))   )))))))))))</f>
        <v/>
      </c>
      <c r="G430" s="531"/>
      <c r="H430" s="568"/>
      <c r="I430" s="519"/>
      <c r="J430" s="555"/>
      <c r="K430" s="555"/>
    </row>
    <row r="431" spans="1:12" ht="15.6" x14ac:dyDescent="0.3">
      <c r="A431" s="556"/>
      <c r="B431" s="562"/>
      <c r="C431" s="127" t="s">
        <v>336</v>
      </c>
      <c r="D431" s="71"/>
      <c r="E431" s="167"/>
      <c r="F431" s="346" t="str">
        <f>IF(E431="","",IF(OR('Quantification Tool R1'!$B$12="67fhi",'Quantification Tool R1'!$B$12="67g",'Quantification Tool R1'!$B$12="71e",'Quantification Tool R1'!$B$12="73a",'Quantification Tool R1'!$B$12="73b",AND(OR('Quantification Tool R1'!$B$12="71f",'Quantification Tool R1'!$B$12="71g",'Quantification Tool R1'!$B$12="71h"),'Quantification Tool R1'!$B$13&gt;2)),IF(E431&gt;100,0,IF(E431&lt;15,0.69,ROUND('Reference Standards'!$AL$208*E431^2+'Reference Standards'!$AL$209*E431+'Reference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),IF(E431&gt;100,0,IF(E431&lt;19,0.69,ROUND('Reference Standards'!$AM$208*E431^2+'Reference Standards'!$AM$209*E431+'Reference Standards'!$AM$210,2))),    IF(OR(AND('Quantification Tool R1'!$B$12="69de",'Quantification Tool R1'!$B$19="January - June"),AND('Quantification Tool R1'!$B$12="71i",'Quantification Tool R1'!$B$13&gt;2,'Quantification Tool R1'!$B$20="SQKICK" )),IF(E431&gt;100,0,IF(E431&lt;22,0.69,ROUND('Reference Standards'!$AN$208*E431^2+'Reference Standards'!$AN$209*E431+'Reference Standards'!$AN$210,2))),    IF(OR('Quantification Tool R1'!$B$12="65j",AND('Quantification Tool R1'!$B$12="68b",'Quantification Tool R1'!$B$13&gt;2)),IF(E431&gt;100,0,IF(E431&lt;24,0.69,ROUND('Reference Standards'!$AO$208*E431^2+'Reference Standards'!$AO$209*E431+'Reference Standards'!$AO$210,2))),    IF(AND(OR('Quantification Tool R1'!$B$12="65abei",'Quantification Tool R1'!$B$12="71f",'Quantification Tool R1'!$B$12="71g",'Quantification Tool R1'!$B$12="71h"),'Quantification Tool R1'!$B$13&lt;=2),IF(E431&gt;95,0,IF(E431&lt;33,0.69,ROUND('Reference Standards'!$AL$246*E431^2+'Reference Standards'!$AL$247*E431+'Reference Standards'!$AL$248,2))),   IF(AND(OR('Quantification Tool R1'!$B$12="65abei",'Quantification Tool R1'!$B$12="74b"),'Quantification Tool R1'!$B$13&gt;2),IF(E431&gt;97,0,IF(E431&lt;36,0.69,ROUND('Reference Standards'!$AM$246*E431^2+'Reference Standards'!$AM$247*E431+'Reference Standards'!$AM$248,2))),  IF(AND('Quantification Tool R1'!$B$12="74a",'Quantification Tool R1'!$B$19="January - June",'Quantification Tool R1'!$B$13&gt;2),IF(E431&gt;93,0,IF(E431&lt;52,0.69,ROUND('Reference Standards'!$AN$246*E431^2+'Reference Standards'!$AN$247*E431+'Reference Standards'!$AN$248,2))),   IF(AND('Quantification Tool R1'!$B$12="74b",'Quantification Tool R1'!$B$13&lt;=2),IF(E431&gt;97,0,IF(E431&lt;62,0.69,ROUND('Reference Standards'!$AO$246*E431^2+'Reference Standards'!$AO$247*E431+'Reference Standards'!$AO$248,2)))  )))))))))</f>
        <v/>
      </c>
      <c r="G431" s="531"/>
      <c r="H431" s="568"/>
      <c r="I431" s="519"/>
      <c r="J431" s="555"/>
      <c r="K431" s="555"/>
    </row>
    <row r="432" spans="1:12" ht="15.6" x14ac:dyDescent="0.3">
      <c r="A432" s="556"/>
      <c r="B432" s="563" t="s">
        <v>74</v>
      </c>
      <c r="C432" s="125" t="s">
        <v>211</v>
      </c>
      <c r="D432" s="126"/>
      <c r="E432" s="166"/>
      <c r="F432" s="345" t="str">
        <f>IF(E432="","",IF(E432=1,0.15,IF(E432=3,0.5,IF(E432=5,0.85,0))))</f>
        <v/>
      </c>
      <c r="G432" s="564" t="str">
        <f>IFERROR(AVERAGE(F432:F433),"")</f>
        <v/>
      </c>
      <c r="H432" s="568"/>
      <c r="I432" s="519"/>
      <c r="J432" s="555"/>
      <c r="K432" s="555"/>
    </row>
    <row r="433" spans="1:11" ht="15.6" x14ac:dyDescent="0.3">
      <c r="A433" s="551"/>
      <c r="B433" s="563"/>
      <c r="C433" s="127" t="s">
        <v>332</v>
      </c>
      <c r="D433" s="71"/>
      <c r="E433" s="167"/>
      <c r="F433" s="347" t="str">
        <f>IF(E433="","",IF(E433=1,0.15,IF(E433=3,0.5,IF(E433=5,0.85,0))))</f>
        <v/>
      </c>
      <c r="G433" s="565"/>
      <c r="H433" s="568"/>
      <c r="I433" s="519"/>
      <c r="J433" s="555"/>
      <c r="K433" s="555"/>
    </row>
  </sheetData>
  <sheetProtection password="9A90" sheet="1" objects="1" scenarios="1" selectLockedCells="1"/>
  <dataConsolidate/>
  <mergeCells count="364">
    <mergeCell ref="B33:B36"/>
    <mergeCell ref="G33:G36"/>
    <mergeCell ref="H33:H38"/>
    <mergeCell ref="I33:I38"/>
    <mergeCell ref="B37:B38"/>
    <mergeCell ref="G37:G38"/>
    <mergeCell ref="B9:B12"/>
    <mergeCell ref="G9:G12"/>
    <mergeCell ref="B13:B22"/>
    <mergeCell ref="G13:G22"/>
    <mergeCell ref="A1:F1"/>
    <mergeCell ref="G1:K1"/>
    <mergeCell ref="C2:D2"/>
    <mergeCell ref="A3:A4"/>
    <mergeCell ref="H3:H4"/>
    <mergeCell ref="I3:I4"/>
    <mergeCell ref="A5:A6"/>
    <mergeCell ref="B5:B6"/>
    <mergeCell ref="G5:G6"/>
    <mergeCell ref="H5:H6"/>
    <mergeCell ref="I5:I6"/>
    <mergeCell ref="J3:J38"/>
    <mergeCell ref="K3:K38"/>
    <mergeCell ref="A7:A28"/>
    <mergeCell ref="B7:B8"/>
    <mergeCell ref="G7:G8"/>
    <mergeCell ref="H7:H28"/>
    <mergeCell ref="I7:I28"/>
    <mergeCell ref="B24:B27"/>
    <mergeCell ref="G24:G27"/>
    <mergeCell ref="A29:A32"/>
    <mergeCell ref="H29:H32"/>
    <mergeCell ref="I29:I32"/>
    <mergeCell ref="A33:A38"/>
    <mergeCell ref="G40:K40"/>
    <mergeCell ref="C41:D41"/>
    <mergeCell ref="A42:A43"/>
    <mergeCell ref="H42:H43"/>
    <mergeCell ref="I42:I43"/>
    <mergeCell ref="A44:A45"/>
    <mergeCell ref="B44:B45"/>
    <mergeCell ref="G44:G45"/>
    <mergeCell ref="H44:H45"/>
    <mergeCell ref="I44:I45"/>
    <mergeCell ref="J42:J77"/>
    <mergeCell ref="K42:K77"/>
    <mergeCell ref="A46:A67"/>
    <mergeCell ref="B46:B47"/>
    <mergeCell ref="G46:G47"/>
    <mergeCell ref="H46:H67"/>
    <mergeCell ref="I46:I67"/>
    <mergeCell ref="B63:B66"/>
    <mergeCell ref="G63:G66"/>
    <mergeCell ref="A68:A71"/>
    <mergeCell ref="H68:H71"/>
    <mergeCell ref="I68:I71"/>
    <mergeCell ref="A72:A77"/>
    <mergeCell ref="B72:B75"/>
    <mergeCell ref="G83:G84"/>
    <mergeCell ref="H83:H84"/>
    <mergeCell ref="G79:K79"/>
    <mergeCell ref="C80:D80"/>
    <mergeCell ref="A81:A82"/>
    <mergeCell ref="H81:H82"/>
    <mergeCell ref="I81:I82"/>
    <mergeCell ref="I83:I84"/>
    <mergeCell ref="B87:B90"/>
    <mergeCell ref="G87:G90"/>
    <mergeCell ref="A83:A84"/>
    <mergeCell ref="B83:B84"/>
    <mergeCell ref="J81:J116"/>
    <mergeCell ref="K81:K116"/>
    <mergeCell ref="A85:A106"/>
    <mergeCell ref="B85:B86"/>
    <mergeCell ref="G85:G86"/>
    <mergeCell ref="H85:H106"/>
    <mergeCell ref="I85:I106"/>
    <mergeCell ref="B102:B105"/>
    <mergeCell ref="G102:G105"/>
    <mergeCell ref="A107:A110"/>
    <mergeCell ref="H107:H110"/>
    <mergeCell ref="I107:I110"/>
    <mergeCell ref="G118:K118"/>
    <mergeCell ref="C119:D119"/>
    <mergeCell ref="A120:A121"/>
    <mergeCell ref="H120:H121"/>
    <mergeCell ref="I120:I121"/>
    <mergeCell ref="A122:A123"/>
    <mergeCell ref="B122:B123"/>
    <mergeCell ref="G122:G123"/>
    <mergeCell ref="H122:H123"/>
    <mergeCell ref="I122:I123"/>
    <mergeCell ref="J120:J155"/>
    <mergeCell ref="K120:K155"/>
    <mergeCell ref="A124:A145"/>
    <mergeCell ref="B124:B125"/>
    <mergeCell ref="G124:G125"/>
    <mergeCell ref="H124:H145"/>
    <mergeCell ref="I124:I145"/>
    <mergeCell ref="B141:B144"/>
    <mergeCell ref="G141:G144"/>
    <mergeCell ref="A146:A149"/>
    <mergeCell ref="H146:H149"/>
    <mergeCell ref="I146:I149"/>
    <mergeCell ref="A150:A155"/>
    <mergeCell ref="B150:B153"/>
    <mergeCell ref="G157:K157"/>
    <mergeCell ref="C158:D158"/>
    <mergeCell ref="A159:A160"/>
    <mergeCell ref="H159:H160"/>
    <mergeCell ref="I159:I160"/>
    <mergeCell ref="A161:A162"/>
    <mergeCell ref="B161:B162"/>
    <mergeCell ref="G161:G162"/>
    <mergeCell ref="H161:H162"/>
    <mergeCell ref="I161:I162"/>
    <mergeCell ref="J159:J194"/>
    <mergeCell ref="K159:K194"/>
    <mergeCell ref="A163:A184"/>
    <mergeCell ref="B163:B164"/>
    <mergeCell ref="G163:G164"/>
    <mergeCell ref="H163:H184"/>
    <mergeCell ref="I163:I184"/>
    <mergeCell ref="B180:B183"/>
    <mergeCell ref="G180:G183"/>
    <mergeCell ref="A185:A188"/>
    <mergeCell ref="H185:H188"/>
    <mergeCell ref="I185:I188"/>
    <mergeCell ref="A189:A194"/>
    <mergeCell ref="B189:B192"/>
    <mergeCell ref="A198:A199"/>
    <mergeCell ref="H198:H199"/>
    <mergeCell ref="I198:I199"/>
    <mergeCell ref="J198:J233"/>
    <mergeCell ref="K198:K233"/>
    <mergeCell ref="A200:A201"/>
    <mergeCell ref="B200:B201"/>
    <mergeCell ref="G200:G201"/>
    <mergeCell ref="H200:H201"/>
    <mergeCell ref="I200:I201"/>
    <mergeCell ref="A202:A223"/>
    <mergeCell ref="H202:H223"/>
    <mergeCell ref="I202:I223"/>
    <mergeCell ref="B204:B207"/>
    <mergeCell ref="G204:G207"/>
    <mergeCell ref="I224:I227"/>
    <mergeCell ref="A228:A233"/>
    <mergeCell ref="G228:G231"/>
    <mergeCell ref="H228:H233"/>
    <mergeCell ref="I228:I233"/>
    <mergeCell ref="A224:A227"/>
    <mergeCell ref="H224:H227"/>
    <mergeCell ref="G208:G217"/>
    <mergeCell ref="B219:B222"/>
    <mergeCell ref="A238:A239"/>
    <mergeCell ref="H238:H239"/>
    <mergeCell ref="I238:I239"/>
    <mergeCell ref="J238:J273"/>
    <mergeCell ref="K238:K273"/>
    <mergeCell ref="A240:A241"/>
    <mergeCell ref="B240:B241"/>
    <mergeCell ref="G240:G241"/>
    <mergeCell ref="H240:H241"/>
    <mergeCell ref="I240:I241"/>
    <mergeCell ref="A242:A263"/>
    <mergeCell ref="H242:H263"/>
    <mergeCell ref="I242:I263"/>
    <mergeCell ref="B244:B247"/>
    <mergeCell ref="A268:A273"/>
    <mergeCell ref="G268:G271"/>
    <mergeCell ref="H268:H273"/>
    <mergeCell ref="I268:I273"/>
    <mergeCell ref="B248:B257"/>
    <mergeCell ref="G248:G257"/>
    <mergeCell ref="B259:B262"/>
    <mergeCell ref="G259:G262"/>
    <mergeCell ref="A264:A267"/>
    <mergeCell ref="H264:H267"/>
    <mergeCell ref="B272:B273"/>
    <mergeCell ref="G272:G273"/>
    <mergeCell ref="A278:A279"/>
    <mergeCell ref="H278:H279"/>
    <mergeCell ref="I278:I279"/>
    <mergeCell ref="J278:J313"/>
    <mergeCell ref="K278:K313"/>
    <mergeCell ref="A280:A281"/>
    <mergeCell ref="B280:B281"/>
    <mergeCell ref="G280:G281"/>
    <mergeCell ref="H280:H281"/>
    <mergeCell ref="I280:I281"/>
    <mergeCell ref="A282:A303"/>
    <mergeCell ref="H282:H303"/>
    <mergeCell ref="I282:I303"/>
    <mergeCell ref="B282:B283"/>
    <mergeCell ref="G282:G283"/>
    <mergeCell ref="A304:A307"/>
    <mergeCell ref="A344:A347"/>
    <mergeCell ref="H344:H347"/>
    <mergeCell ref="I344:I347"/>
    <mergeCell ref="A308:A313"/>
    <mergeCell ref="B308:B311"/>
    <mergeCell ref="G308:G311"/>
    <mergeCell ref="H308:H313"/>
    <mergeCell ref="I308:I313"/>
    <mergeCell ref="G316:K316"/>
    <mergeCell ref="C317:D317"/>
    <mergeCell ref="B312:B313"/>
    <mergeCell ref="G312:G313"/>
    <mergeCell ref="A348:A353"/>
    <mergeCell ref="B348:B351"/>
    <mergeCell ref="G348:G351"/>
    <mergeCell ref="H348:H353"/>
    <mergeCell ref="I348:I353"/>
    <mergeCell ref="G356:K356"/>
    <mergeCell ref="C357:D357"/>
    <mergeCell ref="A318:A319"/>
    <mergeCell ref="H318:H319"/>
    <mergeCell ref="I318:I319"/>
    <mergeCell ref="J318:J353"/>
    <mergeCell ref="K318:K353"/>
    <mergeCell ref="A320:A321"/>
    <mergeCell ref="B320:B321"/>
    <mergeCell ref="G320:G321"/>
    <mergeCell ref="H320:H321"/>
    <mergeCell ref="I320:I321"/>
    <mergeCell ref="A322:A343"/>
    <mergeCell ref="H322:H343"/>
    <mergeCell ref="I322:I343"/>
    <mergeCell ref="B324:B327"/>
    <mergeCell ref="G324:G327"/>
    <mergeCell ref="B328:B337"/>
    <mergeCell ref="G328:G337"/>
    <mergeCell ref="A388:A393"/>
    <mergeCell ref="B388:B391"/>
    <mergeCell ref="G388:G391"/>
    <mergeCell ref="H388:H393"/>
    <mergeCell ref="I388:I393"/>
    <mergeCell ref="G396:K396"/>
    <mergeCell ref="C397:D397"/>
    <mergeCell ref="A358:A359"/>
    <mergeCell ref="H358:H359"/>
    <mergeCell ref="I358:I359"/>
    <mergeCell ref="J358:J393"/>
    <mergeCell ref="K358:K393"/>
    <mergeCell ref="A360:A361"/>
    <mergeCell ref="B360:B361"/>
    <mergeCell ref="G360:G361"/>
    <mergeCell ref="H360:H361"/>
    <mergeCell ref="I360:I361"/>
    <mergeCell ref="A362:A383"/>
    <mergeCell ref="H362:H383"/>
    <mergeCell ref="I362:I383"/>
    <mergeCell ref="B364:B367"/>
    <mergeCell ref="G364:G367"/>
    <mergeCell ref="A384:A387"/>
    <mergeCell ref="H384:H387"/>
    <mergeCell ref="J398:J433"/>
    <mergeCell ref="K398:K433"/>
    <mergeCell ref="A400:A401"/>
    <mergeCell ref="B400:B401"/>
    <mergeCell ref="G400:G401"/>
    <mergeCell ref="H400:H401"/>
    <mergeCell ref="I400:I401"/>
    <mergeCell ref="A402:A423"/>
    <mergeCell ref="H402:H423"/>
    <mergeCell ref="I402:I423"/>
    <mergeCell ref="B404:B407"/>
    <mergeCell ref="G404:G407"/>
    <mergeCell ref="B408:B417"/>
    <mergeCell ref="G408:G417"/>
    <mergeCell ref="B419:B422"/>
    <mergeCell ref="G419:G422"/>
    <mergeCell ref="A424:A427"/>
    <mergeCell ref="H424:H427"/>
    <mergeCell ref="I424:I427"/>
    <mergeCell ref="A428:A433"/>
    <mergeCell ref="A398:A399"/>
    <mergeCell ref="H398:H399"/>
    <mergeCell ref="I398:I399"/>
    <mergeCell ref="B428:B431"/>
    <mergeCell ref="H428:H433"/>
    <mergeCell ref="I428:I433"/>
    <mergeCell ref="B268:B271"/>
    <mergeCell ref="B228:B231"/>
    <mergeCell ref="B202:B203"/>
    <mergeCell ref="G202:G203"/>
    <mergeCell ref="B232:B233"/>
    <mergeCell ref="B368:B377"/>
    <mergeCell ref="G368:G377"/>
    <mergeCell ref="B379:B382"/>
    <mergeCell ref="G379:G382"/>
    <mergeCell ref="H304:H307"/>
    <mergeCell ref="I304:I307"/>
    <mergeCell ref="B284:B287"/>
    <mergeCell ref="G284:G287"/>
    <mergeCell ref="B288:B297"/>
    <mergeCell ref="G288:G297"/>
    <mergeCell ref="B299:B302"/>
    <mergeCell ref="G299:G302"/>
    <mergeCell ref="B208:B217"/>
    <mergeCell ref="G232:G233"/>
    <mergeCell ref="B242:B243"/>
    <mergeCell ref="G242:G243"/>
    <mergeCell ref="I384:I387"/>
    <mergeCell ref="G72:G75"/>
    <mergeCell ref="H72:H77"/>
    <mergeCell ref="I72:I77"/>
    <mergeCell ref="B76:B77"/>
    <mergeCell ref="G76:G77"/>
    <mergeCell ref="B52:B61"/>
    <mergeCell ref="G52:G61"/>
    <mergeCell ref="B48:B51"/>
    <mergeCell ref="G48:G51"/>
    <mergeCell ref="A111:A116"/>
    <mergeCell ref="B111:B114"/>
    <mergeCell ref="G111:G114"/>
    <mergeCell ref="H111:H116"/>
    <mergeCell ref="I111:I116"/>
    <mergeCell ref="B115:B116"/>
    <mergeCell ref="G115:G116"/>
    <mergeCell ref="B91:B100"/>
    <mergeCell ref="G91:G100"/>
    <mergeCell ref="G150:G153"/>
    <mergeCell ref="H150:H155"/>
    <mergeCell ref="I150:I155"/>
    <mergeCell ref="B154:B155"/>
    <mergeCell ref="G154:G155"/>
    <mergeCell ref="B130:B139"/>
    <mergeCell ref="G130:G139"/>
    <mergeCell ref="B126:B129"/>
    <mergeCell ref="G126:G129"/>
    <mergeCell ref="G189:G192"/>
    <mergeCell ref="H189:H194"/>
    <mergeCell ref="I189:I194"/>
    <mergeCell ref="B193:B194"/>
    <mergeCell ref="G193:G194"/>
    <mergeCell ref="G165:G168"/>
    <mergeCell ref="B169:B178"/>
    <mergeCell ref="G169:G178"/>
    <mergeCell ref="B165:B168"/>
    <mergeCell ref="G219:G222"/>
    <mergeCell ref="G196:K196"/>
    <mergeCell ref="C197:D197"/>
    <mergeCell ref="G236:K236"/>
    <mergeCell ref="C237:D237"/>
    <mergeCell ref="G276:K276"/>
    <mergeCell ref="C277:D277"/>
    <mergeCell ref="G244:G247"/>
    <mergeCell ref="I264:I267"/>
    <mergeCell ref="B432:B433"/>
    <mergeCell ref="G432:G433"/>
    <mergeCell ref="B322:B323"/>
    <mergeCell ref="G322:G323"/>
    <mergeCell ref="B352:B353"/>
    <mergeCell ref="G352:G353"/>
    <mergeCell ref="B362:B363"/>
    <mergeCell ref="G362:G363"/>
    <mergeCell ref="B392:B393"/>
    <mergeCell ref="G392:G393"/>
    <mergeCell ref="B402:B403"/>
    <mergeCell ref="G402:G403"/>
    <mergeCell ref="G428:G431"/>
    <mergeCell ref="B339:B342"/>
    <mergeCell ref="G339:G342"/>
  </mergeCells>
  <conditionalFormatting sqref="A2:C2 L378:L384 L365:L372 L1:M4 G1 H39:K39 G40 M356:M359 E2:K2 M51:M65 L66:L78 L105:L115 L144:L156 L183:L195 L223:L235 L263:L273 L303:L313 L343:L355 M380:M393 M420:M434 D30:D31 L5:L37 L38:M50 L79:M89 L118:M128 L157:M167 L196:M206 L236:M246 L276:M286 L316:M326">
    <cfRule type="beginsWith" dxfId="10967" priority="7763" stopIfTrue="1" operator="beginsWith" text="Functioning At Risk">
      <formula>LEFT(A1,LEN("Functioning At Risk"))="Functioning At Risk"</formula>
    </cfRule>
    <cfRule type="beginsWith" dxfId="10966" priority="7764" stopIfTrue="1" operator="beginsWith" text="Not Functioning">
      <formula>LEFT(A1,LEN("Not Functioning"))="Not Functioning"</formula>
    </cfRule>
    <cfRule type="containsText" dxfId="10965" priority="7765" operator="containsText" text="Functioning">
      <formula>NOT(ISERROR(SEARCH("Functioning",A1)))</formula>
    </cfRule>
  </conditionalFormatting>
  <conditionalFormatting sqref="G79 M90:M104">
    <cfRule type="beginsWith" dxfId="10964" priority="7366" stopIfTrue="1" operator="beginsWith" text="Functioning At Risk">
      <formula>LEFT(G79,LEN("Functioning At Risk"))="Functioning At Risk"</formula>
    </cfRule>
    <cfRule type="beginsWith" dxfId="10963" priority="7367" stopIfTrue="1" operator="beginsWith" text="Not Functioning">
      <formula>LEFT(G79,LEN("Not Functioning"))="Not Functioning"</formula>
    </cfRule>
    <cfRule type="containsText" dxfId="10962" priority="7368" operator="containsText" text="Functioning">
      <formula>NOT(ISERROR(SEARCH("Functioning",G79)))</formula>
    </cfRule>
  </conditionalFormatting>
  <conditionalFormatting sqref="G196 M207:M222">
    <cfRule type="beginsWith" dxfId="10961" priority="7051" stopIfTrue="1" operator="beginsWith" text="Functioning At Risk">
      <formula>LEFT(G196,LEN("Functioning At Risk"))="Functioning At Risk"</formula>
    </cfRule>
    <cfRule type="beginsWith" dxfId="10960" priority="7052" stopIfTrue="1" operator="beginsWith" text="Not Functioning">
      <formula>LEFT(G196,LEN("Not Functioning"))="Not Functioning"</formula>
    </cfRule>
    <cfRule type="containsText" dxfId="10959" priority="7053" operator="containsText" text="Functioning">
      <formula>NOT(ISERROR(SEARCH("Functioning",G196)))</formula>
    </cfRule>
  </conditionalFormatting>
  <conditionalFormatting sqref="L116:L117">
    <cfRule type="beginsWith" dxfId="10958" priority="7262" stopIfTrue="1" operator="beginsWith" text="Functioning At Risk">
      <formula>LEFT(L116,LEN("Functioning At Risk"))="Functioning At Risk"</formula>
    </cfRule>
    <cfRule type="beginsWith" dxfId="10957" priority="7263" stopIfTrue="1" operator="beginsWith" text="Not Functioning">
      <formula>LEFT(L116,LEN("Not Functioning"))="Not Functioning"</formula>
    </cfRule>
    <cfRule type="containsText" dxfId="10956" priority="7264" operator="containsText" text="Functioning">
      <formula>NOT(ISERROR(SEARCH("Functioning",L116)))</formula>
    </cfRule>
  </conditionalFormatting>
  <conditionalFormatting sqref="G118 M129:M143">
    <cfRule type="beginsWith" dxfId="10955" priority="7259" stopIfTrue="1" operator="beginsWith" text="Functioning At Risk">
      <formula>LEFT(G118,LEN("Functioning At Risk"))="Functioning At Risk"</formula>
    </cfRule>
    <cfRule type="beginsWith" dxfId="10954" priority="7260" stopIfTrue="1" operator="beginsWith" text="Not Functioning">
      <formula>LEFT(G118,LEN("Not Functioning"))="Not Functioning"</formula>
    </cfRule>
    <cfRule type="containsText" dxfId="10953" priority="7261" operator="containsText" text="Functioning">
      <formula>NOT(ISERROR(SEARCH("Functioning",G118)))</formula>
    </cfRule>
  </conditionalFormatting>
  <conditionalFormatting sqref="G157 M168:M182">
    <cfRule type="beginsWith" dxfId="10952" priority="7155" stopIfTrue="1" operator="beginsWith" text="Functioning At Risk">
      <formula>LEFT(G157,LEN("Functioning At Risk"))="Functioning At Risk"</formula>
    </cfRule>
    <cfRule type="beginsWith" dxfId="10951" priority="7156" stopIfTrue="1" operator="beginsWith" text="Not Functioning">
      <formula>LEFT(G157,LEN("Not Functioning"))="Not Functioning"</formula>
    </cfRule>
    <cfRule type="containsText" dxfId="10950" priority="7157" operator="containsText" text="Functioning">
      <formula>NOT(ISERROR(SEARCH("Functioning",G157)))</formula>
    </cfRule>
  </conditionalFormatting>
  <conditionalFormatting sqref="G236 M247:M262">
    <cfRule type="beginsWith" dxfId="10949" priority="6947" stopIfTrue="1" operator="beginsWith" text="Functioning At Risk">
      <formula>LEFT(G236,LEN("Functioning At Risk"))="Functioning At Risk"</formula>
    </cfRule>
    <cfRule type="beginsWith" dxfId="10948" priority="6948" stopIfTrue="1" operator="beginsWith" text="Not Functioning">
      <formula>LEFT(G236,LEN("Not Functioning"))="Not Functioning"</formula>
    </cfRule>
    <cfRule type="containsText" dxfId="10947" priority="6949" operator="containsText" text="Functioning">
      <formula>NOT(ISERROR(SEARCH("Functioning",G236)))</formula>
    </cfRule>
  </conditionalFormatting>
  <conditionalFormatting sqref="L274:L275">
    <cfRule type="beginsWith" dxfId="10946" priority="6843" stopIfTrue="1" operator="beginsWith" text="Functioning At Risk">
      <formula>LEFT(L274,LEN("Functioning At Risk"))="Functioning At Risk"</formula>
    </cfRule>
    <cfRule type="beginsWith" dxfId="10945" priority="6844" stopIfTrue="1" operator="beginsWith" text="Not Functioning">
      <formula>LEFT(L274,LEN("Not Functioning"))="Not Functioning"</formula>
    </cfRule>
    <cfRule type="containsText" dxfId="10944" priority="6845" operator="containsText" text="Functioning">
      <formula>NOT(ISERROR(SEARCH("Functioning",L274)))</formula>
    </cfRule>
  </conditionalFormatting>
  <conditionalFormatting sqref="G276 M287:M302">
    <cfRule type="beginsWith" dxfId="10943" priority="6840" stopIfTrue="1" operator="beginsWith" text="Functioning At Risk">
      <formula>LEFT(G276,LEN("Functioning At Risk"))="Functioning At Risk"</formula>
    </cfRule>
    <cfRule type="beginsWith" dxfId="10942" priority="6841" stopIfTrue="1" operator="beginsWith" text="Not Functioning">
      <formula>LEFT(G276,LEN("Not Functioning"))="Not Functioning"</formula>
    </cfRule>
    <cfRule type="containsText" dxfId="10941" priority="6842" operator="containsText" text="Functioning">
      <formula>NOT(ISERROR(SEARCH("Functioning",G276)))</formula>
    </cfRule>
  </conditionalFormatting>
  <conditionalFormatting sqref="L314:L315">
    <cfRule type="beginsWith" dxfId="10940" priority="6736" stopIfTrue="1" operator="beginsWith" text="Functioning At Risk">
      <formula>LEFT(L314,LEN("Functioning At Risk"))="Functioning At Risk"</formula>
    </cfRule>
    <cfRule type="beginsWith" dxfId="10939" priority="6737" stopIfTrue="1" operator="beginsWith" text="Not Functioning">
      <formula>LEFT(L314,LEN("Not Functioning"))="Not Functioning"</formula>
    </cfRule>
    <cfRule type="containsText" dxfId="10938" priority="6738" operator="containsText" text="Functioning">
      <formula>NOT(ISERROR(SEARCH("Functioning",L314)))</formula>
    </cfRule>
  </conditionalFormatting>
  <conditionalFormatting sqref="G316 M327:M342">
    <cfRule type="beginsWith" dxfId="10937" priority="6733" stopIfTrue="1" operator="beginsWith" text="Functioning At Risk">
      <formula>LEFT(G316,LEN("Functioning At Risk"))="Functioning At Risk"</formula>
    </cfRule>
    <cfRule type="beginsWith" dxfId="10936" priority="6734" stopIfTrue="1" operator="beginsWith" text="Not Functioning">
      <formula>LEFT(G316,LEN("Not Functioning"))="Not Functioning"</formula>
    </cfRule>
    <cfRule type="containsText" dxfId="10935" priority="6735" operator="containsText" text="Functioning">
      <formula>NOT(ISERROR(SEARCH("Functioning",G316)))</formula>
    </cfRule>
  </conditionalFormatting>
  <conditionalFormatting sqref="G356">
    <cfRule type="beginsWith" dxfId="10934" priority="6629" stopIfTrue="1" operator="beginsWith" text="Functioning At Risk">
      <formula>LEFT(G356,LEN("Functioning At Risk"))="Functioning At Risk"</formula>
    </cfRule>
    <cfRule type="beginsWith" dxfId="10933" priority="6630" stopIfTrue="1" operator="beginsWith" text="Not Functioning">
      <formula>LEFT(G356,LEN("Not Functioning"))="Not Functioning"</formula>
    </cfRule>
    <cfRule type="containsText" dxfId="10932" priority="6631" operator="containsText" text="Functioning">
      <formula>NOT(ISERROR(SEARCH("Functioning",G356)))</formula>
    </cfRule>
  </conditionalFormatting>
  <conditionalFormatting sqref="L418:L424 L405:L412 M396:M399 L394:L395">
    <cfRule type="beginsWith" dxfId="10931" priority="6525" stopIfTrue="1" operator="beginsWith" text="Functioning At Risk">
      <formula>LEFT(L394,LEN("Functioning At Risk"))="Functioning At Risk"</formula>
    </cfRule>
    <cfRule type="beginsWith" dxfId="10930" priority="6526" stopIfTrue="1" operator="beginsWith" text="Not Functioning">
      <formula>LEFT(L394,LEN("Not Functioning"))="Not Functioning"</formula>
    </cfRule>
    <cfRule type="containsText" dxfId="10929" priority="6527" operator="containsText" text="Functioning">
      <formula>NOT(ISERROR(SEARCH("Functioning",L394)))</formula>
    </cfRule>
  </conditionalFormatting>
  <conditionalFormatting sqref="G396">
    <cfRule type="beginsWith" dxfId="10928" priority="6522" stopIfTrue="1" operator="beginsWith" text="Functioning At Risk">
      <formula>LEFT(G396,LEN("Functioning At Risk"))="Functioning At Risk"</formula>
    </cfRule>
    <cfRule type="beginsWith" dxfId="10927" priority="6523" stopIfTrue="1" operator="beginsWith" text="Not Functioning">
      <formula>LEFT(G396,LEN("Not Functioning"))="Not Functioning"</formula>
    </cfRule>
    <cfRule type="containsText" dxfId="10926" priority="6524" operator="containsText" text="Functioning">
      <formula>NOT(ISERROR(SEARCH("Functioning",G396)))</formula>
    </cfRule>
  </conditionalFormatting>
  <conditionalFormatting sqref="I33:I37 B31:B32 D21 B24 A5:B5 A33:B35 H7:I8 H5:I5 H3:K4 A7:B7 A36:A37 D13:D15 B28:B29 A8 D33:D36 D5:D8 D24:D28">
    <cfRule type="beginsWith" dxfId="10925" priority="6322" stopIfTrue="1" operator="beginsWith" text="Functioning At Risk">
      <formula>LEFT(A3,LEN("Functioning At Risk"))="Functioning At Risk"</formula>
    </cfRule>
    <cfRule type="beginsWith" dxfId="10924" priority="6323" stopIfTrue="1" operator="beginsWith" text="Not Functioning">
      <formula>LEFT(A3,LEN("Not Functioning"))="Not Functioning"</formula>
    </cfRule>
    <cfRule type="containsText" dxfId="10923" priority="6324" operator="containsText" text="Functioning">
      <formula>NOT(ISERROR(SEARCH("Functioning",A3)))</formula>
    </cfRule>
  </conditionalFormatting>
  <conditionalFormatting sqref="D16">
    <cfRule type="beginsWith" dxfId="10922" priority="6316" stopIfTrue="1" operator="beginsWith" text="Functioning At Risk">
      <formula>LEFT(D16,LEN("Functioning At Risk"))="Functioning At Risk"</formula>
    </cfRule>
    <cfRule type="beginsWith" dxfId="10921" priority="6317" stopIfTrue="1" operator="beginsWith" text="Not Functioning">
      <formula>LEFT(D16,LEN("Not Functioning"))="Not Functioning"</formula>
    </cfRule>
    <cfRule type="containsText" dxfId="10920" priority="6318" operator="containsText" text="Functioning">
      <formula>NOT(ISERROR(SEARCH("Functioning",D16)))</formula>
    </cfRule>
  </conditionalFormatting>
  <conditionalFormatting sqref="D22">
    <cfRule type="beginsWith" dxfId="10919" priority="6313" stopIfTrue="1" operator="beginsWith" text="Functioning At Risk">
      <formula>LEFT(D22,LEN("Functioning At Risk"))="Functioning At Risk"</formula>
    </cfRule>
    <cfRule type="beginsWith" dxfId="10918" priority="6314" stopIfTrue="1" operator="beginsWith" text="Not Functioning">
      <formula>LEFT(D22,LEN("Not Functioning"))="Not Functioning"</formula>
    </cfRule>
    <cfRule type="containsText" dxfId="10917" priority="6315" operator="containsText" text="Functioning">
      <formula>NOT(ISERROR(SEARCH("Functioning",D22)))</formula>
    </cfRule>
  </conditionalFormatting>
  <conditionalFormatting sqref="D23">
    <cfRule type="beginsWith" dxfId="10916" priority="6310" stopIfTrue="1" operator="beginsWith" text="Functioning At Risk">
      <formula>LEFT(D23,LEN("Functioning At Risk"))="Functioning At Risk"</formula>
    </cfRule>
    <cfRule type="beginsWith" dxfId="10915" priority="6311" stopIfTrue="1" operator="beginsWith" text="Not Functioning">
      <formula>LEFT(D23,LEN("Not Functioning"))="Not Functioning"</formula>
    </cfRule>
    <cfRule type="containsText" dxfId="10914" priority="6312" operator="containsText" text="Functioning">
      <formula>NOT(ISERROR(SEARCH("Functioning",D23)))</formula>
    </cfRule>
  </conditionalFormatting>
  <conditionalFormatting sqref="D17:D20">
    <cfRule type="beginsWith" dxfId="10913" priority="6286" stopIfTrue="1" operator="beginsWith" text="Functioning At Risk">
      <formula>LEFT(D17,LEN("Functioning At Risk"))="Functioning At Risk"</formula>
    </cfRule>
    <cfRule type="beginsWith" dxfId="10912" priority="6287" stopIfTrue="1" operator="beginsWith" text="Not Functioning">
      <formula>LEFT(D17,LEN("Not Functioning"))="Not Functioning"</formula>
    </cfRule>
    <cfRule type="containsText" dxfId="10911" priority="6288" operator="containsText" text="Functioning">
      <formula>NOT(ISERROR(SEARCH("Functioning",D17)))</formula>
    </cfRule>
  </conditionalFormatting>
  <conditionalFormatting sqref="A29">
    <cfRule type="beginsWith" dxfId="10910" priority="6277" stopIfTrue="1" operator="beginsWith" text="Functioning At Risk">
      <formula>LEFT(A29,LEN("Functioning At Risk"))="Functioning At Risk"</formula>
    </cfRule>
    <cfRule type="beginsWith" dxfId="10909" priority="6278" stopIfTrue="1" operator="beginsWith" text="Not Functioning">
      <formula>LEFT(A29,LEN("Not Functioning"))="Not Functioning"</formula>
    </cfRule>
    <cfRule type="containsText" dxfId="10908" priority="6279" operator="containsText" text="Functioning">
      <formula>NOT(ISERROR(SEARCH("Functioning",A29)))</formula>
    </cfRule>
  </conditionalFormatting>
  <conditionalFormatting sqref="H29">
    <cfRule type="beginsWith" dxfId="10907" priority="6274" stopIfTrue="1" operator="beginsWith" text="Functioning At Risk">
      <formula>LEFT(H29,LEN("Functioning At Risk"))="Functioning At Risk"</formula>
    </cfRule>
    <cfRule type="beginsWith" dxfId="10906" priority="6275" stopIfTrue="1" operator="beginsWith" text="Not Functioning">
      <formula>LEFT(H29,LEN("Not Functioning"))="Not Functioning"</formula>
    </cfRule>
    <cfRule type="containsText" dxfId="10905" priority="6276" operator="containsText" text="Functioning">
      <formula>NOT(ISERROR(SEARCH("Functioning",H29)))</formula>
    </cfRule>
  </conditionalFormatting>
  <conditionalFormatting sqref="I29">
    <cfRule type="beginsWith" dxfId="10904" priority="6271" stopIfTrue="1" operator="beginsWith" text="Functioning At Risk">
      <formula>LEFT(I29,LEN("Functioning At Risk"))="Functioning At Risk"</formula>
    </cfRule>
    <cfRule type="beginsWith" dxfId="10903" priority="6272" stopIfTrue="1" operator="beginsWith" text="Not Functioning">
      <formula>LEFT(I29,LEN("Not Functioning"))="Not Functioning"</formula>
    </cfRule>
    <cfRule type="containsText" dxfId="10902" priority="6273" operator="containsText" text="Functioning">
      <formula>NOT(ISERROR(SEARCH("Functioning",I29)))</formula>
    </cfRule>
  </conditionalFormatting>
  <conditionalFormatting sqref="D37">
    <cfRule type="beginsWith" dxfId="10901" priority="6267" stopIfTrue="1" operator="beginsWith" text="Functioning At Risk">
      <formula>LEFT(D37,LEN("Functioning At Risk"))="Functioning At Risk"</formula>
    </cfRule>
    <cfRule type="beginsWith" dxfId="10900" priority="6268" stopIfTrue="1" operator="beginsWith" text="Not Functioning">
      <formula>LEFT(D37,LEN("Not Functioning"))="Not Functioning"</formula>
    </cfRule>
    <cfRule type="containsText" dxfId="10899" priority="6269" operator="containsText" text="Functioning">
      <formula>NOT(ISERROR(SEARCH("Functioning",D37)))</formula>
    </cfRule>
  </conditionalFormatting>
  <conditionalFormatting sqref="D38">
    <cfRule type="beginsWith" dxfId="10898" priority="6264" stopIfTrue="1" operator="beginsWith" text="Functioning At Risk">
      <formula>LEFT(D38,LEN("Functioning At Risk"))="Functioning At Risk"</formula>
    </cfRule>
    <cfRule type="beginsWith" dxfId="10897" priority="6265" stopIfTrue="1" operator="beginsWith" text="Not Functioning">
      <formula>LEFT(D38,LEN("Not Functioning"))="Not Functioning"</formula>
    </cfRule>
    <cfRule type="containsText" dxfId="10896" priority="6266" operator="containsText" text="Functioning">
      <formula>NOT(ISERROR(SEARCH("Functioning",D38)))</formula>
    </cfRule>
  </conditionalFormatting>
  <conditionalFormatting sqref="B37">
    <cfRule type="beginsWith" dxfId="10895" priority="6261" stopIfTrue="1" operator="beginsWith" text="Functioning At Risk">
      <formula>LEFT(B37,LEN("Functioning At Risk"))="Functioning At Risk"</formula>
    </cfRule>
    <cfRule type="beginsWith" dxfId="10894" priority="6262" stopIfTrue="1" operator="beginsWith" text="Not Functioning">
      <formula>LEFT(B37,LEN("Not Functioning"))="Not Functioning"</formula>
    </cfRule>
    <cfRule type="containsText" dxfId="10893" priority="6263" operator="containsText" text="Functioning">
      <formula>NOT(ISERROR(SEARCH("Functioning",B37)))</formula>
    </cfRule>
  </conditionalFormatting>
  <conditionalFormatting sqref="B13">
    <cfRule type="beginsWith" dxfId="10892" priority="6242" stopIfTrue="1" operator="beginsWith" text="Functioning At Risk">
      <formula>LEFT(B13,LEN("Functioning At Risk"))="Functioning At Risk"</formula>
    </cfRule>
    <cfRule type="beginsWith" dxfId="10891" priority="6243" stopIfTrue="1" operator="beginsWith" text="Not Functioning">
      <formula>LEFT(B13,LEN("Not Functioning"))="Not Functioning"</formula>
    </cfRule>
    <cfRule type="containsText" dxfId="10890" priority="6244" operator="containsText" text="Functioning">
      <formula>NOT(ISERROR(SEARCH("Functioning",B13)))</formula>
    </cfRule>
  </conditionalFormatting>
  <conditionalFormatting sqref="E37 E5:E6 E29">
    <cfRule type="beginsWith" dxfId="10889" priority="5112" stopIfTrue="1" operator="beginsWith" text="Functioning At Risk">
      <formula>LEFT(E5,LEN("Functioning At Risk"))="Functioning At Risk"</formula>
    </cfRule>
    <cfRule type="beginsWith" dxfId="10888" priority="5113" stopIfTrue="1" operator="beginsWith" text="Not Functioning">
      <formula>LEFT(E5,LEN("Not Functioning"))="Not Functioning"</formula>
    </cfRule>
    <cfRule type="containsText" dxfId="10887" priority="5114" operator="containsText" text="Functioning">
      <formula>NOT(ISERROR(SEARCH("Functioning",E5)))</formula>
    </cfRule>
  </conditionalFormatting>
  <conditionalFormatting sqref="E38">
    <cfRule type="beginsWith" dxfId="10886" priority="5107" stopIfTrue="1" operator="beginsWith" text="Functioning At Risk">
      <formula>LEFT(E38,LEN("Functioning At Risk"))="Functioning At Risk"</formula>
    </cfRule>
    <cfRule type="beginsWith" dxfId="10885" priority="5108" stopIfTrue="1" operator="beginsWith" text="Not Functioning">
      <formula>LEFT(E38,LEN("Not Functioning"))="Not Functioning"</formula>
    </cfRule>
    <cfRule type="containsText" dxfId="10884" priority="5109" operator="containsText" text="Functioning">
      <formula>NOT(ISERROR(SEARCH("Functioning",E38)))</formula>
    </cfRule>
  </conditionalFormatting>
  <conditionalFormatting sqref="E29">
    <cfRule type="expression" dxfId="10883" priority="5102">
      <formula>B1048488="Level 4 - Physicochemical"</formula>
    </cfRule>
    <cfRule type="expression" dxfId="10882" priority="5106">
      <formula>B1048488="Level 5 - Biology"</formula>
    </cfRule>
  </conditionalFormatting>
  <conditionalFormatting sqref="E31">
    <cfRule type="expression" dxfId="10881" priority="5101">
      <formula>B1048488="Level 4 - Physicochemical"</formula>
    </cfRule>
    <cfRule type="expression" dxfId="10880" priority="5105">
      <formula>B1048488="Level 5 - Biology"</formula>
    </cfRule>
  </conditionalFormatting>
  <conditionalFormatting sqref="E32">
    <cfRule type="expression" dxfId="10879" priority="5100">
      <formula>B1048488="Level 4 - Physicochemical"</formula>
    </cfRule>
    <cfRule type="expression" dxfId="10878" priority="5104">
      <formula>B1048488="Level 5 - Biology"</formula>
    </cfRule>
  </conditionalFormatting>
  <conditionalFormatting sqref="E38">
    <cfRule type="expression" dxfId="10877" priority="5103">
      <formula>B1048488="Level 5 - Biology"</formula>
    </cfRule>
  </conditionalFormatting>
  <conditionalFormatting sqref="E30">
    <cfRule type="expression" dxfId="10876" priority="5118">
      <formula>B1048489="Level 4 - Physicochemical"</formula>
    </cfRule>
    <cfRule type="expression" dxfId="10875" priority="5119">
      <formula>B1048489="Level 5 - Biology"</formula>
    </cfRule>
  </conditionalFormatting>
  <conditionalFormatting sqref="E37">
    <cfRule type="expression" dxfId="10874" priority="5120">
      <formula>B1048490="Level 5 - Biology"</formula>
    </cfRule>
  </conditionalFormatting>
  <conditionalFormatting sqref="E27:E28">
    <cfRule type="beginsWith" dxfId="10873" priority="5091" stopIfTrue="1" operator="beginsWith" text="Functioning At Risk">
      <formula>LEFT(E27,LEN("Functioning At Risk"))="Functioning At Risk"</formula>
    </cfRule>
    <cfRule type="beginsWith" dxfId="10872" priority="5092" stopIfTrue="1" operator="beginsWith" text="Not Functioning">
      <formula>LEFT(E27,LEN("Not Functioning"))="Not Functioning"</formula>
    </cfRule>
    <cfRule type="containsText" dxfId="10871" priority="5093" operator="containsText" text="Functioning">
      <formula>NOT(ISERROR(SEARCH("Functioning",E27)))</formula>
    </cfRule>
  </conditionalFormatting>
  <conditionalFormatting sqref="E36">
    <cfRule type="expression" dxfId="10870" priority="5086">
      <formula>B1048418="Level 5 - Biology"</formula>
    </cfRule>
  </conditionalFormatting>
  <conditionalFormatting sqref="E33:E36">
    <cfRule type="beginsWith" dxfId="10869" priority="5083" stopIfTrue="1" operator="beginsWith" text="Functioning At Risk">
      <formula>LEFT(E33,LEN("Functioning At Risk"))="Functioning At Risk"</formula>
    </cfRule>
    <cfRule type="beginsWith" dxfId="10868" priority="5084" stopIfTrue="1" operator="beginsWith" text="Not Functioning">
      <formula>LEFT(E33,LEN("Not Functioning"))="Not Functioning"</formula>
    </cfRule>
    <cfRule type="containsText" dxfId="10867" priority="5085" operator="containsText" text="Functioning">
      <formula>NOT(ISERROR(SEARCH("Functioning",E33)))</formula>
    </cfRule>
  </conditionalFormatting>
  <conditionalFormatting sqref="E33:E35">
    <cfRule type="expression" dxfId="10866" priority="5087">
      <formula>B1048417="Level 5 - Biology"</formula>
    </cfRule>
  </conditionalFormatting>
  <conditionalFormatting sqref="C13:C15 C30:C31 C24:C25 C36 C28 C5:C8 C33:C34">
    <cfRule type="beginsWith" dxfId="10865" priority="3842" stopIfTrue="1" operator="beginsWith" text="Functioning At Risk">
      <formula>LEFT(C5,LEN("Functioning At Risk"))="Functioning At Risk"</formula>
    </cfRule>
    <cfRule type="beginsWith" dxfId="10864" priority="3843" stopIfTrue="1" operator="beginsWith" text="Not Functioning">
      <formula>LEFT(C5,LEN("Not Functioning"))="Not Functioning"</formula>
    </cfRule>
    <cfRule type="containsText" dxfId="10863" priority="3844" operator="containsText" text="Functioning">
      <formula>NOT(ISERROR(SEARCH("Functioning",C5)))</formula>
    </cfRule>
  </conditionalFormatting>
  <conditionalFormatting sqref="C16">
    <cfRule type="beginsWith" dxfId="10862" priority="3839" stopIfTrue="1" operator="beginsWith" text="Functioning At Risk">
      <formula>LEFT(C16,LEN("Functioning At Risk"))="Functioning At Risk"</formula>
    </cfRule>
    <cfRule type="beginsWith" dxfId="10861" priority="3840" stopIfTrue="1" operator="beginsWith" text="Not Functioning">
      <formula>LEFT(C16,LEN("Not Functioning"))="Not Functioning"</formula>
    </cfRule>
    <cfRule type="containsText" dxfId="10860" priority="3841" operator="containsText" text="Functioning">
      <formula>NOT(ISERROR(SEARCH("Functioning",C16)))</formula>
    </cfRule>
  </conditionalFormatting>
  <conditionalFormatting sqref="C23">
    <cfRule type="beginsWith" dxfId="10859" priority="3836" stopIfTrue="1" operator="beginsWith" text="Functioning At Risk">
      <formula>LEFT(C23,LEN("Functioning At Risk"))="Functioning At Risk"</formula>
    </cfRule>
    <cfRule type="beginsWith" dxfId="10858" priority="3837" stopIfTrue="1" operator="beginsWith" text="Not Functioning">
      <formula>LEFT(C23,LEN("Not Functioning"))="Not Functioning"</formula>
    </cfRule>
    <cfRule type="containsText" dxfId="10857" priority="3838" operator="containsText" text="Functioning">
      <formula>NOT(ISERROR(SEARCH("Functioning",C23)))</formula>
    </cfRule>
  </conditionalFormatting>
  <conditionalFormatting sqref="C17:C20">
    <cfRule type="beginsWith" dxfId="10856" priority="3833" stopIfTrue="1" operator="beginsWith" text="Functioning At Risk">
      <formula>LEFT(C17,LEN("Functioning At Risk"))="Functioning At Risk"</formula>
    </cfRule>
    <cfRule type="beginsWith" dxfId="10855" priority="3834" stopIfTrue="1" operator="beginsWith" text="Not Functioning">
      <formula>LEFT(C17,LEN("Not Functioning"))="Not Functioning"</formula>
    </cfRule>
    <cfRule type="containsText" dxfId="10854" priority="3835" operator="containsText" text="Functioning">
      <formula>NOT(ISERROR(SEARCH("Functioning",C17)))</formula>
    </cfRule>
  </conditionalFormatting>
  <conditionalFormatting sqref="C26">
    <cfRule type="beginsWith" dxfId="10853" priority="3830" stopIfTrue="1" operator="beginsWith" text="Functioning At Risk">
      <formula>LEFT(C26,LEN("Functioning At Risk"))="Functioning At Risk"</formula>
    </cfRule>
    <cfRule type="beginsWith" dxfId="10852" priority="3831" stopIfTrue="1" operator="beginsWith" text="Not Functioning">
      <formula>LEFT(C26,LEN("Not Functioning"))="Not Functioning"</formula>
    </cfRule>
    <cfRule type="containsText" dxfId="10851" priority="3832" operator="containsText" text="Functioning">
      <formula>NOT(ISERROR(SEARCH("Functioning",C26)))</formula>
    </cfRule>
  </conditionalFormatting>
  <conditionalFormatting sqref="C27">
    <cfRule type="beginsWith" dxfId="10850" priority="3827" stopIfTrue="1" operator="beginsWith" text="Functioning At Risk">
      <formula>LEFT(C27,LEN("Functioning At Risk"))="Functioning At Risk"</formula>
    </cfRule>
    <cfRule type="beginsWith" dxfId="10849" priority="3828" stopIfTrue="1" operator="beginsWith" text="Not Functioning">
      <formula>LEFT(C27,LEN("Not Functioning"))="Not Functioning"</formula>
    </cfRule>
    <cfRule type="containsText" dxfId="10848" priority="3829" operator="containsText" text="Functioning">
      <formula>NOT(ISERROR(SEARCH("Functioning",C27)))</formula>
    </cfRule>
  </conditionalFormatting>
  <conditionalFormatting sqref="C38">
    <cfRule type="beginsWith" dxfId="10847" priority="3821" stopIfTrue="1" operator="beginsWith" text="Functioning At Risk">
      <formula>LEFT(C38,LEN("Functioning At Risk"))="Functioning At Risk"</formula>
    </cfRule>
    <cfRule type="beginsWith" dxfId="10846" priority="3822" stopIfTrue="1" operator="beginsWith" text="Not Functioning">
      <formula>LEFT(C38,LEN("Not Functioning"))="Not Functioning"</formula>
    </cfRule>
    <cfRule type="containsText" dxfId="10845" priority="3823" operator="containsText" text="Functioning">
      <formula>NOT(ISERROR(SEARCH("Functioning",C38)))</formula>
    </cfRule>
  </conditionalFormatting>
  <conditionalFormatting sqref="C37">
    <cfRule type="beginsWith" dxfId="10844" priority="3824" stopIfTrue="1" operator="beginsWith" text="Functioning At Risk">
      <formula>LEFT(C37,LEN("Functioning At Risk"))="Functioning At Risk"</formula>
    </cfRule>
    <cfRule type="beginsWith" dxfId="10843" priority="3825" stopIfTrue="1" operator="beginsWith" text="Not Functioning">
      <formula>LEFT(C37,LEN("Not Functioning"))="Not Functioning"</formula>
    </cfRule>
    <cfRule type="containsText" dxfId="10842" priority="3826" operator="containsText" text="Functioning">
      <formula>NOT(ISERROR(SEARCH("Functioning",C37)))</formula>
    </cfRule>
  </conditionalFormatting>
  <conditionalFormatting sqref="C35">
    <cfRule type="beginsWith" dxfId="10841" priority="3818" stopIfTrue="1" operator="beginsWith" text="Functioning At Risk">
      <formula>LEFT(C35,LEN("Functioning At Risk"))="Functioning At Risk"</formula>
    </cfRule>
    <cfRule type="beginsWith" dxfId="10840" priority="3819" stopIfTrue="1" operator="beginsWith" text="Not Functioning">
      <formula>LEFT(C35,LEN("Not Functioning"))="Not Functioning"</formula>
    </cfRule>
    <cfRule type="containsText" dxfId="10839" priority="3820" operator="containsText" text="Functioning">
      <formula>NOT(ISERROR(SEARCH("Functioning",C35)))</formula>
    </cfRule>
  </conditionalFormatting>
  <conditionalFormatting sqref="C21:C22">
    <cfRule type="beginsWith" dxfId="10838" priority="3815" stopIfTrue="1" operator="beginsWith" text="Functioning At Risk">
      <formula>LEFT(C21,LEN("Functioning At Risk"))="Functioning At Risk"</formula>
    </cfRule>
    <cfRule type="beginsWith" dxfId="10837" priority="3816" stopIfTrue="1" operator="beginsWith" text="Not Functioning">
      <formula>LEFT(C21,LEN("Not Functioning"))="Not Functioning"</formula>
    </cfRule>
    <cfRule type="containsText" dxfId="10836" priority="3817" operator="containsText" text="Functioning">
      <formula>NOT(ISERROR(SEARCH("Functioning",C21)))</formula>
    </cfRule>
  </conditionalFormatting>
  <conditionalFormatting sqref="E24">
    <cfRule type="beginsWith" dxfId="10835" priority="3248" stopIfTrue="1" operator="beginsWith" text="Functioning At Risk">
      <formula>LEFT(E24,LEN("Functioning At Risk"))="Functioning At Risk"</formula>
    </cfRule>
    <cfRule type="beginsWith" dxfId="10834" priority="3249" stopIfTrue="1" operator="beginsWith" text="Not Functioning">
      <formula>LEFT(E24,LEN("Not Functioning"))="Not Functioning"</formula>
    </cfRule>
    <cfRule type="containsText" dxfId="10833" priority="3250" operator="containsText" text="Functioning">
      <formula>NOT(ISERROR(SEARCH("Functioning",E24)))</formula>
    </cfRule>
  </conditionalFormatting>
  <conditionalFormatting sqref="E26">
    <cfRule type="beginsWith" dxfId="10832" priority="3242" stopIfTrue="1" operator="beginsWith" text="Functioning At Risk">
      <formula>LEFT(E26,LEN("Functioning At Risk"))="Functioning At Risk"</formula>
    </cfRule>
    <cfRule type="beginsWith" dxfId="10831" priority="3243" stopIfTrue="1" operator="beginsWith" text="Not Functioning">
      <formula>LEFT(E26,LEN("Not Functioning"))="Not Functioning"</formula>
    </cfRule>
    <cfRule type="containsText" dxfId="10830" priority="3244" operator="containsText" text="Functioning">
      <formula>NOT(ISERROR(SEARCH("Functioning",E26)))</formula>
    </cfRule>
  </conditionalFormatting>
  <conditionalFormatting sqref="E25">
    <cfRule type="beginsWith" dxfId="10829" priority="3023" stopIfTrue="1" operator="beginsWith" text="Functioning At Risk">
      <formula>LEFT(E25,LEN("Functioning At Risk"))="Functioning At Risk"</formula>
    </cfRule>
    <cfRule type="beginsWith" dxfId="10828" priority="3024" stopIfTrue="1" operator="beginsWith" text="Not Functioning">
      <formula>LEFT(E25,LEN("Not Functioning"))="Not Functioning"</formula>
    </cfRule>
    <cfRule type="containsText" dxfId="10827" priority="3025" operator="containsText" text="Functioning">
      <formula>NOT(ISERROR(SEARCH("Functioning",E25)))</formula>
    </cfRule>
  </conditionalFormatting>
  <conditionalFormatting sqref="A41:C41 E41:K41 D69:D70">
    <cfRule type="beginsWith" dxfId="10826" priority="2897" stopIfTrue="1" operator="beginsWith" text="Functioning At Risk">
      <formula>LEFT(A41,LEN("Functioning At Risk"))="Functioning At Risk"</formula>
    </cfRule>
    <cfRule type="beginsWith" dxfId="10825" priority="2898" stopIfTrue="1" operator="beginsWith" text="Not Functioning">
      <formula>LEFT(A41,LEN("Not Functioning"))="Not Functioning"</formula>
    </cfRule>
    <cfRule type="containsText" dxfId="10824" priority="2899" operator="containsText" text="Functioning">
      <formula>NOT(ISERROR(SEARCH("Functioning",A41)))</formula>
    </cfRule>
  </conditionalFormatting>
  <conditionalFormatting sqref="I72:I76 B70:B71 D60 B63 A44:B44 A72:B74 H46:I47 H44:I44 H42:K43 A46:B46 A75:A76 D52:D54 B67:B68 A47 D72:D75 D44:D47 D63:D67">
    <cfRule type="beginsWith" dxfId="10823" priority="2894" stopIfTrue="1" operator="beginsWith" text="Functioning At Risk">
      <formula>LEFT(A42,LEN("Functioning At Risk"))="Functioning At Risk"</formula>
    </cfRule>
    <cfRule type="beginsWith" dxfId="10822" priority="2895" stopIfTrue="1" operator="beginsWith" text="Not Functioning">
      <formula>LEFT(A42,LEN("Not Functioning"))="Not Functioning"</formula>
    </cfRule>
    <cfRule type="containsText" dxfId="10821" priority="2896" operator="containsText" text="Functioning">
      <formula>NOT(ISERROR(SEARCH("Functioning",A42)))</formula>
    </cfRule>
  </conditionalFormatting>
  <conditionalFormatting sqref="D55">
    <cfRule type="beginsWith" dxfId="10820" priority="2888" stopIfTrue="1" operator="beginsWith" text="Functioning At Risk">
      <formula>LEFT(D55,LEN("Functioning At Risk"))="Functioning At Risk"</formula>
    </cfRule>
    <cfRule type="beginsWith" dxfId="10819" priority="2889" stopIfTrue="1" operator="beginsWith" text="Not Functioning">
      <formula>LEFT(D55,LEN("Not Functioning"))="Not Functioning"</formula>
    </cfRule>
    <cfRule type="containsText" dxfId="10818" priority="2890" operator="containsText" text="Functioning">
      <formula>NOT(ISERROR(SEARCH("Functioning",D55)))</formula>
    </cfRule>
  </conditionalFormatting>
  <conditionalFormatting sqref="D61">
    <cfRule type="beginsWith" dxfId="10817" priority="2885" stopIfTrue="1" operator="beginsWith" text="Functioning At Risk">
      <formula>LEFT(D61,LEN("Functioning At Risk"))="Functioning At Risk"</formula>
    </cfRule>
    <cfRule type="beginsWith" dxfId="10816" priority="2886" stopIfTrue="1" operator="beginsWith" text="Not Functioning">
      <formula>LEFT(D61,LEN("Not Functioning"))="Not Functioning"</formula>
    </cfRule>
    <cfRule type="containsText" dxfId="10815" priority="2887" operator="containsText" text="Functioning">
      <formula>NOT(ISERROR(SEARCH("Functioning",D61)))</formula>
    </cfRule>
  </conditionalFormatting>
  <conditionalFormatting sqref="D62">
    <cfRule type="beginsWith" dxfId="10814" priority="2882" stopIfTrue="1" operator="beginsWith" text="Functioning At Risk">
      <formula>LEFT(D62,LEN("Functioning At Risk"))="Functioning At Risk"</formula>
    </cfRule>
    <cfRule type="beginsWith" dxfId="10813" priority="2883" stopIfTrue="1" operator="beginsWith" text="Not Functioning">
      <formula>LEFT(D62,LEN("Not Functioning"))="Not Functioning"</formula>
    </cfRule>
    <cfRule type="containsText" dxfId="10812" priority="2884" operator="containsText" text="Functioning">
      <formula>NOT(ISERROR(SEARCH("Functioning",D62)))</formula>
    </cfRule>
  </conditionalFormatting>
  <conditionalFormatting sqref="D56:D59">
    <cfRule type="beginsWith" dxfId="10811" priority="2879" stopIfTrue="1" operator="beginsWith" text="Functioning At Risk">
      <formula>LEFT(D56,LEN("Functioning At Risk"))="Functioning At Risk"</formula>
    </cfRule>
    <cfRule type="beginsWith" dxfId="10810" priority="2880" stopIfTrue="1" operator="beginsWith" text="Not Functioning">
      <formula>LEFT(D56,LEN("Not Functioning"))="Not Functioning"</formula>
    </cfRule>
    <cfRule type="containsText" dxfId="10809" priority="2881" operator="containsText" text="Functioning">
      <formula>NOT(ISERROR(SEARCH("Functioning",D56)))</formula>
    </cfRule>
  </conditionalFormatting>
  <conditionalFormatting sqref="A68">
    <cfRule type="beginsWith" dxfId="10808" priority="2876" stopIfTrue="1" operator="beginsWith" text="Functioning At Risk">
      <formula>LEFT(A68,LEN("Functioning At Risk"))="Functioning At Risk"</formula>
    </cfRule>
    <cfRule type="beginsWith" dxfId="10807" priority="2877" stopIfTrue="1" operator="beginsWith" text="Not Functioning">
      <formula>LEFT(A68,LEN("Not Functioning"))="Not Functioning"</formula>
    </cfRule>
    <cfRule type="containsText" dxfId="10806" priority="2878" operator="containsText" text="Functioning">
      <formula>NOT(ISERROR(SEARCH("Functioning",A68)))</formula>
    </cfRule>
  </conditionalFormatting>
  <conditionalFormatting sqref="H68">
    <cfRule type="beginsWith" dxfId="10805" priority="2873" stopIfTrue="1" operator="beginsWith" text="Functioning At Risk">
      <formula>LEFT(H68,LEN("Functioning At Risk"))="Functioning At Risk"</formula>
    </cfRule>
    <cfRule type="beginsWith" dxfId="10804" priority="2874" stopIfTrue="1" operator="beginsWith" text="Not Functioning">
      <formula>LEFT(H68,LEN("Not Functioning"))="Not Functioning"</formula>
    </cfRule>
    <cfRule type="containsText" dxfId="10803" priority="2875" operator="containsText" text="Functioning">
      <formula>NOT(ISERROR(SEARCH("Functioning",H68)))</formula>
    </cfRule>
  </conditionalFormatting>
  <conditionalFormatting sqref="I68">
    <cfRule type="beginsWith" dxfId="10802" priority="2870" stopIfTrue="1" operator="beginsWith" text="Functioning At Risk">
      <formula>LEFT(I68,LEN("Functioning At Risk"))="Functioning At Risk"</formula>
    </cfRule>
    <cfRule type="beginsWith" dxfId="10801" priority="2871" stopIfTrue="1" operator="beginsWith" text="Not Functioning">
      <formula>LEFT(I68,LEN("Not Functioning"))="Not Functioning"</formula>
    </cfRule>
    <cfRule type="containsText" dxfId="10800" priority="2872" operator="containsText" text="Functioning">
      <formula>NOT(ISERROR(SEARCH("Functioning",I68)))</formula>
    </cfRule>
  </conditionalFormatting>
  <conditionalFormatting sqref="D76">
    <cfRule type="beginsWith" dxfId="10799" priority="2867" stopIfTrue="1" operator="beginsWith" text="Functioning At Risk">
      <formula>LEFT(D76,LEN("Functioning At Risk"))="Functioning At Risk"</formula>
    </cfRule>
    <cfRule type="beginsWith" dxfId="10798" priority="2868" stopIfTrue="1" operator="beginsWith" text="Not Functioning">
      <formula>LEFT(D76,LEN("Not Functioning"))="Not Functioning"</formula>
    </cfRule>
    <cfRule type="containsText" dxfId="10797" priority="2869" operator="containsText" text="Functioning">
      <formula>NOT(ISERROR(SEARCH("Functioning",D76)))</formula>
    </cfRule>
  </conditionalFormatting>
  <conditionalFormatting sqref="D77">
    <cfRule type="beginsWith" dxfId="10796" priority="2864" stopIfTrue="1" operator="beginsWith" text="Functioning At Risk">
      <formula>LEFT(D77,LEN("Functioning At Risk"))="Functioning At Risk"</formula>
    </cfRule>
    <cfRule type="beginsWith" dxfId="10795" priority="2865" stopIfTrue="1" operator="beginsWith" text="Not Functioning">
      <formula>LEFT(D77,LEN("Not Functioning"))="Not Functioning"</formula>
    </cfRule>
    <cfRule type="containsText" dxfId="10794" priority="2866" operator="containsText" text="Functioning">
      <formula>NOT(ISERROR(SEARCH("Functioning",D77)))</formula>
    </cfRule>
  </conditionalFormatting>
  <conditionalFormatting sqref="B76">
    <cfRule type="beginsWith" dxfId="10793" priority="2861" stopIfTrue="1" operator="beginsWith" text="Functioning At Risk">
      <formula>LEFT(B76,LEN("Functioning At Risk"))="Functioning At Risk"</formula>
    </cfRule>
    <cfRule type="beginsWith" dxfId="10792" priority="2862" stopIfTrue="1" operator="beginsWith" text="Not Functioning">
      <formula>LEFT(B76,LEN("Not Functioning"))="Not Functioning"</formula>
    </cfRule>
    <cfRule type="containsText" dxfId="10791" priority="2863" operator="containsText" text="Functioning">
      <formula>NOT(ISERROR(SEARCH("Functioning",B76)))</formula>
    </cfRule>
  </conditionalFormatting>
  <conditionalFormatting sqref="B52">
    <cfRule type="beginsWith" dxfId="10790" priority="2855" stopIfTrue="1" operator="beginsWith" text="Functioning At Risk">
      <formula>LEFT(B52,LEN("Functioning At Risk"))="Functioning At Risk"</formula>
    </cfRule>
    <cfRule type="beginsWith" dxfId="10789" priority="2856" stopIfTrue="1" operator="beginsWith" text="Not Functioning">
      <formula>LEFT(B52,LEN("Not Functioning"))="Not Functioning"</formula>
    </cfRule>
    <cfRule type="containsText" dxfId="10788" priority="2857" operator="containsText" text="Functioning">
      <formula>NOT(ISERROR(SEARCH("Functioning",B52)))</formula>
    </cfRule>
  </conditionalFormatting>
  <conditionalFormatting sqref="C60:C61">
    <cfRule type="beginsWith" dxfId="10787" priority="2792" stopIfTrue="1" operator="beginsWith" text="Functioning At Risk">
      <formula>LEFT(C60,LEN("Functioning At Risk"))="Functioning At Risk"</formula>
    </cfRule>
    <cfRule type="beginsWith" dxfId="10786" priority="2793" stopIfTrue="1" operator="beginsWith" text="Not Functioning">
      <formula>LEFT(C60,LEN("Not Functioning"))="Not Functioning"</formula>
    </cfRule>
    <cfRule type="containsText" dxfId="10785" priority="2794" operator="containsText" text="Functioning">
      <formula>NOT(ISERROR(SEARCH("Functioning",C60)))</formula>
    </cfRule>
  </conditionalFormatting>
  <conditionalFormatting sqref="E76 E44:E45 E68">
    <cfRule type="beginsWith" dxfId="10784" priority="2843" stopIfTrue="1" operator="beginsWith" text="Functioning At Risk">
      <formula>LEFT(E44,LEN("Functioning At Risk"))="Functioning At Risk"</formula>
    </cfRule>
    <cfRule type="beginsWith" dxfId="10783" priority="2844" stopIfTrue="1" operator="beginsWith" text="Not Functioning">
      <formula>LEFT(E44,LEN("Not Functioning"))="Not Functioning"</formula>
    </cfRule>
    <cfRule type="containsText" dxfId="10782" priority="2845" operator="containsText" text="Functioning">
      <formula>NOT(ISERROR(SEARCH("Functioning",E44)))</formula>
    </cfRule>
  </conditionalFormatting>
  <conditionalFormatting sqref="E77">
    <cfRule type="beginsWith" dxfId="10781" priority="2840" stopIfTrue="1" operator="beginsWith" text="Functioning At Risk">
      <formula>LEFT(E77,LEN("Functioning At Risk"))="Functioning At Risk"</formula>
    </cfRule>
    <cfRule type="beginsWith" dxfId="10780" priority="2841" stopIfTrue="1" operator="beginsWith" text="Not Functioning">
      <formula>LEFT(E77,LEN("Not Functioning"))="Not Functioning"</formula>
    </cfRule>
    <cfRule type="containsText" dxfId="10779" priority="2842" operator="containsText" text="Functioning">
      <formula>NOT(ISERROR(SEARCH("Functioning",E77)))</formula>
    </cfRule>
  </conditionalFormatting>
  <conditionalFormatting sqref="E68">
    <cfRule type="expression" dxfId="10778" priority="2835">
      <formula>B1048527="Level 4 - Physicochemical"</formula>
    </cfRule>
    <cfRule type="expression" dxfId="10777" priority="2839">
      <formula>B1048527="Level 5 - Biology"</formula>
    </cfRule>
  </conditionalFormatting>
  <conditionalFormatting sqref="E70">
    <cfRule type="expression" dxfId="10776" priority="2834">
      <formula>B1048527="Level 4 - Physicochemical"</formula>
    </cfRule>
    <cfRule type="expression" dxfId="10775" priority="2838">
      <formula>B1048527="Level 5 - Biology"</formula>
    </cfRule>
  </conditionalFormatting>
  <conditionalFormatting sqref="E71">
    <cfRule type="expression" dxfId="10774" priority="2833">
      <formula>B1048527="Level 4 - Physicochemical"</formula>
    </cfRule>
    <cfRule type="expression" dxfId="10773" priority="2837">
      <formula>B1048527="Level 5 - Biology"</formula>
    </cfRule>
  </conditionalFormatting>
  <conditionalFormatting sqref="E77">
    <cfRule type="expression" dxfId="10772" priority="2836">
      <formula>B1048527="Level 5 - Biology"</formula>
    </cfRule>
  </conditionalFormatting>
  <conditionalFormatting sqref="E69">
    <cfRule type="expression" dxfId="10771" priority="2849">
      <formula>B1048528="Level 4 - Physicochemical"</formula>
    </cfRule>
    <cfRule type="expression" dxfId="10770" priority="2850">
      <formula>B1048528="Level 5 - Biology"</formula>
    </cfRule>
  </conditionalFormatting>
  <conditionalFormatting sqref="E76">
    <cfRule type="expression" dxfId="10769" priority="2851">
      <formula>B1048529="Level 5 - Biology"</formula>
    </cfRule>
  </conditionalFormatting>
  <conditionalFormatting sqref="E66:E67">
    <cfRule type="beginsWith" dxfId="10768" priority="2827" stopIfTrue="1" operator="beginsWith" text="Functioning At Risk">
      <formula>LEFT(E66,LEN("Functioning At Risk"))="Functioning At Risk"</formula>
    </cfRule>
    <cfRule type="beginsWith" dxfId="10767" priority="2828" stopIfTrue="1" operator="beginsWith" text="Not Functioning">
      <formula>LEFT(E66,LEN("Not Functioning"))="Not Functioning"</formula>
    </cfRule>
    <cfRule type="containsText" dxfId="10766" priority="2829" operator="containsText" text="Functioning">
      <formula>NOT(ISERROR(SEARCH("Functioning",E66)))</formula>
    </cfRule>
  </conditionalFormatting>
  <conditionalFormatting sqref="E75">
    <cfRule type="expression" dxfId="10765" priority="2825">
      <formula>B1048457="Level 5 - Biology"</formula>
    </cfRule>
  </conditionalFormatting>
  <conditionalFormatting sqref="E72:E75">
    <cfRule type="beginsWith" dxfId="10764" priority="2822" stopIfTrue="1" operator="beginsWith" text="Functioning At Risk">
      <formula>LEFT(E72,LEN("Functioning At Risk"))="Functioning At Risk"</formula>
    </cfRule>
    <cfRule type="beginsWith" dxfId="10763" priority="2823" stopIfTrue="1" operator="beginsWith" text="Not Functioning">
      <formula>LEFT(E72,LEN("Not Functioning"))="Not Functioning"</formula>
    </cfRule>
    <cfRule type="containsText" dxfId="10762" priority="2824" operator="containsText" text="Functioning">
      <formula>NOT(ISERROR(SEARCH("Functioning",E72)))</formula>
    </cfRule>
  </conditionalFormatting>
  <conditionalFormatting sqref="E189:E191">
    <cfRule type="expression" dxfId="10761" priority="2826">
      <formula>B1="Level 5 - Biology"</formula>
    </cfRule>
  </conditionalFormatting>
  <conditionalFormatting sqref="C52:C54 C69:C70 C63:C64 C75 C67 C44:C47 C72:C73">
    <cfRule type="beginsWith" dxfId="10760" priority="2819" stopIfTrue="1" operator="beginsWith" text="Functioning At Risk">
      <formula>LEFT(C44,LEN("Functioning At Risk"))="Functioning At Risk"</formula>
    </cfRule>
    <cfRule type="beginsWith" dxfId="10759" priority="2820" stopIfTrue="1" operator="beginsWith" text="Not Functioning">
      <formula>LEFT(C44,LEN("Not Functioning"))="Not Functioning"</formula>
    </cfRule>
    <cfRule type="containsText" dxfId="10758" priority="2821" operator="containsText" text="Functioning">
      <formula>NOT(ISERROR(SEARCH("Functioning",C44)))</formula>
    </cfRule>
  </conditionalFormatting>
  <conditionalFormatting sqref="C55">
    <cfRule type="beginsWith" dxfId="10757" priority="2816" stopIfTrue="1" operator="beginsWith" text="Functioning At Risk">
      <formula>LEFT(C55,LEN("Functioning At Risk"))="Functioning At Risk"</formula>
    </cfRule>
    <cfRule type="beginsWith" dxfId="10756" priority="2817" stopIfTrue="1" operator="beginsWith" text="Not Functioning">
      <formula>LEFT(C55,LEN("Not Functioning"))="Not Functioning"</formula>
    </cfRule>
    <cfRule type="containsText" dxfId="10755" priority="2818" operator="containsText" text="Functioning">
      <formula>NOT(ISERROR(SEARCH("Functioning",C55)))</formula>
    </cfRule>
  </conditionalFormatting>
  <conditionalFormatting sqref="C62">
    <cfRule type="beginsWith" dxfId="10754" priority="2813" stopIfTrue="1" operator="beginsWith" text="Functioning At Risk">
      <formula>LEFT(C62,LEN("Functioning At Risk"))="Functioning At Risk"</formula>
    </cfRule>
    <cfRule type="beginsWith" dxfId="10753" priority="2814" stopIfTrue="1" operator="beginsWith" text="Not Functioning">
      <formula>LEFT(C62,LEN("Not Functioning"))="Not Functioning"</formula>
    </cfRule>
    <cfRule type="containsText" dxfId="10752" priority="2815" operator="containsText" text="Functioning">
      <formula>NOT(ISERROR(SEARCH("Functioning",C62)))</formula>
    </cfRule>
  </conditionalFormatting>
  <conditionalFormatting sqref="C56:C59">
    <cfRule type="beginsWith" dxfId="10751" priority="2810" stopIfTrue="1" operator="beginsWith" text="Functioning At Risk">
      <formula>LEFT(C56,LEN("Functioning At Risk"))="Functioning At Risk"</formula>
    </cfRule>
    <cfRule type="beginsWith" dxfId="10750" priority="2811" stopIfTrue="1" operator="beginsWith" text="Not Functioning">
      <formula>LEFT(C56,LEN("Not Functioning"))="Not Functioning"</formula>
    </cfRule>
    <cfRule type="containsText" dxfId="10749" priority="2812" operator="containsText" text="Functioning">
      <formula>NOT(ISERROR(SEARCH("Functioning",C56)))</formula>
    </cfRule>
  </conditionalFormatting>
  <conditionalFormatting sqref="C65">
    <cfRule type="beginsWith" dxfId="10748" priority="2807" stopIfTrue="1" operator="beginsWith" text="Functioning At Risk">
      <formula>LEFT(C65,LEN("Functioning At Risk"))="Functioning At Risk"</formula>
    </cfRule>
    <cfRule type="beginsWith" dxfId="10747" priority="2808" stopIfTrue="1" operator="beginsWith" text="Not Functioning">
      <formula>LEFT(C65,LEN("Not Functioning"))="Not Functioning"</formula>
    </cfRule>
    <cfRule type="containsText" dxfId="10746" priority="2809" operator="containsText" text="Functioning">
      <formula>NOT(ISERROR(SEARCH("Functioning",C65)))</formula>
    </cfRule>
  </conditionalFormatting>
  <conditionalFormatting sqref="C66">
    <cfRule type="beginsWith" dxfId="10745" priority="2804" stopIfTrue="1" operator="beginsWith" text="Functioning At Risk">
      <formula>LEFT(C66,LEN("Functioning At Risk"))="Functioning At Risk"</formula>
    </cfRule>
    <cfRule type="beginsWith" dxfId="10744" priority="2805" stopIfTrue="1" operator="beginsWith" text="Not Functioning">
      <formula>LEFT(C66,LEN("Not Functioning"))="Not Functioning"</formula>
    </cfRule>
    <cfRule type="containsText" dxfId="10743" priority="2806" operator="containsText" text="Functioning">
      <formula>NOT(ISERROR(SEARCH("Functioning",C66)))</formula>
    </cfRule>
  </conditionalFormatting>
  <conditionalFormatting sqref="C77">
    <cfRule type="beginsWith" dxfId="10742" priority="2798" stopIfTrue="1" operator="beginsWith" text="Functioning At Risk">
      <formula>LEFT(C77,LEN("Functioning At Risk"))="Functioning At Risk"</formula>
    </cfRule>
    <cfRule type="beginsWith" dxfId="10741" priority="2799" stopIfTrue="1" operator="beginsWith" text="Not Functioning">
      <formula>LEFT(C77,LEN("Not Functioning"))="Not Functioning"</formula>
    </cfRule>
    <cfRule type="containsText" dxfId="10740" priority="2800" operator="containsText" text="Functioning">
      <formula>NOT(ISERROR(SEARCH("Functioning",C77)))</formula>
    </cfRule>
  </conditionalFormatting>
  <conditionalFormatting sqref="C76">
    <cfRule type="beginsWith" dxfId="10739" priority="2801" stopIfTrue="1" operator="beginsWith" text="Functioning At Risk">
      <formula>LEFT(C76,LEN("Functioning At Risk"))="Functioning At Risk"</formula>
    </cfRule>
    <cfRule type="beginsWith" dxfId="10738" priority="2802" stopIfTrue="1" operator="beginsWith" text="Not Functioning">
      <formula>LEFT(C76,LEN("Not Functioning"))="Not Functioning"</formula>
    </cfRule>
    <cfRule type="containsText" dxfId="10737" priority="2803" operator="containsText" text="Functioning">
      <formula>NOT(ISERROR(SEARCH("Functioning",C76)))</formula>
    </cfRule>
  </conditionalFormatting>
  <conditionalFormatting sqref="C74">
    <cfRule type="beginsWith" dxfId="10736" priority="2795" stopIfTrue="1" operator="beginsWith" text="Functioning At Risk">
      <formula>LEFT(C74,LEN("Functioning At Risk"))="Functioning At Risk"</formula>
    </cfRule>
    <cfRule type="beginsWith" dxfId="10735" priority="2796" stopIfTrue="1" operator="beginsWith" text="Not Functioning">
      <formula>LEFT(C74,LEN("Not Functioning"))="Not Functioning"</formula>
    </cfRule>
    <cfRule type="containsText" dxfId="10734" priority="2797" operator="containsText" text="Functioning">
      <formula>NOT(ISERROR(SEARCH("Functioning",C74)))</formula>
    </cfRule>
  </conditionalFormatting>
  <conditionalFormatting sqref="E63">
    <cfRule type="beginsWith" dxfId="10733" priority="2777" stopIfTrue="1" operator="beginsWith" text="Functioning At Risk">
      <formula>LEFT(E63,LEN("Functioning At Risk"))="Functioning At Risk"</formula>
    </cfRule>
    <cfRule type="beginsWith" dxfId="10732" priority="2778" stopIfTrue="1" operator="beginsWith" text="Not Functioning">
      <formula>LEFT(E63,LEN("Not Functioning"))="Not Functioning"</formula>
    </cfRule>
    <cfRule type="containsText" dxfId="10731" priority="2779" operator="containsText" text="Functioning">
      <formula>NOT(ISERROR(SEARCH("Functioning",E63)))</formula>
    </cfRule>
  </conditionalFormatting>
  <conditionalFormatting sqref="E65">
    <cfRule type="beginsWith" dxfId="10730" priority="2774" stopIfTrue="1" operator="beginsWith" text="Functioning At Risk">
      <formula>LEFT(E65,LEN("Functioning At Risk"))="Functioning At Risk"</formula>
    </cfRule>
    <cfRule type="beginsWith" dxfId="10729" priority="2775" stopIfTrue="1" operator="beginsWith" text="Not Functioning">
      <formula>LEFT(E65,LEN("Not Functioning"))="Not Functioning"</formula>
    </cfRule>
    <cfRule type="containsText" dxfId="10728" priority="2776" operator="containsText" text="Functioning">
      <formula>NOT(ISERROR(SEARCH("Functioning",E65)))</formula>
    </cfRule>
  </conditionalFormatting>
  <conditionalFormatting sqref="C115">
    <cfRule type="beginsWith" dxfId="10727" priority="2651" stopIfTrue="1" operator="beginsWith" text="Functioning At Risk">
      <formula>LEFT(C115,LEN("Functioning At Risk"))="Functioning At Risk"</formula>
    </cfRule>
    <cfRule type="beginsWith" dxfId="10726" priority="2652" stopIfTrue="1" operator="beginsWith" text="Not Functioning">
      <formula>LEFT(C115,LEN("Not Functioning"))="Not Functioning"</formula>
    </cfRule>
    <cfRule type="containsText" dxfId="10725" priority="2653" operator="containsText" text="Functioning">
      <formula>NOT(ISERROR(SEARCH("Functioning",C115)))</formula>
    </cfRule>
  </conditionalFormatting>
  <conditionalFormatting sqref="C116">
    <cfRule type="beginsWith" dxfId="10724" priority="2648" stopIfTrue="1" operator="beginsWith" text="Functioning At Risk">
      <formula>LEFT(C116,LEN("Functioning At Risk"))="Functioning At Risk"</formula>
    </cfRule>
    <cfRule type="beginsWith" dxfId="10723" priority="2649" stopIfTrue="1" operator="beginsWith" text="Not Functioning">
      <formula>LEFT(C116,LEN("Not Functioning"))="Not Functioning"</formula>
    </cfRule>
    <cfRule type="containsText" dxfId="10722" priority="2650" operator="containsText" text="Functioning">
      <formula>NOT(ISERROR(SEARCH("Functioning",C116)))</formula>
    </cfRule>
  </conditionalFormatting>
  <conditionalFormatting sqref="C113">
    <cfRule type="beginsWith" dxfId="10721" priority="2645" stopIfTrue="1" operator="beginsWith" text="Functioning At Risk">
      <formula>LEFT(C113,LEN("Functioning At Risk"))="Functioning At Risk"</formula>
    </cfRule>
    <cfRule type="beginsWith" dxfId="10720" priority="2646" stopIfTrue="1" operator="beginsWith" text="Not Functioning">
      <formula>LEFT(C113,LEN("Not Functioning"))="Not Functioning"</formula>
    </cfRule>
    <cfRule type="containsText" dxfId="10719" priority="2647" operator="containsText" text="Functioning">
      <formula>NOT(ISERROR(SEARCH("Functioning",C113)))</formula>
    </cfRule>
  </conditionalFormatting>
  <conditionalFormatting sqref="C99:C100">
    <cfRule type="beginsWith" dxfId="10718" priority="2642" stopIfTrue="1" operator="beginsWith" text="Functioning At Risk">
      <formula>LEFT(C99,LEN("Functioning At Risk"))="Functioning At Risk"</formula>
    </cfRule>
    <cfRule type="beginsWith" dxfId="10717" priority="2643" stopIfTrue="1" operator="beginsWith" text="Not Functioning">
      <formula>LEFT(C99,LEN("Not Functioning"))="Not Functioning"</formula>
    </cfRule>
    <cfRule type="containsText" dxfId="10716" priority="2644" operator="containsText" text="Functioning">
      <formula>NOT(ISERROR(SEARCH("Functioning",C99)))</formula>
    </cfRule>
  </conditionalFormatting>
  <conditionalFormatting sqref="E64">
    <cfRule type="beginsWith" dxfId="10715" priority="2753" stopIfTrue="1" operator="beginsWith" text="Functioning At Risk">
      <formula>LEFT(E64,LEN("Functioning At Risk"))="Functioning At Risk"</formula>
    </cfRule>
    <cfRule type="beginsWith" dxfId="10714" priority="2754" stopIfTrue="1" operator="beginsWith" text="Not Functioning">
      <formula>LEFT(E64,LEN("Not Functioning"))="Not Functioning"</formula>
    </cfRule>
    <cfRule type="containsText" dxfId="10713" priority="2755" operator="containsText" text="Functioning">
      <formula>NOT(ISERROR(SEARCH("Functioning",E64)))</formula>
    </cfRule>
  </conditionalFormatting>
  <conditionalFormatting sqref="A80:C80 E80:K80 D108:D109">
    <cfRule type="beginsWith" dxfId="10712" priority="2747" stopIfTrue="1" operator="beginsWith" text="Functioning At Risk">
      <formula>LEFT(A80,LEN("Functioning At Risk"))="Functioning At Risk"</formula>
    </cfRule>
    <cfRule type="beginsWith" dxfId="10711" priority="2748" stopIfTrue="1" operator="beginsWith" text="Not Functioning">
      <formula>LEFT(A80,LEN("Not Functioning"))="Not Functioning"</formula>
    </cfRule>
    <cfRule type="containsText" dxfId="10710" priority="2749" operator="containsText" text="Functioning">
      <formula>NOT(ISERROR(SEARCH("Functioning",A80)))</formula>
    </cfRule>
  </conditionalFormatting>
  <conditionalFormatting sqref="I111:I115 B109:B110 D99 B102 A83:B83 A111:B113 H85:I86 H83:I83 H81:K82 A85:B85 A114:A115 D91:D93 B106:B107 A86 D111:D114 D83:D86 D102:D106">
    <cfRule type="beginsWith" dxfId="10709" priority="2744" stopIfTrue="1" operator="beginsWith" text="Functioning At Risk">
      <formula>LEFT(A81,LEN("Functioning At Risk"))="Functioning At Risk"</formula>
    </cfRule>
    <cfRule type="beginsWith" dxfId="10708" priority="2745" stopIfTrue="1" operator="beginsWith" text="Not Functioning">
      <formula>LEFT(A81,LEN("Not Functioning"))="Not Functioning"</formula>
    </cfRule>
    <cfRule type="containsText" dxfId="10707" priority="2746" operator="containsText" text="Functioning">
      <formula>NOT(ISERROR(SEARCH("Functioning",A81)))</formula>
    </cfRule>
  </conditionalFormatting>
  <conditionalFormatting sqref="D94">
    <cfRule type="beginsWith" dxfId="10706" priority="2738" stopIfTrue="1" operator="beginsWith" text="Functioning At Risk">
      <formula>LEFT(D94,LEN("Functioning At Risk"))="Functioning At Risk"</formula>
    </cfRule>
    <cfRule type="beginsWith" dxfId="10705" priority="2739" stopIfTrue="1" operator="beginsWith" text="Not Functioning">
      <formula>LEFT(D94,LEN("Not Functioning"))="Not Functioning"</formula>
    </cfRule>
    <cfRule type="containsText" dxfId="10704" priority="2740" operator="containsText" text="Functioning">
      <formula>NOT(ISERROR(SEARCH("Functioning",D94)))</formula>
    </cfRule>
  </conditionalFormatting>
  <conditionalFormatting sqref="D100">
    <cfRule type="beginsWith" dxfId="10703" priority="2735" stopIfTrue="1" operator="beginsWith" text="Functioning At Risk">
      <formula>LEFT(D100,LEN("Functioning At Risk"))="Functioning At Risk"</formula>
    </cfRule>
    <cfRule type="beginsWith" dxfId="10702" priority="2736" stopIfTrue="1" operator="beginsWith" text="Not Functioning">
      <formula>LEFT(D100,LEN("Not Functioning"))="Not Functioning"</formula>
    </cfRule>
    <cfRule type="containsText" dxfId="10701" priority="2737" operator="containsText" text="Functioning">
      <formula>NOT(ISERROR(SEARCH("Functioning",D100)))</formula>
    </cfRule>
  </conditionalFormatting>
  <conditionalFormatting sqref="D101">
    <cfRule type="beginsWith" dxfId="10700" priority="2732" stopIfTrue="1" operator="beginsWith" text="Functioning At Risk">
      <formula>LEFT(D101,LEN("Functioning At Risk"))="Functioning At Risk"</formula>
    </cfRule>
    <cfRule type="beginsWith" dxfId="10699" priority="2733" stopIfTrue="1" operator="beginsWith" text="Not Functioning">
      <formula>LEFT(D101,LEN("Not Functioning"))="Not Functioning"</formula>
    </cfRule>
    <cfRule type="containsText" dxfId="10698" priority="2734" operator="containsText" text="Functioning">
      <formula>NOT(ISERROR(SEARCH("Functioning",D101)))</formula>
    </cfRule>
  </conditionalFormatting>
  <conditionalFormatting sqref="D95:D98">
    <cfRule type="beginsWith" dxfId="10697" priority="2729" stopIfTrue="1" operator="beginsWith" text="Functioning At Risk">
      <formula>LEFT(D95,LEN("Functioning At Risk"))="Functioning At Risk"</formula>
    </cfRule>
    <cfRule type="beginsWith" dxfId="10696" priority="2730" stopIfTrue="1" operator="beginsWith" text="Not Functioning">
      <formula>LEFT(D95,LEN("Not Functioning"))="Not Functioning"</formula>
    </cfRule>
    <cfRule type="containsText" dxfId="10695" priority="2731" operator="containsText" text="Functioning">
      <formula>NOT(ISERROR(SEARCH("Functioning",D95)))</formula>
    </cfRule>
  </conditionalFormatting>
  <conditionalFormatting sqref="A107">
    <cfRule type="beginsWith" dxfId="10694" priority="2726" stopIfTrue="1" operator="beginsWith" text="Functioning At Risk">
      <formula>LEFT(A107,LEN("Functioning At Risk"))="Functioning At Risk"</formula>
    </cfRule>
    <cfRule type="beginsWith" dxfId="10693" priority="2727" stopIfTrue="1" operator="beginsWith" text="Not Functioning">
      <formula>LEFT(A107,LEN("Not Functioning"))="Not Functioning"</formula>
    </cfRule>
    <cfRule type="containsText" dxfId="10692" priority="2728" operator="containsText" text="Functioning">
      <formula>NOT(ISERROR(SEARCH("Functioning",A107)))</formula>
    </cfRule>
  </conditionalFormatting>
  <conditionalFormatting sqref="H107">
    <cfRule type="beginsWith" dxfId="10691" priority="2723" stopIfTrue="1" operator="beginsWith" text="Functioning At Risk">
      <formula>LEFT(H107,LEN("Functioning At Risk"))="Functioning At Risk"</formula>
    </cfRule>
    <cfRule type="beginsWith" dxfId="10690" priority="2724" stopIfTrue="1" operator="beginsWith" text="Not Functioning">
      <formula>LEFT(H107,LEN("Not Functioning"))="Not Functioning"</formula>
    </cfRule>
    <cfRule type="containsText" dxfId="10689" priority="2725" operator="containsText" text="Functioning">
      <formula>NOT(ISERROR(SEARCH("Functioning",H107)))</formula>
    </cfRule>
  </conditionalFormatting>
  <conditionalFormatting sqref="I107">
    <cfRule type="beginsWith" dxfId="10688" priority="2720" stopIfTrue="1" operator="beginsWith" text="Functioning At Risk">
      <formula>LEFT(I107,LEN("Functioning At Risk"))="Functioning At Risk"</formula>
    </cfRule>
    <cfRule type="beginsWith" dxfId="10687" priority="2721" stopIfTrue="1" operator="beginsWith" text="Not Functioning">
      <formula>LEFT(I107,LEN("Not Functioning"))="Not Functioning"</formula>
    </cfRule>
    <cfRule type="containsText" dxfId="10686" priority="2722" operator="containsText" text="Functioning">
      <formula>NOT(ISERROR(SEARCH("Functioning",I107)))</formula>
    </cfRule>
  </conditionalFormatting>
  <conditionalFormatting sqref="D115">
    <cfRule type="beginsWith" dxfId="10685" priority="2717" stopIfTrue="1" operator="beginsWith" text="Functioning At Risk">
      <formula>LEFT(D115,LEN("Functioning At Risk"))="Functioning At Risk"</formula>
    </cfRule>
    <cfRule type="beginsWith" dxfId="10684" priority="2718" stopIfTrue="1" operator="beginsWith" text="Not Functioning">
      <formula>LEFT(D115,LEN("Not Functioning"))="Not Functioning"</formula>
    </cfRule>
    <cfRule type="containsText" dxfId="10683" priority="2719" operator="containsText" text="Functioning">
      <formula>NOT(ISERROR(SEARCH("Functioning",D115)))</formula>
    </cfRule>
  </conditionalFormatting>
  <conditionalFormatting sqref="D116">
    <cfRule type="beginsWith" dxfId="10682" priority="2714" stopIfTrue="1" operator="beginsWith" text="Functioning At Risk">
      <formula>LEFT(D116,LEN("Functioning At Risk"))="Functioning At Risk"</formula>
    </cfRule>
    <cfRule type="beginsWith" dxfId="10681" priority="2715" stopIfTrue="1" operator="beginsWith" text="Not Functioning">
      <formula>LEFT(D116,LEN("Not Functioning"))="Not Functioning"</formula>
    </cfRule>
    <cfRule type="containsText" dxfId="10680" priority="2716" operator="containsText" text="Functioning">
      <formula>NOT(ISERROR(SEARCH("Functioning",D116)))</formula>
    </cfRule>
  </conditionalFormatting>
  <conditionalFormatting sqref="B115">
    <cfRule type="beginsWith" dxfId="10679" priority="2711" stopIfTrue="1" operator="beginsWith" text="Functioning At Risk">
      <formula>LEFT(B115,LEN("Functioning At Risk"))="Functioning At Risk"</formula>
    </cfRule>
    <cfRule type="beginsWith" dxfId="10678" priority="2712" stopIfTrue="1" operator="beginsWith" text="Not Functioning">
      <formula>LEFT(B115,LEN("Not Functioning"))="Not Functioning"</formula>
    </cfRule>
    <cfRule type="containsText" dxfId="10677" priority="2713" operator="containsText" text="Functioning">
      <formula>NOT(ISERROR(SEARCH("Functioning",B115)))</formula>
    </cfRule>
  </conditionalFormatting>
  <conditionalFormatting sqref="B91">
    <cfRule type="beginsWith" dxfId="10676" priority="2705" stopIfTrue="1" operator="beginsWith" text="Functioning At Risk">
      <formula>LEFT(B91,LEN("Functioning At Risk"))="Functioning At Risk"</formula>
    </cfRule>
    <cfRule type="beginsWith" dxfId="10675" priority="2706" stopIfTrue="1" operator="beginsWith" text="Not Functioning">
      <formula>LEFT(B91,LEN("Not Functioning"))="Not Functioning"</formula>
    </cfRule>
    <cfRule type="containsText" dxfId="10674" priority="2707" operator="containsText" text="Functioning">
      <formula>NOT(ISERROR(SEARCH("Functioning",B91)))</formula>
    </cfRule>
  </conditionalFormatting>
  <conditionalFormatting sqref="E115 E107">
    <cfRule type="beginsWith" dxfId="10673" priority="2693" stopIfTrue="1" operator="beginsWith" text="Functioning At Risk">
      <formula>LEFT(E107,LEN("Functioning At Risk"))="Functioning At Risk"</formula>
    </cfRule>
    <cfRule type="beginsWith" dxfId="10672" priority="2694" stopIfTrue="1" operator="beginsWith" text="Not Functioning">
      <formula>LEFT(E107,LEN("Not Functioning"))="Not Functioning"</formula>
    </cfRule>
    <cfRule type="containsText" dxfId="10671" priority="2695" operator="containsText" text="Functioning">
      <formula>NOT(ISERROR(SEARCH("Functioning",E107)))</formula>
    </cfRule>
  </conditionalFormatting>
  <conditionalFormatting sqref="E116">
    <cfRule type="beginsWith" dxfId="10670" priority="2690" stopIfTrue="1" operator="beginsWith" text="Functioning At Risk">
      <formula>LEFT(E116,LEN("Functioning At Risk"))="Functioning At Risk"</formula>
    </cfRule>
    <cfRule type="beginsWith" dxfId="10669" priority="2691" stopIfTrue="1" operator="beginsWith" text="Not Functioning">
      <formula>LEFT(E116,LEN("Not Functioning"))="Not Functioning"</formula>
    </cfRule>
    <cfRule type="containsText" dxfId="10668" priority="2692" operator="containsText" text="Functioning">
      <formula>NOT(ISERROR(SEARCH("Functioning",E116)))</formula>
    </cfRule>
  </conditionalFormatting>
  <conditionalFormatting sqref="E105:E106">
    <cfRule type="beginsWith" dxfId="10667" priority="2677" stopIfTrue="1" operator="beginsWith" text="Functioning At Risk">
      <formula>LEFT(E105,LEN("Functioning At Risk"))="Functioning At Risk"</formula>
    </cfRule>
    <cfRule type="beginsWith" dxfId="10666" priority="2678" stopIfTrue="1" operator="beginsWith" text="Not Functioning">
      <formula>LEFT(E105,LEN("Not Functioning"))="Not Functioning"</formula>
    </cfRule>
    <cfRule type="containsText" dxfId="10665" priority="2679" operator="containsText" text="Functioning">
      <formula>NOT(ISERROR(SEARCH("Functioning",E105)))</formula>
    </cfRule>
  </conditionalFormatting>
  <conditionalFormatting sqref="E114">
    <cfRule type="expression" dxfId="10664" priority="2675">
      <formula>B1048496="Level 5 - Biology"</formula>
    </cfRule>
  </conditionalFormatting>
  <conditionalFormatting sqref="E111:E114">
    <cfRule type="beginsWith" dxfId="10663" priority="2672" stopIfTrue="1" operator="beginsWith" text="Functioning At Risk">
      <formula>LEFT(E111,LEN("Functioning At Risk"))="Functioning At Risk"</formula>
    </cfRule>
    <cfRule type="beginsWith" dxfId="10662" priority="2673" stopIfTrue="1" operator="beginsWith" text="Not Functioning">
      <formula>LEFT(E111,LEN("Not Functioning"))="Not Functioning"</formula>
    </cfRule>
    <cfRule type="containsText" dxfId="10661" priority="2674" operator="containsText" text="Functioning">
      <formula>NOT(ISERROR(SEARCH("Functioning",E111)))</formula>
    </cfRule>
  </conditionalFormatting>
  <conditionalFormatting sqref="E111:E113">
    <cfRule type="expression" dxfId="10660" priority="2676">
      <formula>B1048495="Level 5 - Biology"</formula>
    </cfRule>
  </conditionalFormatting>
  <conditionalFormatting sqref="C91:C93 C108:C109 C102:C103 C114 C106 C83:C86 C111:C112">
    <cfRule type="beginsWith" dxfId="10659" priority="2669" stopIfTrue="1" operator="beginsWith" text="Functioning At Risk">
      <formula>LEFT(C83,LEN("Functioning At Risk"))="Functioning At Risk"</formula>
    </cfRule>
    <cfRule type="beginsWith" dxfId="10658" priority="2670" stopIfTrue="1" operator="beginsWith" text="Not Functioning">
      <formula>LEFT(C83,LEN("Not Functioning"))="Not Functioning"</formula>
    </cfRule>
    <cfRule type="containsText" dxfId="10657" priority="2671" operator="containsText" text="Functioning">
      <formula>NOT(ISERROR(SEARCH("Functioning",C83)))</formula>
    </cfRule>
  </conditionalFormatting>
  <conditionalFormatting sqref="C94">
    <cfRule type="beginsWith" dxfId="10656" priority="2666" stopIfTrue="1" operator="beginsWith" text="Functioning At Risk">
      <formula>LEFT(C94,LEN("Functioning At Risk"))="Functioning At Risk"</formula>
    </cfRule>
    <cfRule type="beginsWith" dxfId="10655" priority="2667" stopIfTrue="1" operator="beginsWith" text="Not Functioning">
      <formula>LEFT(C94,LEN("Not Functioning"))="Not Functioning"</formula>
    </cfRule>
    <cfRule type="containsText" dxfId="10654" priority="2668" operator="containsText" text="Functioning">
      <formula>NOT(ISERROR(SEARCH("Functioning",C94)))</formula>
    </cfRule>
  </conditionalFormatting>
  <conditionalFormatting sqref="C101">
    <cfRule type="beginsWith" dxfId="10653" priority="2663" stopIfTrue="1" operator="beginsWith" text="Functioning At Risk">
      <formula>LEFT(C101,LEN("Functioning At Risk"))="Functioning At Risk"</formula>
    </cfRule>
    <cfRule type="beginsWith" dxfId="10652" priority="2664" stopIfTrue="1" operator="beginsWith" text="Not Functioning">
      <formula>LEFT(C101,LEN("Not Functioning"))="Not Functioning"</formula>
    </cfRule>
    <cfRule type="containsText" dxfId="10651" priority="2665" operator="containsText" text="Functioning">
      <formula>NOT(ISERROR(SEARCH("Functioning",C101)))</formula>
    </cfRule>
  </conditionalFormatting>
  <conditionalFormatting sqref="C95:C98">
    <cfRule type="beginsWith" dxfId="10650" priority="2660" stopIfTrue="1" operator="beginsWith" text="Functioning At Risk">
      <formula>LEFT(C95,LEN("Functioning At Risk"))="Functioning At Risk"</formula>
    </cfRule>
    <cfRule type="beginsWith" dxfId="10649" priority="2661" stopIfTrue="1" operator="beginsWith" text="Not Functioning">
      <formula>LEFT(C95,LEN("Not Functioning"))="Not Functioning"</formula>
    </cfRule>
    <cfRule type="containsText" dxfId="10648" priority="2662" operator="containsText" text="Functioning">
      <formula>NOT(ISERROR(SEARCH("Functioning",C95)))</formula>
    </cfRule>
  </conditionalFormatting>
  <conditionalFormatting sqref="C104">
    <cfRule type="beginsWith" dxfId="10647" priority="2657" stopIfTrue="1" operator="beginsWith" text="Functioning At Risk">
      <formula>LEFT(C104,LEN("Functioning At Risk"))="Functioning At Risk"</formula>
    </cfRule>
    <cfRule type="beginsWith" dxfId="10646" priority="2658" stopIfTrue="1" operator="beginsWith" text="Not Functioning">
      <formula>LEFT(C104,LEN("Not Functioning"))="Not Functioning"</formula>
    </cfRule>
    <cfRule type="containsText" dxfId="10645" priority="2659" operator="containsText" text="Functioning">
      <formula>NOT(ISERROR(SEARCH("Functioning",C104)))</formula>
    </cfRule>
  </conditionalFormatting>
  <conditionalFormatting sqref="C105">
    <cfRule type="beginsWith" dxfId="10644" priority="2654" stopIfTrue="1" operator="beginsWith" text="Functioning At Risk">
      <formula>LEFT(C105,LEN("Functioning At Risk"))="Functioning At Risk"</formula>
    </cfRule>
    <cfRule type="beginsWith" dxfId="10643" priority="2655" stopIfTrue="1" operator="beginsWith" text="Not Functioning">
      <formula>LEFT(C105,LEN("Not Functioning"))="Not Functioning"</formula>
    </cfRule>
    <cfRule type="containsText" dxfId="10642" priority="2656" operator="containsText" text="Functioning">
      <formula>NOT(ISERROR(SEARCH("Functioning",C105)))</formula>
    </cfRule>
  </conditionalFormatting>
  <conditionalFormatting sqref="E102">
    <cfRule type="beginsWith" dxfId="10641" priority="2627" stopIfTrue="1" operator="beginsWith" text="Functioning At Risk">
      <formula>LEFT(E102,LEN("Functioning At Risk"))="Functioning At Risk"</formula>
    </cfRule>
    <cfRule type="beginsWith" dxfId="10640" priority="2628" stopIfTrue="1" operator="beginsWith" text="Not Functioning">
      <formula>LEFT(E102,LEN("Not Functioning"))="Not Functioning"</formula>
    </cfRule>
    <cfRule type="containsText" dxfId="10639" priority="2629" operator="containsText" text="Functioning">
      <formula>NOT(ISERROR(SEARCH("Functioning",E102)))</formula>
    </cfRule>
  </conditionalFormatting>
  <conditionalFormatting sqref="E104">
    <cfRule type="beginsWith" dxfId="10638" priority="2624" stopIfTrue="1" operator="beginsWith" text="Functioning At Risk">
      <formula>LEFT(E104,LEN("Functioning At Risk"))="Functioning At Risk"</formula>
    </cfRule>
    <cfRule type="beginsWith" dxfId="10637" priority="2625" stopIfTrue="1" operator="beginsWith" text="Not Functioning">
      <formula>LEFT(E104,LEN("Not Functioning"))="Not Functioning"</formula>
    </cfRule>
    <cfRule type="containsText" dxfId="10636" priority="2626" operator="containsText" text="Functioning">
      <formula>NOT(ISERROR(SEARCH("Functioning",E104)))</formula>
    </cfRule>
  </conditionalFormatting>
  <conditionalFormatting sqref="C140">
    <cfRule type="beginsWith" dxfId="10635" priority="2513" stopIfTrue="1" operator="beginsWith" text="Functioning At Risk">
      <formula>LEFT(C140,LEN("Functioning At Risk"))="Functioning At Risk"</formula>
    </cfRule>
    <cfRule type="beginsWith" dxfId="10634" priority="2514" stopIfTrue="1" operator="beginsWith" text="Not Functioning">
      <formula>LEFT(C140,LEN("Not Functioning"))="Not Functioning"</formula>
    </cfRule>
    <cfRule type="containsText" dxfId="10633" priority="2515" operator="containsText" text="Functioning">
      <formula>NOT(ISERROR(SEARCH("Functioning",C140)))</formula>
    </cfRule>
  </conditionalFormatting>
  <conditionalFormatting sqref="C134:C137">
    <cfRule type="beginsWith" dxfId="10632" priority="2510" stopIfTrue="1" operator="beginsWith" text="Functioning At Risk">
      <formula>LEFT(C134,LEN("Functioning At Risk"))="Functioning At Risk"</formula>
    </cfRule>
    <cfRule type="beginsWith" dxfId="10631" priority="2511" stopIfTrue="1" operator="beginsWith" text="Not Functioning">
      <formula>LEFT(C134,LEN("Not Functioning"))="Not Functioning"</formula>
    </cfRule>
    <cfRule type="containsText" dxfId="10630" priority="2512" operator="containsText" text="Functioning">
      <formula>NOT(ISERROR(SEARCH("Functioning",C134)))</formula>
    </cfRule>
  </conditionalFormatting>
  <conditionalFormatting sqref="C143">
    <cfRule type="beginsWith" dxfId="10629" priority="2507" stopIfTrue="1" operator="beginsWith" text="Functioning At Risk">
      <formula>LEFT(C143,LEN("Functioning At Risk"))="Functioning At Risk"</formula>
    </cfRule>
    <cfRule type="beginsWith" dxfId="10628" priority="2508" stopIfTrue="1" operator="beginsWith" text="Not Functioning">
      <formula>LEFT(C143,LEN("Not Functioning"))="Not Functioning"</formula>
    </cfRule>
    <cfRule type="containsText" dxfId="10627" priority="2509" operator="containsText" text="Functioning">
      <formula>NOT(ISERROR(SEARCH("Functioning",C143)))</formula>
    </cfRule>
  </conditionalFormatting>
  <conditionalFormatting sqref="C144">
    <cfRule type="beginsWith" dxfId="10626" priority="2504" stopIfTrue="1" operator="beginsWith" text="Functioning At Risk">
      <formula>LEFT(C144,LEN("Functioning At Risk"))="Functioning At Risk"</formula>
    </cfRule>
    <cfRule type="beginsWith" dxfId="10625" priority="2505" stopIfTrue="1" operator="beginsWith" text="Not Functioning">
      <formula>LEFT(C144,LEN("Not Functioning"))="Not Functioning"</formula>
    </cfRule>
    <cfRule type="containsText" dxfId="10624" priority="2506" operator="containsText" text="Functioning">
      <formula>NOT(ISERROR(SEARCH("Functioning",C144)))</formula>
    </cfRule>
  </conditionalFormatting>
  <conditionalFormatting sqref="E103">
    <cfRule type="beginsWith" dxfId="10623" priority="2603" stopIfTrue="1" operator="beginsWith" text="Functioning At Risk">
      <formula>LEFT(E103,LEN("Functioning At Risk"))="Functioning At Risk"</formula>
    </cfRule>
    <cfRule type="beginsWith" dxfId="10622" priority="2604" stopIfTrue="1" operator="beginsWith" text="Not Functioning">
      <formula>LEFT(E103,LEN("Not Functioning"))="Not Functioning"</formula>
    </cfRule>
    <cfRule type="containsText" dxfId="10621" priority="2605" operator="containsText" text="Functioning">
      <formula>NOT(ISERROR(SEARCH("Functioning",E103)))</formula>
    </cfRule>
  </conditionalFormatting>
  <conditionalFormatting sqref="A119:C119 E119:K119 D147:D148">
    <cfRule type="beginsWith" dxfId="10620" priority="2597" stopIfTrue="1" operator="beginsWith" text="Functioning At Risk">
      <formula>LEFT(A119,LEN("Functioning At Risk"))="Functioning At Risk"</formula>
    </cfRule>
    <cfRule type="beginsWith" dxfId="10619" priority="2598" stopIfTrue="1" operator="beginsWith" text="Not Functioning">
      <formula>LEFT(A119,LEN("Not Functioning"))="Not Functioning"</formula>
    </cfRule>
    <cfRule type="containsText" dxfId="10618" priority="2599" operator="containsText" text="Functioning">
      <formula>NOT(ISERROR(SEARCH("Functioning",A119)))</formula>
    </cfRule>
  </conditionalFormatting>
  <conditionalFormatting sqref="I150:I154 B148:B149 D138 B141 A122:B122 A150:B152 H124:I125 H122:I122 H120:K121 A124:B124 A153:A154 D130:D132 B145:B146 A125 D150:D153 D122:D125 D141:D145">
    <cfRule type="beginsWith" dxfId="10617" priority="2594" stopIfTrue="1" operator="beginsWith" text="Functioning At Risk">
      <formula>LEFT(A120,LEN("Functioning At Risk"))="Functioning At Risk"</formula>
    </cfRule>
    <cfRule type="beginsWith" dxfId="10616" priority="2595" stopIfTrue="1" operator="beginsWith" text="Not Functioning">
      <formula>LEFT(A120,LEN("Not Functioning"))="Not Functioning"</formula>
    </cfRule>
    <cfRule type="containsText" dxfId="10615" priority="2596" operator="containsText" text="Functioning">
      <formula>NOT(ISERROR(SEARCH("Functioning",A120)))</formula>
    </cfRule>
  </conditionalFormatting>
  <conditionalFormatting sqref="D133">
    <cfRule type="beginsWith" dxfId="10614" priority="2588" stopIfTrue="1" operator="beginsWith" text="Functioning At Risk">
      <formula>LEFT(D133,LEN("Functioning At Risk"))="Functioning At Risk"</formula>
    </cfRule>
    <cfRule type="beginsWith" dxfId="10613" priority="2589" stopIfTrue="1" operator="beginsWith" text="Not Functioning">
      <formula>LEFT(D133,LEN("Not Functioning"))="Not Functioning"</formula>
    </cfRule>
    <cfRule type="containsText" dxfId="10612" priority="2590" operator="containsText" text="Functioning">
      <formula>NOT(ISERROR(SEARCH("Functioning",D133)))</formula>
    </cfRule>
  </conditionalFormatting>
  <conditionalFormatting sqref="D139">
    <cfRule type="beginsWith" dxfId="10611" priority="2585" stopIfTrue="1" operator="beginsWith" text="Functioning At Risk">
      <formula>LEFT(D139,LEN("Functioning At Risk"))="Functioning At Risk"</formula>
    </cfRule>
    <cfRule type="beginsWith" dxfId="10610" priority="2586" stopIfTrue="1" operator="beginsWith" text="Not Functioning">
      <formula>LEFT(D139,LEN("Not Functioning"))="Not Functioning"</formula>
    </cfRule>
    <cfRule type="containsText" dxfId="10609" priority="2587" operator="containsText" text="Functioning">
      <formula>NOT(ISERROR(SEARCH("Functioning",D139)))</formula>
    </cfRule>
  </conditionalFormatting>
  <conditionalFormatting sqref="D140">
    <cfRule type="beginsWith" dxfId="10608" priority="2582" stopIfTrue="1" operator="beginsWith" text="Functioning At Risk">
      <formula>LEFT(D140,LEN("Functioning At Risk"))="Functioning At Risk"</formula>
    </cfRule>
    <cfRule type="beginsWith" dxfId="10607" priority="2583" stopIfTrue="1" operator="beginsWith" text="Not Functioning">
      <formula>LEFT(D140,LEN("Not Functioning"))="Not Functioning"</formula>
    </cfRule>
    <cfRule type="containsText" dxfId="10606" priority="2584" operator="containsText" text="Functioning">
      <formula>NOT(ISERROR(SEARCH("Functioning",D140)))</formula>
    </cfRule>
  </conditionalFormatting>
  <conditionalFormatting sqref="D134:D137">
    <cfRule type="beginsWith" dxfId="10605" priority="2579" stopIfTrue="1" operator="beginsWith" text="Functioning At Risk">
      <formula>LEFT(D134,LEN("Functioning At Risk"))="Functioning At Risk"</formula>
    </cfRule>
    <cfRule type="beginsWith" dxfId="10604" priority="2580" stopIfTrue="1" operator="beginsWith" text="Not Functioning">
      <formula>LEFT(D134,LEN("Not Functioning"))="Not Functioning"</formula>
    </cfRule>
    <cfRule type="containsText" dxfId="10603" priority="2581" operator="containsText" text="Functioning">
      <formula>NOT(ISERROR(SEARCH("Functioning",D134)))</formula>
    </cfRule>
  </conditionalFormatting>
  <conditionalFormatting sqref="A146">
    <cfRule type="beginsWith" dxfId="10602" priority="2576" stopIfTrue="1" operator="beginsWith" text="Functioning At Risk">
      <formula>LEFT(A146,LEN("Functioning At Risk"))="Functioning At Risk"</formula>
    </cfRule>
    <cfRule type="beginsWith" dxfId="10601" priority="2577" stopIfTrue="1" operator="beginsWith" text="Not Functioning">
      <formula>LEFT(A146,LEN("Not Functioning"))="Not Functioning"</formula>
    </cfRule>
    <cfRule type="containsText" dxfId="10600" priority="2578" operator="containsText" text="Functioning">
      <formula>NOT(ISERROR(SEARCH("Functioning",A146)))</formula>
    </cfRule>
  </conditionalFormatting>
  <conditionalFormatting sqref="H146">
    <cfRule type="beginsWith" dxfId="10599" priority="2573" stopIfTrue="1" operator="beginsWith" text="Functioning At Risk">
      <formula>LEFT(H146,LEN("Functioning At Risk"))="Functioning At Risk"</formula>
    </cfRule>
    <cfRule type="beginsWith" dxfId="10598" priority="2574" stopIfTrue="1" operator="beginsWith" text="Not Functioning">
      <formula>LEFT(H146,LEN("Not Functioning"))="Not Functioning"</formula>
    </cfRule>
    <cfRule type="containsText" dxfId="10597" priority="2575" operator="containsText" text="Functioning">
      <formula>NOT(ISERROR(SEARCH("Functioning",H146)))</formula>
    </cfRule>
  </conditionalFormatting>
  <conditionalFormatting sqref="I146">
    <cfRule type="beginsWith" dxfId="10596" priority="2570" stopIfTrue="1" operator="beginsWith" text="Functioning At Risk">
      <formula>LEFT(I146,LEN("Functioning At Risk"))="Functioning At Risk"</formula>
    </cfRule>
    <cfRule type="beginsWith" dxfId="10595" priority="2571" stopIfTrue="1" operator="beginsWith" text="Not Functioning">
      <formula>LEFT(I146,LEN("Not Functioning"))="Not Functioning"</formula>
    </cfRule>
    <cfRule type="containsText" dxfId="10594" priority="2572" operator="containsText" text="Functioning">
      <formula>NOT(ISERROR(SEARCH("Functioning",I146)))</formula>
    </cfRule>
  </conditionalFormatting>
  <conditionalFormatting sqref="D154">
    <cfRule type="beginsWith" dxfId="10593" priority="2567" stopIfTrue="1" operator="beginsWith" text="Functioning At Risk">
      <formula>LEFT(D154,LEN("Functioning At Risk"))="Functioning At Risk"</formula>
    </cfRule>
    <cfRule type="beginsWith" dxfId="10592" priority="2568" stopIfTrue="1" operator="beginsWith" text="Not Functioning">
      <formula>LEFT(D154,LEN("Not Functioning"))="Not Functioning"</formula>
    </cfRule>
    <cfRule type="containsText" dxfId="10591" priority="2569" operator="containsText" text="Functioning">
      <formula>NOT(ISERROR(SEARCH("Functioning",D154)))</formula>
    </cfRule>
  </conditionalFormatting>
  <conditionalFormatting sqref="D155">
    <cfRule type="beginsWith" dxfId="10590" priority="2564" stopIfTrue="1" operator="beginsWith" text="Functioning At Risk">
      <formula>LEFT(D155,LEN("Functioning At Risk"))="Functioning At Risk"</formula>
    </cfRule>
    <cfRule type="beginsWith" dxfId="10589" priority="2565" stopIfTrue="1" operator="beginsWith" text="Not Functioning">
      <formula>LEFT(D155,LEN("Not Functioning"))="Not Functioning"</formula>
    </cfRule>
    <cfRule type="containsText" dxfId="10588" priority="2566" operator="containsText" text="Functioning">
      <formula>NOT(ISERROR(SEARCH("Functioning",D155)))</formula>
    </cfRule>
  </conditionalFormatting>
  <conditionalFormatting sqref="B154">
    <cfRule type="beginsWith" dxfId="10587" priority="2561" stopIfTrue="1" operator="beginsWith" text="Functioning At Risk">
      <formula>LEFT(B154,LEN("Functioning At Risk"))="Functioning At Risk"</formula>
    </cfRule>
    <cfRule type="beginsWith" dxfId="10586" priority="2562" stopIfTrue="1" operator="beginsWith" text="Not Functioning">
      <formula>LEFT(B154,LEN("Not Functioning"))="Not Functioning"</formula>
    </cfRule>
    <cfRule type="containsText" dxfId="10585" priority="2563" operator="containsText" text="Functioning">
      <formula>NOT(ISERROR(SEARCH("Functioning",B154)))</formula>
    </cfRule>
  </conditionalFormatting>
  <conditionalFormatting sqref="B130">
    <cfRule type="beginsWith" dxfId="10584" priority="2555" stopIfTrue="1" operator="beginsWith" text="Functioning At Risk">
      <formula>LEFT(B130,LEN("Functioning At Risk"))="Functioning At Risk"</formula>
    </cfRule>
    <cfRule type="beginsWith" dxfId="10583" priority="2556" stopIfTrue="1" operator="beginsWith" text="Not Functioning">
      <formula>LEFT(B130,LEN("Not Functioning"))="Not Functioning"</formula>
    </cfRule>
    <cfRule type="containsText" dxfId="10582" priority="2557" operator="containsText" text="Functioning">
      <formula>NOT(ISERROR(SEARCH("Functioning",B130)))</formula>
    </cfRule>
  </conditionalFormatting>
  <conditionalFormatting sqref="E154 E146">
    <cfRule type="beginsWith" dxfId="10581" priority="2543" stopIfTrue="1" operator="beginsWith" text="Functioning At Risk">
      <formula>LEFT(E146,LEN("Functioning At Risk"))="Functioning At Risk"</formula>
    </cfRule>
    <cfRule type="beginsWith" dxfId="10580" priority="2544" stopIfTrue="1" operator="beginsWith" text="Not Functioning">
      <formula>LEFT(E146,LEN("Not Functioning"))="Not Functioning"</formula>
    </cfRule>
    <cfRule type="containsText" dxfId="10579" priority="2545" operator="containsText" text="Functioning">
      <formula>NOT(ISERROR(SEARCH("Functioning",E146)))</formula>
    </cfRule>
  </conditionalFormatting>
  <conditionalFormatting sqref="E155">
    <cfRule type="beginsWith" dxfId="10578" priority="2540" stopIfTrue="1" operator="beginsWith" text="Functioning At Risk">
      <formula>LEFT(E155,LEN("Functioning At Risk"))="Functioning At Risk"</formula>
    </cfRule>
    <cfRule type="beginsWith" dxfId="10577" priority="2541" stopIfTrue="1" operator="beginsWith" text="Not Functioning">
      <formula>LEFT(E155,LEN("Not Functioning"))="Not Functioning"</formula>
    </cfRule>
    <cfRule type="containsText" dxfId="10576" priority="2542" operator="containsText" text="Functioning">
      <formula>NOT(ISERROR(SEARCH("Functioning",E155)))</formula>
    </cfRule>
  </conditionalFormatting>
  <conditionalFormatting sqref="E146">
    <cfRule type="expression" dxfId="10575" priority="2535">
      <formula>B29="Level 4 - Physicochemical"</formula>
    </cfRule>
    <cfRule type="expression" dxfId="10574" priority="2539">
      <formula>B29="Level 5 - Biology"</formula>
    </cfRule>
  </conditionalFormatting>
  <conditionalFormatting sqref="E148">
    <cfRule type="expression" dxfId="10573" priority="2534">
      <formula>B29="Level 4 - Physicochemical"</formula>
    </cfRule>
    <cfRule type="expression" dxfId="10572" priority="2538">
      <formula>B29="Level 5 - Biology"</formula>
    </cfRule>
  </conditionalFormatting>
  <conditionalFormatting sqref="E149">
    <cfRule type="expression" dxfId="10571" priority="2533">
      <formula>B29="Level 4 - Physicochemical"</formula>
    </cfRule>
    <cfRule type="expression" dxfId="10570" priority="2537">
      <formula>B29="Level 5 - Biology"</formula>
    </cfRule>
  </conditionalFormatting>
  <conditionalFormatting sqref="E155">
    <cfRule type="expression" dxfId="10569" priority="2536">
      <formula>B29="Level 5 - Biology"</formula>
    </cfRule>
  </conditionalFormatting>
  <conditionalFormatting sqref="E147">
    <cfRule type="expression" dxfId="10568" priority="2549">
      <formula>B30="Level 4 - Physicochemical"</formula>
    </cfRule>
    <cfRule type="expression" dxfId="10567" priority="2550">
      <formula>B30="Level 5 - Biology"</formula>
    </cfRule>
  </conditionalFormatting>
  <conditionalFormatting sqref="E154">
    <cfRule type="expression" dxfId="10566" priority="2551">
      <formula>B31="Level 5 - Biology"</formula>
    </cfRule>
  </conditionalFormatting>
  <conditionalFormatting sqref="E144:E145">
    <cfRule type="beginsWith" dxfId="10565" priority="2527" stopIfTrue="1" operator="beginsWith" text="Functioning At Risk">
      <formula>LEFT(E144,LEN("Functioning At Risk"))="Functioning At Risk"</formula>
    </cfRule>
    <cfRule type="beginsWith" dxfId="10564" priority="2528" stopIfTrue="1" operator="beginsWith" text="Not Functioning">
      <formula>LEFT(E144,LEN("Not Functioning"))="Not Functioning"</formula>
    </cfRule>
    <cfRule type="containsText" dxfId="10563" priority="2529" operator="containsText" text="Functioning">
      <formula>NOT(ISERROR(SEARCH("Functioning",E144)))</formula>
    </cfRule>
  </conditionalFormatting>
  <conditionalFormatting sqref="E153">
    <cfRule type="expression" dxfId="10562" priority="2525">
      <formula>B1048535="Level 5 - Biology"</formula>
    </cfRule>
  </conditionalFormatting>
  <conditionalFormatting sqref="E150:E153">
    <cfRule type="beginsWith" dxfId="10561" priority="2522" stopIfTrue="1" operator="beginsWith" text="Functioning At Risk">
      <formula>LEFT(E150,LEN("Functioning At Risk"))="Functioning At Risk"</formula>
    </cfRule>
    <cfRule type="beginsWith" dxfId="10560" priority="2523" stopIfTrue="1" operator="beginsWith" text="Not Functioning">
      <formula>LEFT(E150,LEN("Not Functioning"))="Not Functioning"</formula>
    </cfRule>
    <cfRule type="containsText" dxfId="10559" priority="2524" operator="containsText" text="Functioning">
      <formula>NOT(ISERROR(SEARCH("Functioning",E150)))</formula>
    </cfRule>
  </conditionalFormatting>
  <conditionalFormatting sqref="E150:E152">
    <cfRule type="expression" dxfId="10558" priority="2526">
      <formula>B1048534="Level 5 - Biology"</formula>
    </cfRule>
  </conditionalFormatting>
  <conditionalFormatting sqref="C130:C132 C147:C148 C141:C142 C153 C145 C122:C125 C150:C151">
    <cfRule type="beginsWith" dxfId="10557" priority="2519" stopIfTrue="1" operator="beginsWith" text="Functioning At Risk">
      <formula>LEFT(C122,LEN("Functioning At Risk"))="Functioning At Risk"</formula>
    </cfRule>
    <cfRule type="beginsWith" dxfId="10556" priority="2520" stopIfTrue="1" operator="beginsWith" text="Not Functioning">
      <formula>LEFT(C122,LEN("Not Functioning"))="Not Functioning"</formula>
    </cfRule>
    <cfRule type="containsText" dxfId="10555" priority="2521" operator="containsText" text="Functioning">
      <formula>NOT(ISERROR(SEARCH("Functioning",C122)))</formula>
    </cfRule>
  </conditionalFormatting>
  <conditionalFormatting sqref="C133">
    <cfRule type="beginsWith" dxfId="10554" priority="2516" stopIfTrue="1" operator="beginsWith" text="Functioning At Risk">
      <formula>LEFT(C133,LEN("Functioning At Risk"))="Functioning At Risk"</formula>
    </cfRule>
    <cfRule type="beginsWith" dxfId="10553" priority="2517" stopIfTrue="1" operator="beginsWith" text="Not Functioning">
      <formula>LEFT(C133,LEN("Not Functioning"))="Not Functioning"</formula>
    </cfRule>
    <cfRule type="containsText" dxfId="10552" priority="2518" operator="containsText" text="Functioning">
      <formula>NOT(ISERROR(SEARCH("Functioning",C133)))</formula>
    </cfRule>
  </conditionalFormatting>
  <conditionalFormatting sqref="C155">
    <cfRule type="beginsWith" dxfId="10551" priority="2498" stopIfTrue="1" operator="beginsWith" text="Functioning At Risk">
      <formula>LEFT(C155,LEN("Functioning At Risk"))="Functioning At Risk"</formula>
    </cfRule>
    <cfRule type="beginsWith" dxfId="10550" priority="2499" stopIfTrue="1" operator="beginsWith" text="Not Functioning">
      <formula>LEFT(C155,LEN("Not Functioning"))="Not Functioning"</formula>
    </cfRule>
    <cfRule type="containsText" dxfId="10549" priority="2500" operator="containsText" text="Functioning">
      <formula>NOT(ISERROR(SEARCH("Functioning",C155)))</formula>
    </cfRule>
  </conditionalFormatting>
  <conditionalFormatting sqref="C154">
    <cfRule type="beginsWith" dxfId="10548" priority="2501" stopIfTrue="1" operator="beginsWith" text="Functioning At Risk">
      <formula>LEFT(C154,LEN("Functioning At Risk"))="Functioning At Risk"</formula>
    </cfRule>
    <cfRule type="beginsWith" dxfId="10547" priority="2502" stopIfTrue="1" operator="beginsWith" text="Not Functioning">
      <formula>LEFT(C154,LEN("Not Functioning"))="Not Functioning"</formula>
    </cfRule>
    <cfRule type="containsText" dxfId="10546" priority="2503" operator="containsText" text="Functioning">
      <formula>NOT(ISERROR(SEARCH("Functioning",C154)))</formula>
    </cfRule>
  </conditionalFormatting>
  <conditionalFormatting sqref="C152">
    <cfRule type="beginsWith" dxfId="10545" priority="2495" stopIfTrue="1" operator="beginsWith" text="Functioning At Risk">
      <formula>LEFT(C152,LEN("Functioning At Risk"))="Functioning At Risk"</formula>
    </cfRule>
    <cfRule type="beginsWith" dxfId="10544" priority="2496" stopIfTrue="1" operator="beginsWith" text="Not Functioning">
      <formula>LEFT(C152,LEN("Not Functioning"))="Not Functioning"</formula>
    </cfRule>
    <cfRule type="containsText" dxfId="10543" priority="2497" operator="containsText" text="Functioning">
      <formula>NOT(ISERROR(SEARCH("Functioning",C152)))</formula>
    </cfRule>
  </conditionalFormatting>
  <conditionalFormatting sqref="C138:C139">
    <cfRule type="beginsWith" dxfId="10542" priority="2492" stopIfTrue="1" operator="beginsWith" text="Functioning At Risk">
      <formula>LEFT(C138,LEN("Functioning At Risk"))="Functioning At Risk"</formula>
    </cfRule>
    <cfRule type="beginsWith" dxfId="10541" priority="2493" stopIfTrue="1" operator="beginsWith" text="Not Functioning">
      <formula>LEFT(C138,LEN("Not Functioning"))="Not Functioning"</formula>
    </cfRule>
    <cfRule type="containsText" dxfId="10540" priority="2494" operator="containsText" text="Functioning">
      <formula>NOT(ISERROR(SEARCH("Functioning",C138)))</formula>
    </cfRule>
  </conditionalFormatting>
  <conditionalFormatting sqref="E141">
    <cfRule type="beginsWith" dxfId="10539" priority="2477" stopIfTrue="1" operator="beginsWith" text="Functioning At Risk">
      <formula>LEFT(E141,LEN("Functioning At Risk"))="Functioning At Risk"</formula>
    </cfRule>
    <cfRule type="beginsWith" dxfId="10538" priority="2478" stopIfTrue="1" operator="beginsWith" text="Not Functioning">
      <formula>LEFT(E141,LEN("Not Functioning"))="Not Functioning"</formula>
    </cfRule>
    <cfRule type="containsText" dxfId="10537" priority="2479" operator="containsText" text="Functioning">
      <formula>NOT(ISERROR(SEARCH("Functioning",E141)))</formula>
    </cfRule>
  </conditionalFormatting>
  <conditionalFormatting sqref="E143">
    <cfRule type="beginsWith" dxfId="10536" priority="2474" stopIfTrue="1" operator="beginsWith" text="Functioning At Risk">
      <formula>LEFT(E143,LEN("Functioning At Risk"))="Functioning At Risk"</formula>
    </cfRule>
    <cfRule type="beginsWith" dxfId="10535" priority="2475" stopIfTrue="1" operator="beginsWith" text="Not Functioning">
      <formula>LEFT(E143,LEN("Not Functioning"))="Not Functioning"</formula>
    </cfRule>
    <cfRule type="containsText" dxfId="10534" priority="2476" operator="containsText" text="Functioning">
      <formula>NOT(ISERROR(SEARCH("Functioning",E143)))</formula>
    </cfRule>
  </conditionalFormatting>
  <conditionalFormatting sqref="E189:E192">
    <cfRule type="beginsWith" dxfId="10533" priority="2372" stopIfTrue="1" operator="beginsWith" text="Functioning At Risk">
      <formula>LEFT(E189,LEN("Functioning At Risk"))="Functioning At Risk"</formula>
    </cfRule>
    <cfRule type="beginsWith" dxfId="10532" priority="2373" stopIfTrue="1" operator="beginsWith" text="Not Functioning">
      <formula>LEFT(E189,LEN("Not Functioning"))="Not Functioning"</formula>
    </cfRule>
    <cfRule type="containsText" dxfId="10531" priority="2374" operator="containsText" text="Functioning">
      <formula>NOT(ISERROR(SEARCH("Functioning",E189)))</formula>
    </cfRule>
  </conditionalFormatting>
  <conditionalFormatting sqref="C169:C171 C186:C187 C180:C181 C192 C184 C161:C164 C189:C190">
    <cfRule type="beginsWith" dxfId="10530" priority="2369" stopIfTrue="1" operator="beginsWith" text="Functioning At Risk">
      <formula>LEFT(C161,LEN("Functioning At Risk"))="Functioning At Risk"</formula>
    </cfRule>
    <cfRule type="beginsWith" dxfId="10529" priority="2370" stopIfTrue="1" operator="beginsWith" text="Not Functioning">
      <formula>LEFT(C161,LEN("Not Functioning"))="Not Functioning"</formula>
    </cfRule>
    <cfRule type="containsText" dxfId="10528" priority="2371" operator="containsText" text="Functioning">
      <formula>NOT(ISERROR(SEARCH("Functioning",C161)))</formula>
    </cfRule>
  </conditionalFormatting>
  <conditionalFormatting sqref="C172">
    <cfRule type="beginsWith" dxfId="10527" priority="2366" stopIfTrue="1" operator="beginsWith" text="Functioning At Risk">
      <formula>LEFT(C172,LEN("Functioning At Risk"))="Functioning At Risk"</formula>
    </cfRule>
    <cfRule type="beginsWith" dxfId="10526" priority="2367" stopIfTrue="1" operator="beginsWith" text="Not Functioning">
      <formula>LEFT(C172,LEN("Not Functioning"))="Not Functioning"</formula>
    </cfRule>
    <cfRule type="containsText" dxfId="10525" priority="2368" operator="containsText" text="Functioning">
      <formula>NOT(ISERROR(SEARCH("Functioning",C172)))</formula>
    </cfRule>
  </conditionalFormatting>
  <conditionalFormatting sqref="E142">
    <cfRule type="beginsWith" dxfId="10524" priority="2453" stopIfTrue="1" operator="beginsWith" text="Functioning At Risk">
      <formula>LEFT(E142,LEN("Functioning At Risk"))="Functioning At Risk"</formula>
    </cfRule>
    <cfRule type="beginsWith" dxfId="10523" priority="2454" stopIfTrue="1" operator="beginsWith" text="Not Functioning">
      <formula>LEFT(E142,LEN("Not Functioning"))="Not Functioning"</formula>
    </cfRule>
    <cfRule type="containsText" dxfId="10522" priority="2455" operator="containsText" text="Functioning">
      <formula>NOT(ISERROR(SEARCH("Functioning",E142)))</formula>
    </cfRule>
  </conditionalFormatting>
  <conditionalFormatting sqref="A158:C158 E158:K158 D186:D187">
    <cfRule type="beginsWith" dxfId="10521" priority="2447" stopIfTrue="1" operator="beginsWith" text="Functioning At Risk">
      <formula>LEFT(A158,LEN("Functioning At Risk"))="Functioning At Risk"</formula>
    </cfRule>
    <cfRule type="beginsWith" dxfId="10520" priority="2448" stopIfTrue="1" operator="beginsWith" text="Not Functioning">
      <formula>LEFT(A158,LEN("Not Functioning"))="Not Functioning"</formula>
    </cfRule>
    <cfRule type="containsText" dxfId="10519" priority="2449" operator="containsText" text="Functioning">
      <formula>NOT(ISERROR(SEARCH("Functioning",A158)))</formula>
    </cfRule>
  </conditionalFormatting>
  <conditionalFormatting sqref="I189:I193 B187:B188 D177 B180 A161:B161 A189:B191 H163:I164 H161:I161 H159:K160 A163:B163 A192:A193 D169:D171 B184:B185 A164 D189:D192 D161:D164 D180:D184">
    <cfRule type="beginsWith" dxfId="10518" priority="2444" stopIfTrue="1" operator="beginsWith" text="Functioning At Risk">
      <formula>LEFT(A159,LEN("Functioning At Risk"))="Functioning At Risk"</formula>
    </cfRule>
    <cfRule type="beginsWith" dxfId="10517" priority="2445" stopIfTrue="1" operator="beginsWith" text="Not Functioning">
      <formula>LEFT(A159,LEN("Not Functioning"))="Not Functioning"</formula>
    </cfRule>
    <cfRule type="containsText" dxfId="10516" priority="2446" operator="containsText" text="Functioning">
      <formula>NOT(ISERROR(SEARCH("Functioning",A159)))</formula>
    </cfRule>
  </conditionalFormatting>
  <conditionalFormatting sqref="D172">
    <cfRule type="beginsWith" dxfId="10515" priority="2438" stopIfTrue="1" operator="beginsWith" text="Functioning At Risk">
      <formula>LEFT(D172,LEN("Functioning At Risk"))="Functioning At Risk"</formula>
    </cfRule>
    <cfRule type="beginsWith" dxfId="10514" priority="2439" stopIfTrue="1" operator="beginsWith" text="Not Functioning">
      <formula>LEFT(D172,LEN("Not Functioning"))="Not Functioning"</formula>
    </cfRule>
    <cfRule type="containsText" dxfId="10513" priority="2440" operator="containsText" text="Functioning">
      <formula>NOT(ISERROR(SEARCH("Functioning",D172)))</formula>
    </cfRule>
  </conditionalFormatting>
  <conditionalFormatting sqref="D178">
    <cfRule type="beginsWith" dxfId="10512" priority="2435" stopIfTrue="1" operator="beginsWith" text="Functioning At Risk">
      <formula>LEFT(D178,LEN("Functioning At Risk"))="Functioning At Risk"</formula>
    </cfRule>
    <cfRule type="beginsWith" dxfId="10511" priority="2436" stopIfTrue="1" operator="beginsWith" text="Not Functioning">
      <formula>LEFT(D178,LEN("Not Functioning"))="Not Functioning"</formula>
    </cfRule>
    <cfRule type="containsText" dxfId="10510" priority="2437" operator="containsText" text="Functioning">
      <formula>NOT(ISERROR(SEARCH("Functioning",D178)))</formula>
    </cfRule>
  </conditionalFormatting>
  <conditionalFormatting sqref="D179">
    <cfRule type="beginsWith" dxfId="10509" priority="2432" stopIfTrue="1" operator="beginsWith" text="Functioning At Risk">
      <formula>LEFT(D179,LEN("Functioning At Risk"))="Functioning At Risk"</formula>
    </cfRule>
    <cfRule type="beginsWith" dxfId="10508" priority="2433" stopIfTrue="1" operator="beginsWith" text="Not Functioning">
      <formula>LEFT(D179,LEN("Not Functioning"))="Not Functioning"</formula>
    </cfRule>
    <cfRule type="containsText" dxfId="10507" priority="2434" operator="containsText" text="Functioning">
      <formula>NOT(ISERROR(SEARCH("Functioning",D179)))</formula>
    </cfRule>
  </conditionalFormatting>
  <conditionalFormatting sqref="D173:D176">
    <cfRule type="beginsWith" dxfId="10506" priority="2429" stopIfTrue="1" operator="beginsWith" text="Functioning At Risk">
      <formula>LEFT(D173,LEN("Functioning At Risk"))="Functioning At Risk"</formula>
    </cfRule>
    <cfRule type="beginsWith" dxfId="10505" priority="2430" stopIfTrue="1" operator="beginsWith" text="Not Functioning">
      <formula>LEFT(D173,LEN("Not Functioning"))="Not Functioning"</formula>
    </cfRule>
    <cfRule type="containsText" dxfId="10504" priority="2431" operator="containsText" text="Functioning">
      <formula>NOT(ISERROR(SEARCH("Functioning",D173)))</formula>
    </cfRule>
  </conditionalFormatting>
  <conditionalFormatting sqref="A185">
    <cfRule type="beginsWith" dxfId="10503" priority="2426" stopIfTrue="1" operator="beginsWith" text="Functioning At Risk">
      <formula>LEFT(A185,LEN("Functioning At Risk"))="Functioning At Risk"</formula>
    </cfRule>
    <cfRule type="beginsWith" dxfId="10502" priority="2427" stopIfTrue="1" operator="beginsWith" text="Not Functioning">
      <formula>LEFT(A185,LEN("Not Functioning"))="Not Functioning"</formula>
    </cfRule>
    <cfRule type="containsText" dxfId="10501" priority="2428" operator="containsText" text="Functioning">
      <formula>NOT(ISERROR(SEARCH("Functioning",A185)))</formula>
    </cfRule>
  </conditionalFormatting>
  <conditionalFormatting sqref="H185">
    <cfRule type="beginsWith" dxfId="10500" priority="2423" stopIfTrue="1" operator="beginsWith" text="Functioning At Risk">
      <formula>LEFT(H185,LEN("Functioning At Risk"))="Functioning At Risk"</formula>
    </cfRule>
    <cfRule type="beginsWith" dxfId="10499" priority="2424" stopIfTrue="1" operator="beginsWith" text="Not Functioning">
      <formula>LEFT(H185,LEN("Not Functioning"))="Not Functioning"</formula>
    </cfRule>
    <cfRule type="containsText" dxfId="10498" priority="2425" operator="containsText" text="Functioning">
      <formula>NOT(ISERROR(SEARCH("Functioning",H185)))</formula>
    </cfRule>
  </conditionalFormatting>
  <conditionalFormatting sqref="I185">
    <cfRule type="beginsWith" dxfId="10497" priority="2420" stopIfTrue="1" operator="beginsWith" text="Functioning At Risk">
      <formula>LEFT(I185,LEN("Functioning At Risk"))="Functioning At Risk"</formula>
    </cfRule>
    <cfRule type="beginsWith" dxfId="10496" priority="2421" stopIfTrue="1" operator="beginsWith" text="Not Functioning">
      <formula>LEFT(I185,LEN("Not Functioning"))="Not Functioning"</formula>
    </cfRule>
    <cfRule type="containsText" dxfId="10495" priority="2422" operator="containsText" text="Functioning">
      <formula>NOT(ISERROR(SEARCH("Functioning",I185)))</formula>
    </cfRule>
  </conditionalFormatting>
  <conditionalFormatting sqref="D193">
    <cfRule type="beginsWith" dxfId="10494" priority="2417" stopIfTrue="1" operator="beginsWith" text="Functioning At Risk">
      <formula>LEFT(D193,LEN("Functioning At Risk"))="Functioning At Risk"</formula>
    </cfRule>
    <cfRule type="beginsWith" dxfId="10493" priority="2418" stopIfTrue="1" operator="beginsWith" text="Not Functioning">
      <formula>LEFT(D193,LEN("Not Functioning"))="Not Functioning"</formula>
    </cfRule>
    <cfRule type="containsText" dxfId="10492" priority="2419" operator="containsText" text="Functioning">
      <formula>NOT(ISERROR(SEARCH("Functioning",D193)))</formula>
    </cfRule>
  </conditionalFormatting>
  <conditionalFormatting sqref="D194">
    <cfRule type="beginsWith" dxfId="10491" priority="2414" stopIfTrue="1" operator="beginsWith" text="Functioning At Risk">
      <formula>LEFT(D194,LEN("Functioning At Risk"))="Functioning At Risk"</formula>
    </cfRule>
    <cfRule type="beginsWith" dxfId="10490" priority="2415" stopIfTrue="1" operator="beginsWith" text="Not Functioning">
      <formula>LEFT(D194,LEN("Not Functioning"))="Not Functioning"</formula>
    </cfRule>
    <cfRule type="containsText" dxfId="10489" priority="2416" operator="containsText" text="Functioning">
      <formula>NOT(ISERROR(SEARCH("Functioning",D194)))</formula>
    </cfRule>
  </conditionalFormatting>
  <conditionalFormatting sqref="B193">
    <cfRule type="beginsWith" dxfId="10488" priority="2411" stopIfTrue="1" operator="beginsWith" text="Functioning At Risk">
      <formula>LEFT(B193,LEN("Functioning At Risk"))="Functioning At Risk"</formula>
    </cfRule>
    <cfRule type="beginsWith" dxfId="10487" priority="2412" stopIfTrue="1" operator="beginsWith" text="Not Functioning">
      <formula>LEFT(B193,LEN("Not Functioning"))="Not Functioning"</formula>
    </cfRule>
    <cfRule type="containsText" dxfId="10486" priority="2413" operator="containsText" text="Functioning">
      <formula>NOT(ISERROR(SEARCH("Functioning",B193)))</formula>
    </cfRule>
  </conditionalFormatting>
  <conditionalFormatting sqref="B169">
    <cfRule type="beginsWith" dxfId="10485" priority="2405" stopIfTrue="1" operator="beginsWith" text="Functioning At Risk">
      <formula>LEFT(B169,LEN("Functioning At Risk"))="Functioning At Risk"</formula>
    </cfRule>
    <cfRule type="beginsWith" dxfId="10484" priority="2406" stopIfTrue="1" operator="beginsWith" text="Not Functioning">
      <formula>LEFT(B169,LEN("Not Functioning"))="Not Functioning"</formula>
    </cfRule>
    <cfRule type="containsText" dxfId="10483" priority="2407" operator="containsText" text="Functioning">
      <formula>NOT(ISERROR(SEARCH("Functioning",B169)))</formula>
    </cfRule>
  </conditionalFormatting>
  <conditionalFormatting sqref="D217">
    <cfRule type="beginsWith" dxfId="10482" priority="2285" stopIfTrue="1" operator="beginsWith" text="Functioning At Risk">
      <formula>LEFT(D217,LEN("Functioning At Risk"))="Functioning At Risk"</formula>
    </cfRule>
    <cfRule type="beginsWith" dxfId="10481" priority="2286" stopIfTrue="1" operator="beginsWith" text="Not Functioning">
      <formula>LEFT(D217,LEN("Not Functioning"))="Not Functioning"</formula>
    </cfRule>
    <cfRule type="containsText" dxfId="10480" priority="2287" operator="containsText" text="Functioning">
      <formula>NOT(ISERROR(SEARCH("Functioning",D217)))</formula>
    </cfRule>
  </conditionalFormatting>
  <conditionalFormatting sqref="E193 E161:E162 E185">
    <cfRule type="beginsWith" dxfId="10479" priority="2393" stopIfTrue="1" operator="beginsWith" text="Functioning At Risk">
      <formula>LEFT(E161,LEN("Functioning At Risk"))="Functioning At Risk"</formula>
    </cfRule>
    <cfRule type="beginsWith" dxfId="10478" priority="2394" stopIfTrue="1" operator="beginsWith" text="Not Functioning">
      <formula>LEFT(E161,LEN("Not Functioning"))="Not Functioning"</formula>
    </cfRule>
    <cfRule type="containsText" dxfId="10477" priority="2395" operator="containsText" text="Functioning">
      <formula>NOT(ISERROR(SEARCH("Functioning",E161)))</formula>
    </cfRule>
  </conditionalFormatting>
  <conditionalFormatting sqref="E194">
    <cfRule type="beginsWith" dxfId="10476" priority="2390" stopIfTrue="1" operator="beginsWith" text="Functioning At Risk">
      <formula>LEFT(E194,LEN("Functioning At Risk"))="Functioning At Risk"</formula>
    </cfRule>
    <cfRule type="beginsWith" dxfId="10475" priority="2391" stopIfTrue="1" operator="beginsWith" text="Not Functioning">
      <formula>LEFT(E194,LEN("Not Functioning"))="Not Functioning"</formula>
    </cfRule>
    <cfRule type="containsText" dxfId="10474" priority="2392" operator="containsText" text="Functioning">
      <formula>NOT(ISERROR(SEARCH("Functioning",E194)))</formula>
    </cfRule>
  </conditionalFormatting>
  <conditionalFormatting sqref="E185">
    <cfRule type="expression" dxfId="10473" priority="2385">
      <formula>B68="Level 4 - Physicochemical"</formula>
    </cfRule>
    <cfRule type="expression" dxfId="10472" priority="2389">
      <formula>B68="Level 5 - Biology"</formula>
    </cfRule>
  </conditionalFormatting>
  <conditionalFormatting sqref="E187">
    <cfRule type="expression" dxfId="10471" priority="2384">
      <formula>B68="Level 4 - Physicochemical"</formula>
    </cfRule>
    <cfRule type="expression" dxfId="10470" priority="2388">
      <formula>B68="Level 5 - Biology"</formula>
    </cfRule>
  </conditionalFormatting>
  <conditionalFormatting sqref="E188">
    <cfRule type="expression" dxfId="10469" priority="2383">
      <formula>B68="Level 4 - Physicochemical"</formula>
    </cfRule>
    <cfRule type="expression" dxfId="10468" priority="2387">
      <formula>B68="Level 5 - Biology"</formula>
    </cfRule>
  </conditionalFormatting>
  <conditionalFormatting sqref="E194">
    <cfRule type="expression" dxfId="10467" priority="2386">
      <formula>B68="Level 5 - Biology"</formula>
    </cfRule>
  </conditionalFormatting>
  <conditionalFormatting sqref="E186">
    <cfRule type="expression" dxfId="10466" priority="2399">
      <formula>B69="Level 4 - Physicochemical"</formula>
    </cfRule>
    <cfRule type="expression" dxfId="10465" priority="2400">
      <formula>B69="Level 5 - Biology"</formula>
    </cfRule>
  </conditionalFormatting>
  <conditionalFormatting sqref="E193">
    <cfRule type="expression" dxfId="10464" priority="2401">
      <formula>B70="Level 5 - Biology"</formula>
    </cfRule>
  </conditionalFormatting>
  <conditionalFormatting sqref="E183:E184">
    <cfRule type="beginsWith" dxfId="10463" priority="2377" stopIfTrue="1" operator="beginsWith" text="Functioning At Risk">
      <formula>LEFT(E183,LEN("Functioning At Risk"))="Functioning At Risk"</formula>
    </cfRule>
    <cfRule type="beginsWith" dxfId="10462" priority="2378" stopIfTrue="1" operator="beginsWith" text="Not Functioning">
      <formula>LEFT(E183,LEN("Not Functioning"))="Not Functioning"</formula>
    </cfRule>
    <cfRule type="containsText" dxfId="10461" priority="2379" operator="containsText" text="Functioning">
      <formula>NOT(ISERROR(SEARCH("Functioning",E183)))</formula>
    </cfRule>
  </conditionalFormatting>
  <conditionalFormatting sqref="C179">
    <cfRule type="beginsWith" dxfId="10460" priority="2363" stopIfTrue="1" operator="beginsWith" text="Functioning At Risk">
      <formula>LEFT(C179,LEN("Functioning At Risk"))="Functioning At Risk"</formula>
    </cfRule>
    <cfRule type="beginsWith" dxfId="10459" priority="2364" stopIfTrue="1" operator="beginsWith" text="Not Functioning">
      <formula>LEFT(C179,LEN("Not Functioning"))="Not Functioning"</formula>
    </cfRule>
    <cfRule type="containsText" dxfId="10458" priority="2365" operator="containsText" text="Functioning">
      <formula>NOT(ISERROR(SEARCH("Functioning",C179)))</formula>
    </cfRule>
  </conditionalFormatting>
  <conditionalFormatting sqref="C173:C176">
    <cfRule type="beginsWith" dxfId="10457" priority="2360" stopIfTrue="1" operator="beginsWith" text="Functioning At Risk">
      <formula>LEFT(C173,LEN("Functioning At Risk"))="Functioning At Risk"</formula>
    </cfRule>
    <cfRule type="beginsWith" dxfId="10456" priority="2361" stopIfTrue="1" operator="beginsWith" text="Not Functioning">
      <formula>LEFT(C173,LEN("Not Functioning"))="Not Functioning"</formula>
    </cfRule>
    <cfRule type="containsText" dxfId="10455" priority="2362" operator="containsText" text="Functioning">
      <formula>NOT(ISERROR(SEARCH("Functioning",C173)))</formula>
    </cfRule>
  </conditionalFormatting>
  <conditionalFormatting sqref="C182">
    <cfRule type="beginsWith" dxfId="10454" priority="2357" stopIfTrue="1" operator="beginsWith" text="Functioning At Risk">
      <formula>LEFT(C182,LEN("Functioning At Risk"))="Functioning At Risk"</formula>
    </cfRule>
    <cfRule type="beginsWith" dxfId="10453" priority="2358" stopIfTrue="1" operator="beginsWith" text="Not Functioning">
      <formula>LEFT(C182,LEN("Not Functioning"))="Not Functioning"</formula>
    </cfRule>
    <cfRule type="containsText" dxfId="10452" priority="2359" operator="containsText" text="Functioning">
      <formula>NOT(ISERROR(SEARCH("Functioning",C182)))</formula>
    </cfRule>
  </conditionalFormatting>
  <conditionalFormatting sqref="C183">
    <cfRule type="beginsWith" dxfId="10451" priority="2354" stopIfTrue="1" operator="beginsWith" text="Functioning At Risk">
      <formula>LEFT(C183,LEN("Functioning At Risk"))="Functioning At Risk"</formula>
    </cfRule>
    <cfRule type="beginsWith" dxfId="10450" priority="2355" stopIfTrue="1" operator="beginsWith" text="Not Functioning">
      <formula>LEFT(C183,LEN("Not Functioning"))="Not Functioning"</formula>
    </cfRule>
    <cfRule type="containsText" dxfId="10449" priority="2356" operator="containsText" text="Functioning">
      <formula>NOT(ISERROR(SEARCH("Functioning",C183)))</formula>
    </cfRule>
  </conditionalFormatting>
  <conditionalFormatting sqref="C194">
    <cfRule type="beginsWith" dxfId="10448" priority="2348" stopIfTrue="1" operator="beginsWith" text="Functioning At Risk">
      <formula>LEFT(C194,LEN("Functioning At Risk"))="Functioning At Risk"</formula>
    </cfRule>
    <cfRule type="beginsWith" dxfId="10447" priority="2349" stopIfTrue="1" operator="beginsWith" text="Not Functioning">
      <formula>LEFT(C194,LEN("Not Functioning"))="Not Functioning"</formula>
    </cfRule>
    <cfRule type="containsText" dxfId="10446" priority="2350" operator="containsText" text="Functioning">
      <formula>NOT(ISERROR(SEARCH("Functioning",C194)))</formula>
    </cfRule>
  </conditionalFormatting>
  <conditionalFormatting sqref="C193">
    <cfRule type="beginsWith" dxfId="10445" priority="2351" stopIfTrue="1" operator="beginsWith" text="Functioning At Risk">
      <formula>LEFT(C193,LEN("Functioning At Risk"))="Functioning At Risk"</formula>
    </cfRule>
    <cfRule type="beginsWith" dxfId="10444" priority="2352" stopIfTrue="1" operator="beginsWith" text="Not Functioning">
      <formula>LEFT(C193,LEN("Not Functioning"))="Not Functioning"</formula>
    </cfRule>
    <cfRule type="containsText" dxfId="10443" priority="2353" operator="containsText" text="Functioning">
      <formula>NOT(ISERROR(SEARCH("Functioning",C193)))</formula>
    </cfRule>
  </conditionalFormatting>
  <conditionalFormatting sqref="C191">
    <cfRule type="beginsWith" dxfId="10442" priority="2345" stopIfTrue="1" operator="beginsWith" text="Functioning At Risk">
      <formula>LEFT(C191,LEN("Functioning At Risk"))="Functioning At Risk"</formula>
    </cfRule>
    <cfRule type="beginsWith" dxfId="10441" priority="2346" stopIfTrue="1" operator="beginsWith" text="Not Functioning">
      <formula>LEFT(C191,LEN("Not Functioning"))="Not Functioning"</formula>
    </cfRule>
    <cfRule type="containsText" dxfId="10440" priority="2347" operator="containsText" text="Functioning">
      <formula>NOT(ISERROR(SEARCH("Functioning",C191)))</formula>
    </cfRule>
  </conditionalFormatting>
  <conditionalFormatting sqref="C177:C178">
    <cfRule type="beginsWith" dxfId="10439" priority="2342" stopIfTrue="1" operator="beginsWith" text="Functioning At Risk">
      <formula>LEFT(C177,LEN("Functioning At Risk"))="Functioning At Risk"</formula>
    </cfRule>
    <cfRule type="beginsWith" dxfId="10438" priority="2343" stopIfTrue="1" operator="beginsWith" text="Not Functioning">
      <formula>LEFT(C177,LEN("Not Functioning"))="Not Functioning"</formula>
    </cfRule>
    <cfRule type="containsText" dxfId="10437" priority="2344" operator="containsText" text="Functioning">
      <formula>NOT(ISERROR(SEARCH("Functioning",C177)))</formula>
    </cfRule>
  </conditionalFormatting>
  <conditionalFormatting sqref="E180">
    <cfRule type="beginsWith" dxfId="10436" priority="2327" stopIfTrue="1" operator="beginsWith" text="Functioning At Risk">
      <formula>LEFT(E180,LEN("Functioning At Risk"))="Functioning At Risk"</formula>
    </cfRule>
    <cfRule type="beginsWith" dxfId="10435" priority="2328" stopIfTrue="1" operator="beginsWith" text="Not Functioning">
      <formula>LEFT(E180,LEN("Not Functioning"))="Not Functioning"</formula>
    </cfRule>
    <cfRule type="containsText" dxfId="10434" priority="2329" operator="containsText" text="Functioning">
      <formula>NOT(ISERROR(SEARCH("Functioning",E180)))</formula>
    </cfRule>
  </conditionalFormatting>
  <conditionalFormatting sqref="E182">
    <cfRule type="beginsWith" dxfId="10433" priority="2324" stopIfTrue="1" operator="beginsWith" text="Functioning At Risk">
      <formula>LEFT(E182,LEN("Functioning At Risk"))="Functioning At Risk"</formula>
    </cfRule>
    <cfRule type="beginsWith" dxfId="10432" priority="2325" stopIfTrue="1" operator="beginsWith" text="Not Functioning">
      <formula>LEFT(E182,LEN("Not Functioning"))="Not Functioning"</formula>
    </cfRule>
    <cfRule type="containsText" dxfId="10431" priority="2326" operator="containsText" text="Functioning">
      <formula>NOT(ISERROR(SEARCH("Functioning",E182)))</formula>
    </cfRule>
  </conditionalFormatting>
  <conditionalFormatting sqref="E181">
    <cfRule type="beginsWith" dxfId="10430" priority="2303" stopIfTrue="1" operator="beginsWith" text="Functioning At Risk">
      <formula>LEFT(E181,LEN("Functioning At Risk"))="Functioning At Risk"</formula>
    </cfRule>
    <cfRule type="beginsWith" dxfId="10429" priority="2304" stopIfTrue="1" operator="beginsWith" text="Not Functioning">
      <formula>LEFT(E181,LEN("Not Functioning"))="Not Functioning"</formula>
    </cfRule>
    <cfRule type="containsText" dxfId="10428" priority="2305" operator="containsText" text="Functioning">
      <formula>NOT(ISERROR(SEARCH("Functioning",E181)))</formula>
    </cfRule>
  </conditionalFormatting>
  <conditionalFormatting sqref="A197:C197 E197:K197 D225:D226">
    <cfRule type="beginsWith" dxfId="10427" priority="2297" stopIfTrue="1" operator="beginsWith" text="Functioning At Risk">
      <formula>LEFT(A197,LEN("Functioning At Risk"))="Functioning At Risk"</formula>
    </cfRule>
    <cfRule type="beginsWith" dxfId="10426" priority="2298" stopIfTrue="1" operator="beginsWith" text="Not Functioning">
      <formula>LEFT(A197,LEN("Not Functioning"))="Not Functioning"</formula>
    </cfRule>
    <cfRule type="containsText" dxfId="10425" priority="2299" operator="containsText" text="Functioning">
      <formula>NOT(ISERROR(SEARCH("Functioning",A197)))</formula>
    </cfRule>
  </conditionalFormatting>
  <conditionalFormatting sqref="I228:I232 B226:B227 D216 B219 A200:B200 A228:B230 H202:I203 H200:I200 H198:K199 A202:B202 A231:A232 D208:D210 B223:B224 A203 D228:D231 D200:D203 D219:D223">
    <cfRule type="beginsWith" dxfId="10424" priority="2294" stopIfTrue="1" operator="beginsWith" text="Functioning At Risk">
      <formula>LEFT(A198,LEN("Functioning At Risk"))="Functioning At Risk"</formula>
    </cfRule>
    <cfRule type="beginsWith" dxfId="10423" priority="2295" stopIfTrue="1" operator="beginsWith" text="Not Functioning">
      <formula>LEFT(A198,LEN("Not Functioning"))="Not Functioning"</formula>
    </cfRule>
    <cfRule type="containsText" dxfId="10422" priority="2296" operator="containsText" text="Functioning">
      <formula>NOT(ISERROR(SEARCH("Functioning",A198)))</formula>
    </cfRule>
  </conditionalFormatting>
  <conditionalFormatting sqref="E219">
    <cfRule type="beginsWith" dxfId="10421" priority="2177" stopIfTrue="1" operator="beginsWith" text="Functioning At Risk">
      <formula>LEFT(E219,LEN("Functioning At Risk"))="Functioning At Risk"</formula>
    </cfRule>
    <cfRule type="beginsWith" dxfId="10420" priority="2178" stopIfTrue="1" operator="beginsWith" text="Not Functioning">
      <formula>LEFT(E219,LEN("Not Functioning"))="Not Functioning"</formula>
    </cfRule>
    <cfRule type="containsText" dxfId="10419" priority="2179" operator="containsText" text="Functioning">
      <formula>NOT(ISERROR(SEARCH("Functioning",E219)))</formula>
    </cfRule>
  </conditionalFormatting>
  <conditionalFormatting sqref="D211">
    <cfRule type="beginsWith" dxfId="10418" priority="2288" stopIfTrue="1" operator="beginsWith" text="Functioning At Risk">
      <formula>LEFT(D211,LEN("Functioning At Risk"))="Functioning At Risk"</formula>
    </cfRule>
    <cfRule type="beginsWith" dxfId="10417" priority="2289" stopIfTrue="1" operator="beginsWith" text="Not Functioning">
      <formula>LEFT(D211,LEN("Not Functioning"))="Not Functioning"</formula>
    </cfRule>
    <cfRule type="containsText" dxfId="10416" priority="2290" operator="containsText" text="Functioning">
      <formula>NOT(ISERROR(SEARCH("Functioning",D211)))</formula>
    </cfRule>
  </conditionalFormatting>
  <conditionalFormatting sqref="D218">
    <cfRule type="beginsWith" dxfId="10415" priority="2282" stopIfTrue="1" operator="beginsWith" text="Functioning At Risk">
      <formula>LEFT(D218,LEN("Functioning At Risk"))="Functioning At Risk"</formula>
    </cfRule>
    <cfRule type="beginsWith" dxfId="10414" priority="2283" stopIfTrue="1" operator="beginsWith" text="Not Functioning">
      <formula>LEFT(D218,LEN("Not Functioning"))="Not Functioning"</formula>
    </cfRule>
    <cfRule type="containsText" dxfId="10413" priority="2284" operator="containsText" text="Functioning">
      <formula>NOT(ISERROR(SEARCH("Functioning",D218)))</formula>
    </cfRule>
  </conditionalFormatting>
  <conditionalFormatting sqref="D212:D215">
    <cfRule type="beginsWith" dxfId="10412" priority="2279" stopIfTrue="1" operator="beginsWith" text="Functioning At Risk">
      <formula>LEFT(D212,LEN("Functioning At Risk"))="Functioning At Risk"</formula>
    </cfRule>
    <cfRule type="beginsWith" dxfId="10411" priority="2280" stopIfTrue="1" operator="beginsWith" text="Not Functioning">
      <formula>LEFT(D212,LEN("Not Functioning"))="Not Functioning"</formula>
    </cfRule>
    <cfRule type="containsText" dxfId="10410" priority="2281" operator="containsText" text="Functioning">
      <formula>NOT(ISERROR(SEARCH("Functioning",D212)))</formula>
    </cfRule>
  </conditionalFormatting>
  <conditionalFormatting sqref="A224">
    <cfRule type="beginsWith" dxfId="10409" priority="2276" stopIfTrue="1" operator="beginsWith" text="Functioning At Risk">
      <formula>LEFT(A224,LEN("Functioning At Risk"))="Functioning At Risk"</formula>
    </cfRule>
    <cfRule type="beginsWith" dxfId="10408" priority="2277" stopIfTrue="1" operator="beginsWith" text="Not Functioning">
      <formula>LEFT(A224,LEN("Not Functioning"))="Not Functioning"</formula>
    </cfRule>
    <cfRule type="containsText" dxfId="10407" priority="2278" operator="containsText" text="Functioning">
      <formula>NOT(ISERROR(SEARCH("Functioning",A224)))</formula>
    </cfRule>
  </conditionalFormatting>
  <conditionalFormatting sqref="H224">
    <cfRule type="beginsWith" dxfId="10406" priority="2273" stopIfTrue="1" operator="beginsWith" text="Functioning At Risk">
      <formula>LEFT(H224,LEN("Functioning At Risk"))="Functioning At Risk"</formula>
    </cfRule>
    <cfRule type="beginsWith" dxfId="10405" priority="2274" stopIfTrue="1" operator="beginsWith" text="Not Functioning">
      <formula>LEFT(H224,LEN("Not Functioning"))="Not Functioning"</formula>
    </cfRule>
    <cfRule type="containsText" dxfId="10404" priority="2275" operator="containsText" text="Functioning">
      <formula>NOT(ISERROR(SEARCH("Functioning",H224)))</formula>
    </cfRule>
  </conditionalFormatting>
  <conditionalFormatting sqref="I224">
    <cfRule type="beginsWith" dxfId="10403" priority="2270" stopIfTrue="1" operator="beginsWith" text="Functioning At Risk">
      <formula>LEFT(I224,LEN("Functioning At Risk"))="Functioning At Risk"</formula>
    </cfRule>
    <cfRule type="beginsWith" dxfId="10402" priority="2271" stopIfTrue="1" operator="beginsWith" text="Not Functioning">
      <formula>LEFT(I224,LEN("Not Functioning"))="Not Functioning"</formula>
    </cfRule>
    <cfRule type="containsText" dxfId="10401" priority="2272" operator="containsText" text="Functioning">
      <formula>NOT(ISERROR(SEARCH("Functioning",I224)))</formula>
    </cfRule>
  </conditionalFormatting>
  <conditionalFormatting sqref="D232">
    <cfRule type="beginsWith" dxfId="10400" priority="2267" stopIfTrue="1" operator="beginsWith" text="Functioning At Risk">
      <formula>LEFT(D232,LEN("Functioning At Risk"))="Functioning At Risk"</formula>
    </cfRule>
    <cfRule type="beginsWith" dxfId="10399" priority="2268" stopIfTrue="1" operator="beginsWith" text="Not Functioning">
      <formula>LEFT(D232,LEN("Not Functioning"))="Not Functioning"</formula>
    </cfRule>
    <cfRule type="containsText" dxfId="10398" priority="2269" operator="containsText" text="Functioning">
      <formula>NOT(ISERROR(SEARCH("Functioning",D232)))</formula>
    </cfRule>
  </conditionalFormatting>
  <conditionalFormatting sqref="D233">
    <cfRule type="beginsWith" dxfId="10397" priority="2264" stopIfTrue="1" operator="beginsWith" text="Functioning At Risk">
      <formula>LEFT(D233,LEN("Functioning At Risk"))="Functioning At Risk"</formula>
    </cfRule>
    <cfRule type="beginsWith" dxfId="10396" priority="2265" stopIfTrue="1" operator="beginsWith" text="Not Functioning">
      <formula>LEFT(D233,LEN("Not Functioning"))="Not Functioning"</formula>
    </cfRule>
    <cfRule type="containsText" dxfId="10395" priority="2266" operator="containsText" text="Functioning">
      <formula>NOT(ISERROR(SEARCH("Functioning",D233)))</formula>
    </cfRule>
  </conditionalFormatting>
  <conditionalFormatting sqref="B232">
    <cfRule type="beginsWith" dxfId="10394" priority="2261" stopIfTrue="1" operator="beginsWith" text="Functioning At Risk">
      <formula>LEFT(B232,LEN("Functioning At Risk"))="Functioning At Risk"</formula>
    </cfRule>
    <cfRule type="beginsWith" dxfId="10393" priority="2262" stopIfTrue="1" operator="beginsWith" text="Not Functioning">
      <formula>LEFT(B232,LEN("Not Functioning"))="Not Functioning"</formula>
    </cfRule>
    <cfRule type="containsText" dxfId="10392" priority="2263" operator="containsText" text="Functioning">
      <formula>NOT(ISERROR(SEARCH("Functioning",B232)))</formula>
    </cfRule>
  </conditionalFormatting>
  <conditionalFormatting sqref="B208">
    <cfRule type="beginsWith" dxfId="10391" priority="2255" stopIfTrue="1" operator="beginsWith" text="Functioning At Risk">
      <formula>LEFT(B208,LEN("Functioning At Risk"))="Functioning At Risk"</formula>
    </cfRule>
    <cfRule type="beginsWith" dxfId="10390" priority="2256" stopIfTrue="1" operator="beginsWith" text="Not Functioning">
      <formula>LEFT(B208,LEN("Not Functioning"))="Not Functioning"</formula>
    </cfRule>
    <cfRule type="containsText" dxfId="10389" priority="2257" operator="containsText" text="Functioning">
      <formula>NOT(ISERROR(SEARCH("Functioning",B208)))</formula>
    </cfRule>
  </conditionalFormatting>
  <conditionalFormatting sqref="D258">
    <cfRule type="beginsWith" dxfId="10388" priority="2132" stopIfTrue="1" operator="beginsWith" text="Functioning At Risk">
      <formula>LEFT(D258,LEN("Functioning At Risk"))="Functioning At Risk"</formula>
    </cfRule>
    <cfRule type="beginsWith" dxfId="10387" priority="2133" stopIfTrue="1" operator="beginsWith" text="Not Functioning">
      <formula>LEFT(D258,LEN("Not Functioning"))="Not Functioning"</formula>
    </cfRule>
    <cfRule type="containsText" dxfId="10386" priority="2134" operator="containsText" text="Functioning">
      <formula>NOT(ISERROR(SEARCH("Functioning",D258)))</formula>
    </cfRule>
  </conditionalFormatting>
  <conditionalFormatting sqref="E232 E200:E201 E224">
    <cfRule type="beginsWith" dxfId="10385" priority="2243" stopIfTrue="1" operator="beginsWith" text="Functioning At Risk">
      <formula>LEFT(E200,LEN("Functioning At Risk"))="Functioning At Risk"</formula>
    </cfRule>
    <cfRule type="beginsWith" dxfId="10384" priority="2244" stopIfTrue="1" operator="beginsWith" text="Not Functioning">
      <formula>LEFT(E200,LEN("Not Functioning"))="Not Functioning"</formula>
    </cfRule>
    <cfRule type="containsText" dxfId="10383" priority="2245" operator="containsText" text="Functioning">
      <formula>NOT(ISERROR(SEARCH("Functioning",E200)))</formula>
    </cfRule>
  </conditionalFormatting>
  <conditionalFormatting sqref="E233">
    <cfRule type="beginsWith" dxfId="10382" priority="2240" stopIfTrue="1" operator="beginsWith" text="Functioning At Risk">
      <formula>LEFT(E233,LEN("Functioning At Risk"))="Functioning At Risk"</formula>
    </cfRule>
    <cfRule type="beginsWith" dxfId="10381" priority="2241" stopIfTrue="1" operator="beginsWith" text="Not Functioning">
      <formula>LEFT(E233,LEN("Not Functioning"))="Not Functioning"</formula>
    </cfRule>
    <cfRule type="containsText" dxfId="10380" priority="2242" operator="containsText" text="Functioning">
      <formula>NOT(ISERROR(SEARCH("Functioning",E233)))</formula>
    </cfRule>
  </conditionalFormatting>
  <conditionalFormatting sqref="E224">
    <cfRule type="expression" dxfId="10379" priority="2235">
      <formula>B107="Level 4 - Physicochemical"</formula>
    </cfRule>
    <cfRule type="expression" dxfId="10378" priority="2239">
      <formula>B107="Level 5 - Biology"</formula>
    </cfRule>
  </conditionalFormatting>
  <conditionalFormatting sqref="E226">
    <cfRule type="expression" dxfId="10377" priority="2234">
      <formula>B107="Level 4 - Physicochemical"</formula>
    </cfRule>
    <cfRule type="expression" dxfId="10376" priority="2238">
      <formula>B107="Level 5 - Biology"</formula>
    </cfRule>
  </conditionalFormatting>
  <conditionalFormatting sqref="E227">
    <cfRule type="expression" dxfId="10375" priority="2233">
      <formula>B107="Level 4 - Physicochemical"</formula>
    </cfRule>
    <cfRule type="expression" dxfId="10374" priority="2237">
      <formula>B107="Level 5 - Biology"</formula>
    </cfRule>
  </conditionalFormatting>
  <conditionalFormatting sqref="E233">
    <cfRule type="expression" dxfId="10373" priority="2236">
      <formula>B107="Level 5 - Biology"</formula>
    </cfRule>
  </conditionalFormatting>
  <conditionalFormatting sqref="E225">
    <cfRule type="expression" dxfId="10372" priority="2249">
      <formula>B108="Level 4 - Physicochemical"</formula>
    </cfRule>
    <cfRule type="expression" dxfId="10371" priority="2250">
      <formula>B108="Level 5 - Biology"</formula>
    </cfRule>
  </conditionalFormatting>
  <conditionalFormatting sqref="E232">
    <cfRule type="expression" dxfId="10370" priority="2251">
      <formula>B109="Level 5 - Biology"</formula>
    </cfRule>
  </conditionalFormatting>
  <conditionalFormatting sqref="E222:E223">
    <cfRule type="beginsWith" dxfId="10369" priority="2227" stopIfTrue="1" operator="beginsWith" text="Functioning At Risk">
      <formula>LEFT(E222,LEN("Functioning At Risk"))="Functioning At Risk"</formula>
    </cfRule>
    <cfRule type="beginsWith" dxfId="10368" priority="2228" stopIfTrue="1" operator="beginsWith" text="Not Functioning">
      <formula>LEFT(E222,LEN("Not Functioning"))="Not Functioning"</formula>
    </cfRule>
    <cfRule type="containsText" dxfId="10367" priority="2229" operator="containsText" text="Functioning">
      <formula>NOT(ISERROR(SEARCH("Functioning",E222)))</formula>
    </cfRule>
  </conditionalFormatting>
  <conditionalFormatting sqref="E231">
    <cfRule type="expression" dxfId="10366" priority="2225">
      <formula>B37="Level 5 - Biology"</formula>
    </cfRule>
  </conditionalFormatting>
  <conditionalFormatting sqref="E228:E231">
    <cfRule type="beginsWith" dxfId="10365" priority="2222" stopIfTrue="1" operator="beginsWith" text="Functioning At Risk">
      <formula>LEFT(E228,LEN("Functioning At Risk"))="Functioning At Risk"</formula>
    </cfRule>
    <cfRule type="beginsWith" dxfId="10364" priority="2223" stopIfTrue="1" operator="beginsWith" text="Not Functioning">
      <formula>LEFT(E228,LEN("Not Functioning"))="Not Functioning"</formula>
    </cfRule>
    <cfRule type="containsText" dxfId="10363" priority="2224" operator="containsText" text="Functioning">
      <formula>NOT(ISERROR(SEARCH("Functioning",E228)))</formula>
    </cfRule>
  </conditionalFormatting>
  <conditionalFormatting sqref="E228:E230">
    <cfRule type="expression" dxfId="10362" priority="2226">
      <formula>B36="Level 5 - Biology"</formula>
    </cfRule>
  </conditionalFormatting>
  <conditionalFormatting sqref="C208:C210 C225:C226 C219:C220 C231 C223 C200:C203 C228:C229">
    <cfRule type="beginsWith" dxfId="10361" priority="2219" stopIfTrue="1" operator="beginsWith" text="Functioning At Risk">
      <formula>LEFT(C200,LEN("Functioning At Risk"))="Functioning At Risk"</formula>
    </cfRule>
    <cfRule type="beginsWith" dxfId="10360" priority="2220" stopIfTrue="1" operator="beginsWith" text="Not Functioning">
      <formula>LEFT(C200,LEN("Not Functioning"))="Not Functioning"</formula>
    </cfRule>
    <cfRule type="containsText" dxfId="10359" priority="2221" operator="containsText" text="Functioning">
      <formula>NOT(ISERROR(SEARCH("Functioning",C200)))</formula>
    </cfRule>
  </conditionalFormatting>
  <conditionalFormatting sqref="C211">
    <cfRule type="beginsWith" dxfId="10358" priority="2216" stopIfTrue="1" operator="beginsWith" text="Functioning At Risk">
      <formula>LEFT(C211,LEN("Functioning At Risk"))="Functioning At Risk"</formula>
    </cfRule>
    <cfRule type="beginsWith" dxfId="10357" priority="2217" stopIfTrue="1" operator="beginsWith" text="Not Functioning">
      <formula>LEFT(C211,LEN("Not Functioning"))="Not Functioning"</formula>
    </cfRule>
    <cfRule type="containsText" dxfId="10356" priority="2218" operator="containsText" text="Functioning">
      <formula>NOT(ISERROR(SEARCH("Functioning",C211)))</formula>
    </cfRule>
  </conditionalFormatting>
  <conditionalFormatting sqref="C218">
    <cfRule type="beginsWith" dxfId="10355" priority="2213" stopIfTrue="1" operator="beginsWith" text="Functioning At Risk">
      <formula>LEFT(C218,LEN("Functioning At Risk"))="Functioning At Risk"</formula>
    </cfRule>
    <cfRule type="beginsWith" dxfId="10354" priority="2214" stopIfTrue="1" operator="beginsWith" text="Not Functioning">
      <formula>LEFT(C218,LEN("Not Functioning"))="Not Functioning"</formula>
    </cfRule>
    <cfRule type="containsText" dxfId="10353" priority="2215" operator="containsText" text="Functioning">
      <formula>NOT(ISERROR(SEARCH("Functioning",C218)))</formula>
    </cfRule>
  </conditionalFormatting>
  <conditionalFormatting sqref="C212:C215">
    <cfRule type="beginsWith" dxfId="10352" priority="2210" stopIfTrue="1" operator="beginsWith" text="Functioning At Risk">
      <formula>LEFT(C212,LEN("Functioning At Risk"))="Functioning At Risk"</formula>
    </cfRule>
    <cfRule type="beginsWith" dxfId="10351" priority="2211" stopIfTrue="1" operator="beginsWith" text="Not Functioning">
      <formula>LEFT(C212,LEN("Not Functioning"))="Not Functioning"</formula>
    </cfRule>
    <cfRule type="containsText" dxfId="10350" priority="2212" operator="containsText" text="Functioning">
      <formula>NOT(ISERROR(SEARCH("Functioning",C212)))</formula>
    </cfRule>
  </conditionalFormatting>
  <conditionalFormatting sqref="C221">
    <cfRule type="beginsWith" dxfId="10349" priority="2207" stopIfTrue="1" operator="beginsWith" text="Functioning At Risk">
      <formula>LEFT(C221,LEN("Functioning At Risk"))="Functioning At Risk"</formula>
    </cfRule>
    <cfRule type="beginsWith" dxfId="10348" priority="2208" stopIfTrue="1" operator="beginsWith" text="Not Functioning">
      <formula>LEFT(C221,LEN("Not Functioning"))="Not Functioning"</formula>
    </cfRule>
    <cfRule type="containsText" dxfId="10347" priority="2209" operator="containsText" text="Functioning">
      <formula>NOT(ISERROR(SEARCH("Functioning",C221)))</formula>
    </cfRule>
  </conditionalFormatting>
  <conditionalFormatting sqref="C222">
    <cfRule type="beginsWith" dxfId="10346" priority="2204" stopIfTrue="1" operator="beginsWith" text="Functioning At Risk">
      <formula>LEFT(C222,LEN("Functioning At Risk"))="Functioning At Risk"</formula>
    </cfRule>
    <cfRule type="beginsWith" dxfId="10345" priority="2205" stopIfTrue="1" operator="beginsWith" text="Not Functioning">
      <formula>LEFT(C222,LEN("Not Functioning"))="Not Functioning"</formula>
    </cfRule>
    <cfRule type="containsText" dxfId="10344" priority="2206" operator="containsText" text="Functioning">
      <formula>NOT(ISERROR(SEARCH("Functioning",C222)))</formula>
    </cfRule>
  </conditionalFormatting>
  <conditionalFormatting sqref="C233">
    <cfRule type="beginsWith" dxfId="10343" priority="2198" stopIfTrue="1" operator="beginsWith" text="Functioning At Risk">
      <formula>LEFT(C233,LEN("Functioning At Risk"))="Functioning At Risk"</formula>
    </cfRule>
    <cfRule type="beginsWith" dxfId="10342" priority="2199" stopIfTrue="1" operator="beginsWith" text="Not Functioning">
      <formula>LEFT(C233,LEN("Not Functioning"))="Not Functioning"</formula>
    </cfRule>
    <cfRule type="containsText" dxfId="10341" priority="2200" operator="containsText" text="Functioning">
      <formula>NOT(ISERROR(SEARCH("Functioning",C233)))</formula>
    </cfRule>
  </conditionalFormatting>
  <conditionalFormatting sqref="C232">
    <cfRule type="beginsWith" dxfId="10340" priority="2201" stopIfTrue="1" operator="beginsWith" text="Functioning At Risk">
      <formula>LEFT(C232,LEN("Functioning At Risk"))="Functioning At Risk"</formula>
    </cfRule>
    <cfRule type="beginsWith" dxfId="10339" priority="2202" stopIfTrue="1" operator="beginsWith" text="Not Functioning">
      <formula>LEFT(C232,LEN("Not Functioning"))="Not Functioning"</formula>
    </cfRule>
    <cfRule type="containsText" dxfId="10338" priority="2203" operator="containsText" text="Functioning">
      <formula>NOT(ISERROR(SEARCH("Functioning",C232)))</formula>
    </cfRule>
  </conditionalFormatting>
  <conditionalFormatting sqref="C230">
    <cfRule type="beginsWith" dxfId="10337" priority="2195" stopIfTrue="1" operator="beginsWith" text="Functioning At Risk">
      <formula>LEFT(C230,LEN("Functioning At Risk"))="Functioning At Risk"</formula>
    </cfRule>
    <cfRule type="beginsWith" dxfId="10336" priority="2196" stopIfTrue="1" operator="beginsWith" text="Not Functioning">
      <formula>LEFT(C230,LEN("Not Functioning"))="Not Functioning"</formula>
    </cfRule>
    <cfRule type="containsText" dxfId="10335" priority="2197" operator="containsText" text="Functioning">
      <formula>NOT(ISERROR(SEARCH("Functioning",C230)))</formula>
    </cfRule>
  </conditionalFormatting>
  <conditionalFormatting sqref="C216:C217">
    <cfRule type="beginsWith" dxfId="10334" priority="2192" stopIfTrue="1" operator="beginsWith" text="Functioning At Risk">
      <formula>LEFT(C216,LEN("Functioning At Risk"))="Functioning At Risk"</formula>
    </cfRule>
    <cfRule type="beginsWith" dxfId="10333" priority="2193" stopIfTrue="1" operator="beginsWith" text="Not Functioning">
      <formula>LEFT(C216,LEN("Not Functioning"))="Not Functioning"</formula>
    </cfRule>
    <cfRule type="containsText" dxfId="10332" priority="2194" operator="containsText" text="Functioning">
      <formula>NOT(ISERROR(SEARCH("Functioning",C216)))</formula>
    </cfRule>
  </conditionalFormatting>
  <conditionalFormatting sqref="E221">
    <cfRule type="beginsWith" dxfId="10331" priority="2174" stopIfTrue="1" operator="beginsWith" text="Functioning At Risk">
      <formula>LEFT(E221,LEN("Functioning At Risk"))="Functioning At Risk"</formula>
    </cfRule>
    <cfRule type="beginsWith" dxfId="10330" priority="2175" stopIfTrue="1" operator="beginsWith" text="Not Functioning">
      <formula>LEFT(E221,LEN("Not Functioning"))="Not Functioning"</formula>
    </cfRule>
    <cfRule type="containsText" dxfId="10329" priority="2176" operator="containsText" text="Functioning">
      <formula>NOT(ISERROR(SEARCH("Functioning",E221)))</formula>
    </cfRule>
  </conditionalFormatting>
  <conditionalFormatting sqref="E272 E240:E241 E264">
    <cfRule type="beginsWith" dxfId="10328" priority="2093" stopIfTrue="1" operator="beginsWith" text="Functioning At Risk">
      <formula>LEFT(E240,LEN("Functioning At Risk"))="Functioning At Risk"</formula>
    </cfRule>
    <cfRule type="beginsWith" dxfId="10327" priority="2094" stopIfTrue="1" operator="beginsWith" text="Not Functioning">
      <formula>LEFT(E240,LEN("Not Functioning"))="Not Functioning"</formula>
    </cfRule>
    <cfRule type="containsText" dxfId="10326" priority="2095" operator="containsText" text="Functioning">
      <formula>NOT(ISERROR(SEARCH("Functioning",E240)))</formula>
    </cfRule>
  </conditionalFormatting>
  <conditionalFormatting sqref="E273">
    <cfRule type="beginsWith" dxfId="10325" priority="2090" stopIfTrue="1" operator="beginsWith" text="Functioning At Risk">
      <formula>LEFT(E273,LEN("Functioning At Risk"))="Functioning At Risk"</formula>
    </cfRule>
    <cfRule type="beginsWith" dxfId="10324" priority="2091" stopIfTrue="1" operator="beginsWith" text="Not Functioning">
      <formula>LEFT(E273,LEN("Not Functioning"))="Not Functioning"</formula>
    </cfRule>
    <cfRule type="containsText" dxfId="10323" priority="2092" operator="containsText" text="Functioning">
      <formula>NOT(ISERROR(SEARCH("Functioning",E273)))</formula>
    </cfRule>
  </conditionalFormatting>
  <conditionalFormatting sqref="E220">
    <cfRule type="beginsWith" dxfId="10322" priority="2153" stopIfTrue="1" operator="beginsWith" text="Functioning At Risk">
      <formula>LEFT(E220,LEN("Functioning At Risk"))="Functioning At Risk"</formula>
    </cfRule>
    <cfRule type="beginsWith" dxfId="10321" priority="2154" stopIfTrue="1" operator="beginsWith" text="Not Functioning">
      <formula>LEFT(E220,LEN("Not Functioning"))="Not Functioning"</formula>
    </cfRule>
    <cfRule type="containsText" dxfId="10320" priority="2155" operator="containsText" text="Functioning">
      <formula>NOT(ISERROR(SEARCH("Functioning",E220)))</formula>
    </cfRule>
  </conditionalFormatting>
  <conditionalFormatting sqref="A237:C237 E237:K237 D265:D266">
    <cfRule type="beginsWith" dxfId="10319" priority="2147" stopIfTrue="1" operator="beginsWith" text="Functioning At Risk">
      <formula>LEFT(A237,LEN("Functioning At Risk"))="Functioning At Risk"</formula>
    </cfRule>
    <cfRule type="beginsWith" dxfId="10318" priority="2148" stopIfTrue="1" operator="beginsWith" text="Not Functioning">
      <formula>LEFT(A237,LEN("Not Functioning"))="Not Functioning"</formula>
    </cfRule>
    <cfRule type="containsText" dxfId="10317" priority="2149" operator="containsText" text="Functioning">
      <formula>NOT(ISERROR(SEARCH("Functioning",A237)))</formula>
    </cfRule>
  </conditionalFormatting>
  <conditionalFormatting sqref="I268:I272 B266:B267 D256 B259 A240:B240 A268:B270 H242:I243 H240:I240 H238:K239 A242:B242 A271:A272 D248:D250 B263:B264 A243 D268:D271 D240:D243 D259:D263">
    <cfRule type="beginsWith" dxfId="10316" priority="2144" stopIfTrue="1" operator="beginsWith" text="Functioning At Risk">
      <formula>LEFT(A238,LEN("Functioning At Risk"))="Functioning At Risk"</formula>
    </cfRule>
    <cfRule type="beginsWith" dxfId="10315" priority="2145" stopIfTrue="1" operator="beginsWith" text="Not Functioning">
      <formula>LEFT(A238,LEN("Not Functioning"))="Not Functioning"</formula>
    </cfRule>
    <cfRule type="containsText" dxfId="10314" priority="2146" operator="containsText" text="Functioning">
      <formula>NOT(ISERROR(SEARCH("Functioning",A238)))</formula>
    </cfRule>
  </conditionalFormatting>
  <conditionalFormatting sqref="D251">
    <cfRule type="beginsWith" dxfId="10313" priority="2138" stopIfTrue="1" operator="beginsWith" text="Functioning At Risk">
      <formula>LEFT(D251,LEN("Functioning At Risk"))="Functioning At Risk"</formula>
    </cfRule>
    <cfRule type="beginsWith" dxfId="10312" priority="2139" stopIfTrue="1" operator="beginsWith" text="Not Functioning">
      <formula>LEFT(D251,LEN("Not Functioning"))="Not Functioning"</formula>
    </cfRule>
    <cfRule type="containsText" dxfId="10311" priority="2140" operator="containsText" text="Functioning">
      <formula>NOT(ISERROR(SEARCH("Functioning",D251)))</formula>
    </cfRule>
  </conditionalFormatting>
  <conditionalFormatting sqref="D257">
    <cfRule type="beginsWith" dxfId="10310" priority="2135" stopIfTrue="1" operator="beginsWith" text="Functioning At Risk">
      <formula>LEFT(D257,LEN("Functioning At Risk"))="Functioning At Risk"</formula>
    </cfRule>
    <cfRule type="beginsWith" dxfId="10309" priority="2136" stopIfTrue="1" operator="beginsWith" text="Not Functioning">
      <formula>LEFT(D257,LEN("Not Functioning"))="Not Functioning"</formula>
    </cfRule>
    <cfRule type="containsText" dxfId="10308" priority="2137" operator="containsText" text="Functioning">
      <formula>NOT(ISERROR(SEARCH("Functioning",D257)))</formula>
    </cfRule>
  </conditionalFormatting>
  <conditionalFormatting sqref="D252:D255">
    <cfRule type="beginsWith" dxfId="10307" priority="2129" stopIfTrue="1" operator="beginsWith" text="Functioning At Risk">
      <formula>LEFT(D252,LEN("Functioning At Risk"))="Functioning At Risk"</formula>
    </cfRule>
    <cfRule type="beginsWith" dxfId="10306" priority="2130" stopIfTrue="1" operator="beginsWith" text="Not Functioning">
      <formula>LEFT(D252,LEN("Not Functioning"))="Not Functioning"</formula>
    </cfRule>
    <cfRule type="containsText" dxfId="10305" priority="2131" operator="containsText" text="Functioning">
      <formula>NOT(ISERROR(SEARCH("Functioning",D252)))</formula>
    </cfRule>
  </conditionalFormatting>
  <conditionalFormatting sqref="A264">
    <cfRule type="beginsWith" dxfId="10304" priority="2126" stopIfTrue="1" operator="beginsWith" text="Functioning At Risk">
      <formula>LEFT(A264,LEN("Functioning At Risk"))="Functioning At Risk"</formula>
    </cfRule>
    <cfRule type="beginsWith" dxfId="10303" priority="2127" stopIfTrue="1" operator="beginsWith" text="Not Functioning">
      <formula>LEFT(A264,LEN("Not Functioning"))="Not Functioning"</formula>
    </cfRule>
    <cfRule type="containsText" dxfId="10302" priority="2128" operator="containsText" text="Functioning">
      <formula>NOT(ISERROR(SEARCH("Functioning",A264)))</formula>
    </cfRule>
  </conditionalFormatting>
  <conditionalFormatting sqref="H264">
    <cfRule type="beginsWith" dxfId="10301" priority="2123" stopIfTrue="1" operator="beginsWith" text="Functioning At Risk">
      <formula>LEFT(H264,LEN("Functioning At Risk"))="Functioning At Risk"</formula>
    </cfRule>
    <cfRule type="beginsWith" dxfId="10300" priority="2124" stopIfTrue="1" operator="beginsWith" text="Not Functioning">
      <formula>LEFT(H264,LEN("Not Functioning"))="Not Functioning"</formula>
    </cfRule>
    <cfRule type="containsText" dxfId="10299" priority="2125" operator="containsText" text="Functioning">
      <formula>NOT(ISERROR(SEARCH("Functioning",H264)))</formula>
    </cfRule>
  </conditionalFormatting>
  <conditionalFormatting sqref="I264">
    <cfRule type="beginsWith" dxfId="10298" priority="2120" stopIfTrue="1" operator="beginsWith" text="Functioning At Risk">
      <formula>LEFT(I264,LEN("Functioning At Risk"))="Functioning At Risk"</formula>
    </cfRule>
    <cfRule type="beginsWith" dxfId="10297" priority="2121" stopIfTrue="1" operator="beginsWith" text="Not Functioning">
      <formula>LEFT(I264,LEN("Not Functioning"))="Not Functioning"</formula>
    </cfRule>
    <cfRule type="containsText" dxfId="10296" priority="2122" operator="containsText" text="Functioning">
      <formula>NOT(ISERROR(SEARCH("Functioning",I264)))</formula>
    </cfRule>
  </conditionalFormatting>
  <conditionalFormatting sqref="D272">
    <cfRule type="beginsWith" dxfId="10295" priority="2117" stopIfTrue="1" operator="beginsWith" text="Functioning At Risk">
      <formula>LEFT(D272,LEN("Functioning At Risk"))="Functioning At Risk"</formula>
    </cfRule>
    <cfRule type="beginsWith" dxfId="10294" priority="2118" stopIfTrue="1" operator="beginsWith" text="Not Functioning">
      <formula>LEFT(D272,LEN("Not Functioning"))="Not Functioning"</formula>
    </cfRule>
    <cfRule type="containsText" dxfId="10293" priority="2119" operator="containsText" text="Functioning">
      <formula>NOT(ISERROR(SEARCH("Functioning",D272)))</formula>
    </cfRule>
  </conditionalFormatting>
  <conditionalFormatting sqref="D273">
    <cfRule type="beginsWith" dxfId="10292" priority="2114" stopIfTrue="1" operator="beginsWith" text="Functioning At Risk">
      <formula>LEFT(D273,LEN("Functioning At Risk"))="Functioning At Risk"</formula>
    </cfRule>
    <cfRule type="beginsWith" dxfId="10291" priority="2115" stopIfTrue="1" operator="beginsWith" text="Not Functioning">
      <formula>LEFT(D273,LEN("Not Functioning"))="Not Functioning"</formula>
    </cfRule>
    <cfRule type="containsText" dxfId="10290" priority="2116" operator="containsText" text="Functioning">
      <formula>NOT(ISERROR(SEARCH("Functioning",D273)))</formula>
    </cfRule>
  </conditionalFormatting>
  <conditionalFormatting sqref="B272">
    <cfRule type="beginsWith" dxfId="10289" priority="2111" stopIfTrue="1" operator="beginsWith" text="Functioning At Risk">
      <formula>LEFT(B272,LEN("Functioning At Risk"))="Functioning At Risk"</formula>
    </cfRule>
    <cfRule type="beginsWith" dxfId="10288" priority="2112" stopIfTrue="1" operator="beginsWith" text="Not Functioning">
      <formula>LEFT(B272,LEN("Not Functioning"))="Not Functioning"</formula>
    </cfRule>
    <cfRule type="containsText" dxfId="10287" priority="2113" operator="containsText" text="Functioning">
      <formula>NOT(ISERROR(SEARCH("Functioning",B272)))</formula>
    </cfRule>
  </conditionalFormatting>
  <conditionalFormatting sqref="B248">
    <cfRule type="beginsWith" dxfId="10286" priority="2105" stopIfTrue="1" operator="beginsWith" text="Functioning At Risk">
      <formula>LEFT(B248,LEN("Functioning At Risk"))="Functioning At Risk"</formula>
    </cfRule>
    <cfRule type="beginsWith" dxfId="10285" priority="2106" stopIfTrue="1" operator="beginsWith" text="Not Functioning">
      <formula>LEFT(B248,LEN("Not Functioning"))="Not Functioning"</formula>
    </cfRule>
    <cfRule type="containsText" dxfId="10284" priority="2107" operator="containsText" text="Functioning">
      <formula>NOT(ISERROR(SEARCH("Functioning",B248)))</formula>
    </cfRule>
  </conditionalFormatting>
  <conditionalFormatting sqref="E264">
    <cfRule type="expression" dxfId="10283" priority="2085">
      <formula>B147="Level 4 - Physicochemical"</formula>
    </cfRule>
    <cfRule type="expression" dxfId="10282" priority="2089">
      <formula>B147="Level 5 - Biology"</formula>
    </cfRule>
  </conditionalFormatting>
  <conditionalFormatting sqref="E266">
    <cfRule type="expression" dxfId="10281" priority="2084">
      <formula>B147="Level 4 - Physicochemical"</formula>
    </cfRule>
    <cfRule type="expression" dxfId="10280" priority="2088">
      <formula>B147="Level 5 - Biology"</formula>
    </cfRule>
  </conditionalFormatting>
  <conditionalFormatting sqref="E267">
    <cfRule type="expression" dxfId="10279" priority="2083">
      <formula>B147="Level 4 - Physicochemical"</formula>
    </cfRule>
    <cfRule type="expression" dxfId="10278" priority="2087">
      <formula>B147="Level 5 - Biology"</formula>
    </cfRule>
  </conditionalFormatting>
  <conditionalFormatting sqref="E273">
    <cfRule type="expression" dxfId="10277" priority="2086">
      <formula>B147="Level 5 - Biology"</formula>
    </cfRule>
  </conditionalFormatting>
  <conditionalFormatting sqref="E265">
    <cfRule type="expression" dxfId="10276" priority="2099">
      <formula>B148="Level 4 - Physicochemical"</formula>
    </cfRule>
    <cfRule type="expression" dxfId="10275" priority="2100">
      <formula>B148="Level 5 - Biology"</formula>
    </cfRule>
  </conditionalFormatting>
  <conditionalFormatting sqref="E272">
    <cfRule type="expression" dxfId="10274" priority="2101">
      <formula>B149="Level 5 - Biology"</formula>
    </cfRule>
  </conditionalFormatting>
  <conditionalFormatting sqref="E262:E263">
    <cfRule type="beginsWith" dxfId="10273" priority="2077" stopIfTrue="1" operator="beginsWith" text="Functioning At Risk">
      <formula>LEFT(E262,LEN("Functioning At Risk"))="Functioning At Risk"</formula>
    </cfRule>
    <cfRule type="beginsWith" dxfId="10272" priority="2078" stopIfTrue="1" operator="beginsWith" text="Not Functioning">
      <formula>LEFT(E262,LEN("Not Functioning"))="Not Functioning"</formula>
    </cfRule>
    <cfRule type="containsText" dxfId="10271" priority="2079" operator="containsText" text="Functioning">
      <formula>NOT(ISERROR(SEARCH("Functioning",E262)))</formula>
    </cfRule>
  </conditionalFormatting>
  <conditionalFormatting sqref="E271">
    <cfRule type="expression" dxfId="10270" priority="2075">
      <formula>B77="Level 5 - Biology"</formula>
    </cfRule>
  </conditionalFormatting>
  <conditionalFormatting sqref="E268:E271">
    <cfRule type="beginsWith" dxfId="10269" priority="2072" stopIfTrue="1" operator="beginsWith" text="Functioning At Risk">
      <formula>LEFT(E268,LEN("Functioning At Risk"))="Functioning At Risk"</formula>
    </cfRule>
    <cfRule type="beginsWith" dxfId="10268" priority="2073" stopIfTrue="1" operator="beginsWith" text="Not Functioning">
      <formula>LEFT(E268,LEN("Not Functioning"))="Not Functioning"</formula>
    </cfRule>
    <cfRule type="containsText" dxfId="10267" priority="2074" operator="containsText" text="Functioning">
      <formula>NOT(ISERROR(SEARCH("Functioning",E268)))</formula>
    </cfRule>
  </conditionalFormatting>
  <conditionalFormatting sqref="E268:E270">
    <cfRule type="expression" dxfId="10266" priority="2076">
      <formula>B76="Level 5 - Biology"</formula>
    </cfRule>
  </conditionalFormatting>
  <conditionalFormatting sqref="C248:C250 C265:C266 C259:C260 C271 C263 C240:C243 C268:C269">
    <cfRule type="beginsWith" dxfId="10265" priority="2069" stopIfTrue="1" operator="beginsWith" text="Functioning At Risk">
      <formula>LEFT(C240,LEN("Functioning At Risk"))="Functioning At Risk"</formula>
    </cfRule>
    <cfRule type="beginsWith" dxfId="10264" priority="2070" stopIfTrue="1" operator="beginsWith" text="Not Functioning">
      <formula>LEFT(C240,LEN("Not Functioning"))="Not Functioning"</formula>
    </cfRule>
    <cfRule type="containsText" dxfId="10263" priority="2071" operator="containsText" text="Functioning">
      <formula>NOT(ISERROR(SEARCH("Functioning",C240)))</formula>
    </cfRule>
  </conditionalFormatting>
  <conditionalFormatting sqref="C251">
    <cfRule type="beginsWith" dxfId="10262" priority="2066" stopIfTrue="1" operator="beginsWith" text="Functioning At Risk">
      <formula>LEFT(C251,LEN("Functioning At Risk"))="Functioning At Risk"</formula>
    </cfRule>
    <cfRule type="beginsWith" dxfId="10261" priority="2067" stopIfTrue="1" operator="beginsWith" text="Not Functioning">
      <formula>LEFT(C251,LEN("Not Functioning"))="Not Functioning"</formula>
    </cfRule>
    <cfRule type="containsText" dxfId="10260" priority="2068" operator="containsText" text="Functioning">
      <formula>NOT(ISERROR(SEARCH("Functioning",C251)))</formula>
    </cfRule>
  </conditionalFormatting>
  <conditionalFormatting sqref="C258">
    <cfRule type="beginsWith" dxfId="10259" priority="2063" stopIfTrue="1" operator="beginsWith" text="Functioning At Risk">
      <formula>LEFT(C258,LEN("Functioning At Risk"))="Functioning At Risk"</formula>
    </cfRule>
    <cfRule type="beginsWith" dxfId="10258" priority="2064" stopIfTrue="1" operator="beginsWith" text="Not Functioning">
      <formula>LEFT(C258,LEN("Not Functioning"))="Not Functioning"</formula>
    </cfRule>
    <cfRule type="containsText" dxfId="10257" priority="2065" operator="containsText" text="Functioning">
      <formula>NOT(ISERROR(SEARCH("Functioning",C258)))</formula>
    </cfRule>
  </conditionalFormatting>
  <conditionalFormatting sqref="C252:C255">
    <cfRule type="beginsWith" dxfId="10256" priority="2060" stopIfTrue="1" operator="beginsWith" text="Functioning At Risk">
      <formula>LEFT(C252,LEN("Functioning At Risk"))="Functioning At Risk"</formula>
    </cfRule>
    <cfRule type="beginsWith" dxfId="10255" priority="2061" stopIfTrue="1" operator="beginsWith" text="Not Functioning">
      <formula>LEFT(C252,LEN("Not Functioning"))="Not Functioning"</formula>
    </cfRule>
    <cfRule type="containsText" dxfId="10254" priority="2062" operator="containsText" text="Functioning">
      <formula>NOT(ISERROR(SEARCH("Functioning",C252)))</formula>
    </cfRule>
  </conditionalFormatting>
  <conditionalFormatting sqref="C261">
    <cfRule type="beginsWith" dxfId="10253" priority="2057" stopIfTrue="1" operator="beginsWith" text="Functioning At Risk">
      <formula>LEFT(C261,LEN("Functioning At Risk"))="Functioning At Risk"</formula>
    </cfRule>
    <cfRule type="beginsWith" dxfId="10252" priority="2058" stopIfTrue="1" operator="beginsWith" text="Not Functioning">
      <formula>LEFT(C261,LEN("Not Functioning"))="Not Functioning"</formula>
    </cfRule>
    <cfRule type="containsText" dxfId="10251" priority="2059" operator="containsText" text="Functioning">
      <formula>NOT(ISERROR(SEARCH("Functioning",C261)))</formula>
    </cfRule>
  </conditionalFormatting>
  <conditionalFormatting sqref="C262">
    <cfRule type="beginsWith" dxfId="10250" priority="2054" stopIfTrue="1" operator="beginsWith" text="Functioning At Risk">
      <formula>LEFT(C262,LEN("Functioning At Risk"))="Functioning At Risk"</formula>
    </cfRule>
    <cfRule type="beginsWith" dxfId="10249" priority="2055" stopIfTrue="1" operator="beginsWith" text="Not Functioning">
      <formula>LEFT(C262,LEN("Not Functioning"))="Not Functioning"</formula>
    </cfRule>
    <cfRule type="containsText" dxfId="10248" priority="2056" operator="containsText" text="Functioning">
      <formula>NOT(ISERROR(SEARCH("Functioning",C262)))</formula>
    </cfRule>
  </conditionalFormatting>
  <conditionalFormatting sqref="C273">
    <cfRule type="beginsWith" dxfId="10247" priority="2048" stopIfTrue="1" operator="beginsWith" text="Functioning At Risk">
      <formula>LEFT(C273,LEN("Functioning At Risk"))="Functioning At Risk"</formula>
    </cfRule>
    <cfRule type="beginsWith" dxfId="10246" priority="2049" stopIfTrue="1" operator="beginsWith" text="Not Functioning">
      <formula>LEFT(C273,LEN("Not Functioning"))="Not Functioning"</formula>
    </cfRule>
    <cfRule type="containsText" dxfId="10245" priority="2050" operator="containsText" text="Functioning">
      <formula>NOT(ISERROR(SEARCH("Functioning",C273)))</formula>
    </cfRule>
  </conditionalFormatting>
  <conditionalFormatting sqref="C272">
    <cfRule type="beginsWith" dxfId="10244" priority="2051" stopIfTrue="1" operator="beginsWith" text="Functioning At Risk">
      <formula>LEFT(C272,LEN("Functioning At Risk"))="Functioning At Risk"</formula>
    </cfRule>
    <cfRule type="beginsWith" dxfId="10243" priority="2052" stopIfTrue="1" operator="beginsWith" text="Not Functioning">
      <formula>LEFT(C272,LEN("Not Functioning"))="Not Functioning"</formula>
    </cfRule>
    <cfRule type="containsText" dxfId="10242" priority="2053" operator="containsText" text="Functioning">
      <formula>NOT(ISERROR(SEARCH("Functioning",C272)))</formula>
    </cfRule>
  </conditionalFormatting>
  <conditionalFormatting sqref="C270">
    <cfRule type="beginsWith" dxfId="10241" priority="2045" stopIfTrue="1" operator="beginsWith" text="Functioning At Risk">
      <formula>LEFT(C270,LEN("Functioning At Risk"))="Functioning At Risk"</formula>
    </cfRule>
    <cfRule type="beginsWith" dxfId="10240" priority="2046" stopIfTrue="1" operator="beginsWith" text="Not Functioning">
      <formula>LEFT(C270,LEN("Not Functioning"))="Not Functioning"</formula>
    </cfRule>
    <cfRule type="containsText" dxfId="10239" priority="2047" operator="containsText" text="Functioning">
      <formula>NOT(ISERROR(SEARCH("Functioning",C270)))</formula>
    </cfRule>
  </conditionalFormatting>
  <conditionalFormatting sqref="C256:C257">
    <cfRule type="beginsWith" dxfId="10238" priority="2042" stopIfTrue="1" operator="beginsWith" text="Functioning At Risk">
      <formula>LEFT(C256,LEN("Functioning At Risk"))="Functioning At Risk"</formula>
    </cfRule>
    <cfRule type="beginsWith" dxfId="10237" priority="2043" stopIfTrue="1" operator="beginsWith" text="Not Functioning">
      <formula>LEFT(C256,LEN("Not Functioning"))="Not Functioning"</formula>
    </cfRule>
    <cfRule type="containsText" dxfId="10236" priority="2044" operator="containsText" text="Functioning">
      <formula>NOT(ISERROR(SEARCH("Functioning",C256)))</formula>
    </cfRule>
  </conditionalFormatting>
  <conditionalFormatting sqref="E259">
    <cfRule type="beginsWith" dxfId="10235" priority="2027" stopIfTrue="1" operator="beginsWith" text="Functioning At Risk">
      <formula>LEFT(E259,LEN("Functioning At Risk"))="Functioning At Risk"</formula>
    </cfRule>
    <cfRule type="beginsWith" dxfId="10234" priority="2028" stopIfTrue="1" operator="beginsWith" text="Not Functioning">
      <formula>LEFT(E259,LEN("Not Functioning"))="Not Functioning"</formula>
    </cfRule>
    <cfRule type="containsText" dxfId="10233" priority="2029" operator="containsText" text="Functioning">
      <formula>NOT(ISERROR(SEARCH("Functioning",E259)))</formula>
    </cfRule>
  </conditionalFormatting>
  <conditionalFormatting sqref="E261">
    <cfRule type="beginsWith" dxfId="10232" priority="2024" stopIfTrue="1" operator="beginsWith" text="Functioning At Risk">
      <formula>LEFT(E261,LEN("Functioning At Risk"))="Functioning At Risk"</formula>
    </cfRule>
    <cfRule type="beginsWith" dxfId="10231" priority="2025" stopIfTrue="1" operator="beginsWith" text="Not Functioning">
      <formula>LEFT(E261,LEN("Not Functioning"))="Not Functioning"</formula>
    </cfRule>
    <cfRule type="containsText" dxfId="10230" priority="2026" operator="containsText" text="Functioning">
      <formula>NOT(ISERROR(SEARCH("Functioning",E261)))</formula>
    </cfRule>
  </conditionalFormatting>
  <conditionalFormatting sqref="B312">
    <cfRule type="beginsWith" dxfId="10229" priority="1961" stopIfTrue="1" operator="beginsWith" text="Functioning At Risk">
      <formula>LEFT(B312,LEN("Functioning At Risk"))="Functioning At Risk"</formula>
    </cfRule>
    <cfRule type="beginsWith" dxfId="10228" priority="1962" stopIfTrue="1" operator="beginsWith" text="Not Functioning">
      <formula>LEFT(B312,LEN("Not Functioning"))="Not Functioning"</formula>
    </cfRule>
    <cfRule type="containsText" dxfId="10227" priority="1963" operator="containsText" text="Functioning">
      <formula>NOT(ISERROR(SEARCH("Functioning",B312)))</formula>
    </cfRule>
  </conditionalFormatting>
  <conditionalFormatting sqref="B288">
    <cfRule type="beginsWith" dxfId="10226" priority="1955" stopIfTrue="1" operator="beginsWith" text="Functioning At Risk">
      <formula>LEFT(B288,LEN("Functioning At Risk"))="Functioning At Risk"</formula>
    </cfRule>
    <cfRule type="beginsWith" dxfId="10225" priority="1956" stopIfTrue="1" operator="beginsWith" text="Not Functioning">
      <formula>LEFT(B288,LEN("Not Functioning"))="Not Functioning"</formula>
    </cfRule>
    <cfRule type="containsText" dxfId="10224" priority="1957" operator="containsText" text="Functioning">
      <formula>NOT(ISERROR(SEARCH("Functioning",B288)))</formula>
    </cfRule>
  </conditionalFormatting>
  <conditionalFormatting sqref="E260">
    <cfRule type="beginsWith" dxfId="10223" priority="2003" stopIfTrue="1" operator="beginsWith" text="Functioning At Risk">
      <formula>LEFT(E260,LEN("Functioning At Risk"))="Functioning At Risk"</formula>
    </cfRule>
    <cfRule type="beginsWith" dxfId="10222" priority="2004" stopIfTrue="1" operator="beginsWith" text="Not Functioning">
      <formula>LEFT(E260,LEN("Not Functioning"))="Not Functioning"</formula>
    </cfRule>
    <cfRule type="containsText" dxfId="10221" priority="2005" operator="containsText" text="Functioning">
      <formula>NOT(ISERROR(SEARCH("Functioning",E260)))</formula>
    </cfRule>
  </conditionalFormatting>
  <conditionalFormatting sqref="A277:C277 E277:K277 D305:D306">
    <cfRule type="beginsWith" dxfId="10220" priority="1997" stopIfTrue="1" operator="beginsWith" text="Functioning At Risk">
      <formula>LEFT(A277,LEN("Functioning At Risk"))="Functioning At Risk"</formula>
    </cfRule>
    <cfRule type="beginsWith" dxfId="10219" priority="1998" stopIfTrue="1" operator="beginsWith" text="Not Functioning">
      <formula>LEFT(A277,LEN("Not Functioning"))="Not Functioning"</formula>
    </cfRule>
    <cfRule type="containsText" dxfId="10218" priority="1999" operator="containsText" text="Functioning">
      <formula>NOT(ISERROR(SEARCH("Functioning",A277)))</formula>
    </cfRule>
  </conditionalFormatting>
  <conditionalFormatting sqref="I308:I312 B306:B307 D296 B299 A280:B280 A308:B310 H282:I283 H280:I280 H278:K279 A282:B282 A311:A312 D288:D290 B303:B304 A283 D308:D311 D280:D283 D299:D303">
    <cfRule type="beginsWith" dxfId="10217" priority="1994" stopIfTrue="1" operator="beginsWith" text="Functioning At Risk">
      <formula>LEFT(A278,LEN("Functioning At Risk"))="Functioning At Risk"</formula>
    </cfRule>
    <cfRule type="beginsWith" dxfId="10216" priority="1995" stopIfTrue="1" operator="beginsWith" text="Not Functioning">
      <formula>LEFT(A278,LEN("Not Functioning"))="Not Functioning"</formula>
    </cfRule>
    <cfRule type="containsText" dxfId="10215" priority="1996" operator="containsText" text="Functioning">
      <formula>NOT(ISERROR(SEARCH("Functioning",A278)))</formula>
    </cfRule>
  </conditionalFormatting>
  <conditionalFormatting sqref="D291">
    <cfRule type="beginsWith" dxfId="10214" priority="1988" stopIfTrue="1" operator="beginsWith" text="Functioning At Risk">
      <formula>LEFT(D291,LEN("Functioning At Risk"))="Functioning At Risk"</formula>
    </cfRule>
    <cfRule type="beginsWith" dxfId="10213" priority="1989" stopIfTrue="1" operator="beginsWith" text="Not Functioning">
      <formula>LEFT(D291,LEN("Not Functioning"))="Not Functioning"</formula>
    </cfRule>
    <cfRule type="containsText" dxfId="10212" priority="1990" operator="containsText" text="Functioning">
      <formula>NOT(ISERROR(SEARCH("Functioning",D291)))</formula>
    </cfRule>
  </conditionalFormatting>
  <conditionalFormatting sqref="D297">
    <cfRule type="beginsWith" dxfId="10211" priority="1985" stopIfTrue="1" operator="beginsWith" text="Functioning At Risk">
      <formula>LEFT(D297,LEN("Functioning At Risk"))="Functioning At Risk"</formula>
    </cfRule>
    <cfRule type="beginsWith" dxfId="10210" priority="1986" stopIfTrue="1" operator="beginsWith" text="Not Functioning">
      <formula>LEFT(D297,LEN("Not Functioning"))="Not Functioning"</formula>
    </cfRule>
    <cfRule type="containsText" dxfId="10209" priority="1987" operator="containsText" text="Functioning">
      <formula>NOT(ISERROR(SEARCH("Functioning",D297)))</formula>
    </cfRule>
  </conditionalFormatting>
  <conditionalFormatting sqref="D298">
    <cfRule type="beginsWith" dxfId="10208" priority="1982" stopIfTrue="1" operator="beginsWith" text="Functioning At Risk">
      <formula>LEFT(D298,LEN("Functioning At Risk"))="Functioning At Risk"</formula>
    </cfRule>
    <cfRule type="beginsWith" dxfId="10207" priority="1983" stopIfTrue="1" operator="beginsWith" text="Not Functioning">
      <formula>LEFT(D298,LEN("Not Functioning"))="Not Functioning"</formula>
    </cfRule>
    <cfRule type="containsText" dxfId="10206" priority="1984" operator="containsText" text="Functioning">
      <formula>NOT(ISERROR(SEARCH("Functioning",D298)))</formula>
    </cfRule>
  </conditionalFormatting>
  <conditionalFormatting sqref="D292:D295">
    <cfRule type="beginsWith" dxfId="10205" priority="1979" stopIfTrue="1" operator="beginsWith" text="Functioning At Risk">
      <formula>LEFT(D292,LEN("Functioning At Risk"))="Functioning At Risk"</formula>
    </cfRule>
    <cfRule type="beginsWith" dxfId="10204" priority="1980" stopIfTrue="1" operator="beginsWith" text="Not Functioning">
      <formula>LEFT(D292,LEN("Not Functioning"))="Not Functioning"</formula>
    </cfRule>
    <cfRule type="containsText" dxfId="10203" priority="1981" operator="containsText" text="Functioning">
      <formula>NOT(ISERROR(SEARCH("Functioning",D292)))</formula>
    </cfRule>
  </conditionalFormatting>
  <conditionalFormatting sqref="A304">
    <cfRule type="beginsWith" dxfId="10202" priority="1976" stopIfTrue="1" operator="beginsWith" text="Functioning At Risk">
      <formula>LEFT(A304,LEN("Functioning At Risk"))="Functioning At Risk"</formula>
    </cfRule>
    <cfRule type="beginsWith" dxfId="10201" priority="1977" stopIfTrue="1" operator="beginsWith" text="Not Functioning">
      <formula>LEFT(A304,LEN("Not Functioning"))="Not Functioning"</formula>
    </cfRule>
    <cfRule type="containsText" dxfId="10200" priority="1978" operator="containsText" text="Functioning">
      <formula>NOT(ISERROR(SEARCH("Functioning",A304)))</formula>
    </cfRule>
  </conditionalFormatting>
  <conditionalFormatting sqref="H304">
    <cfRule type="beginsWith" dxfId="10199" priority="1973" stopIfTrue="1" operator="beginsWith" text="Functioning At Risk">
      <formula>LEFT(H304,LEN("Functioning At Risk"))="Functioning At Risk"</formula>
    </cfRule>
    <cfRule type="beginsWith" dxfId="10198" priority="1974" stopIfTrue="1" operator="beginsWith" text="Not Functioning">
      <formula>LEFT(H304,LEN("Not Functioning"))="Not Functioning"</formula>
    </cfRule>
    <cfRule type="containsText" dxfId="10197" priority="1975" operator="containsText" text="Functioning">
      <formula>NOT(ISERROR(SEARCH("Functioning",H304)))</formula>
    </cfRule>
  </conditionalFormatting>
  <conditionalFormatting sqref="I304">
    <cfRule type="beginsWith" dxfId="10196" priority="1970" stopIfTrue="1" operator="beginsWith" text="Functioning At Risk">
      <formula>LEFT(I304,LEN("Functioning At Risk"))="Functioning At Risk"</formula>
    </cfRule>
    <cfRule type="beginsWith" dxfId="10195" priority="1971" stopIfTrue="1" operator="beginsWith" text="Not Functioning">
      <formula>LEFT(I304,LEN("Not Functioning"))="Not Functioning"</formula>
    </cfRule>
    <cfRule type="containsText" dxfId="10194" priority="1972" operator="containsText" text="Functioning">
      <formula>NOT(ISERROR(SEARCH("Functioning",I304)))</formula>
    </cfRule>
  </conditionalFormatting>
  <conditionalFormatting sqref="D312">
    <cfRule type="beginsWith" dxfId="10193" priority="1967" stopIfTrue="1" operator="beginsWith" text="Functioning At Risk">
      <formula>LEFT(D312,LEN("Functioning At Risk"))="Functioning At Risk"</formula>
    </cfRule>
    <cfRule type="beginsWith" dxfId="10192" priority="1968" stopIfTrue="1" operator="beginsWith" text="Not Functioning">
      <formula>LEFT(D312,LEN("Not Functioning"))="Not Functioning"</formula>
    </cfRule>
    <cfRule type="containsText" dxfId="10191" priority="1969" operator="containsText" text="Functioning">
      <formula>NOT(ISERROR(SEARCH("Functioning",D312)))</formula>
    </cfRule>
  </conditionalFormatting>
  <conditionalFormatting sqref="D313">
    <cfRule type="beginsWith" dxfId="10190" priority="1964" stopIfTrue="1" operator="beginsWith" text="Functioning At Risk">
      <formula>LEFT(D313,LEN("Functioning At Risk"))="Functioning At Risk"</formula>
    </cfRule>
    <cfRule type="beginsWith" dxfId="10189" priority="1965" stopIfTrue="1" operator="beginsWith" text="Not Functioning">
      <formula>LEFT(D313,LEN("Not Functioning"))="Not Functioning"</formula>
    </cfRule>
    <cfRule type="containsText" dxfId="10188" priority="1966" operator="containsText" text="Functioning">
      <formula>NOT(ISERROR(SEARCH("Functioning",D313)))</formula>
    </cfRule>
  </conditionalFormatting>
  <conditionalFormatting sqref="E312 E280:E281 E304">
    <cfRule type="beginsWith" dxfId="10187" priority="1943" stopIfTrue="1" operator="beginsWith" text="Functioning At Risk">
      <formula>LEFT(E280,LEN("Functioning At Risk"))="Functioning At Risk"</formula>
    </cfRule>
    <cfRule type="beginsWith" dxfId="10186" priority="1944" stopIfTrue="1" operator="beginsWith" text="Not Functioning">
      <formula>LEFT(E280,LEN("Not Functioning"))="Not Functioning"</formula>
    </cfRule>
    <cfRule type="containsText" dxfId="10185" priority="1945" operator="containsText" text="Functioning">
      <formula>NOT(ISERROR(SEARCH("Functioning",E280)))</formula>
    </cfRule>
  </conditionalFormatting>
  <conditionalFormatting sqref="E313">
    <cfRule type="beginsWith" dxfId="10184" priority="1940" stopIfTrue="1" operator="beginsWith" text="Functioning At Risk">
      <formula>LEFT(E313,LEN("Functioning At Risk"))="Functioning At Risk"</formula>
    </cfRule>
    <cfRule type="beginsWith" dxfId="10183" priority="1941" stopIfTrue="1" operator="beginsWith" text="Not Functioning">
      <formula>LEFT(E313,LEN("Not Functioning"))="Not Functioning"</formula>
    </cfRule>
    <cfRule type="containsText" dxfId="10182" priority="1942" operator="containsText" text="Functioning">
      <formula>NOT(ISERROR(SEARCH("Functioning",E313)))</formula>
    </cfRule>
  </conditionalFormatting>
  <conditionalFormatting sqref="E304">
    <cfRule type="expression" dxfId="10181" priority="1935">
      <formula>B187="Level 4 - Physicochemical"</formula>
    </cfRule>
    <cfRule type="expression" dxfId="10180" priority="1939">
      <formula>B187="Level 5 - Biology"</formula>
    </cfRule>
  </conditionalFormatting>
  <conditionalFormatting sqref="E306">
    <cfRule type="expression" dxfId="10179" priority="1934">
      <formula>B187="Level 4 - Physicochemical"</formula>
    </cfRule>
    <cfRule type="expression" dxfId="10178" priority="1938">
      <formula>B187="Level 5 - Biology"</formula>
    </cfRule>
  </conditionalFormatting>
  <conditionalFormatting sqref="E307">
    <cfRule type="expression" dxfId="10177" priority="1933">
      <formula>B187="Level 4 - Physicochemical"</formula>
    </cfRule>
    <cfRule type="expression" dxfId="10176" priority="1937">
      <formula>B187="Level 5 - Biology"</formula>
    </cfRule>
  </conditionalFormatting>
  <conditionalFormatting sqref="E313">
    <cfRule type="expression" dxfId="10175" priority="1936">
      <formula>B187="Level 5 - Biology"</formula>
    </cfRule>
  </conditionalFormatting>
  <conditionalFormatting sqref="E305">
    <cfRule type="expression" dxfId="10174" priority="1949">
      <formula>B188="Level 4 - Physicochemical"</formula>
    </cfRule>
    <cfRule type="expression" dxfId="10173" priority="1950">
      <formula>B188="Level 5 - Biology"</formula>
    </cfRule>
  </conditionalFormatting>
  <conditionalFormatting sqref="E312">
    <cfRule type="expression" dxfId="10172" priority="1951">
      <formula>B189="Level 5 - Biology"</formula>
    </cfRule>
  </conditionalFormatting>
  <conditionalFormatting sqref="E302:E303">
    <cfRule type="beginsWith" dxfId="10171" priority="1927" stopIfTrue="1" operator="beginsWith" text="Functioning At Risk">
      <formula>LEFT(E302,LEN("Functioning At Risk"))="Functioning At Risk"</formula>
    </cfRule>
    <cfRule type="beginsWith" dxfId="10170" priority="1928" stopIfTrue="1" operator="beginsWith" text="Not Functioning">
      <formula>LEFT(E302,LEN("Not Functioning"))="Not Functioning"</formula>
    </cfRule>
    <cfRule type="containsText" dxfId="10169" priority="1929" operator="containsText" text="Functioning">
      <formula>NOT(ISERROR(SEARCH("Functioning",E302)))</formula>
    </cfRule>
  </conditionalFormatting>
  <conditionalFormatting sqref="E311">
    <cfRule type="expression" dxfId="10168" priority="1925">
      <formula>B117="Level 5 - Biology"</formula>
    </cfRule>
  </conditionalFormatting>
  <conditionalFormatting sqref="E308:E311">
    <cfRule type="beginsWith" dxfId="10167" priority="1922" stopIfTrue="1" operator="beginsWith" text="Functioning At Risk">
      <formula>LEFT(E308,LEN("Functioning At Risk"))="Functioning At Risk"</formula>
    </cfRule>
    <cfRule type="beginsWith" dxfId="10166" priority="1923" stopIfTrue="1" operator="beginsWith" text="Not Functioning">
      <formula>LEFT(E308,LEN("Not Functioning"))="Not Functioning"</formula>
    </cfRule>
    <cfRule type="containsText" dxfId="10165" priority="1924" operator="containsText" text="Functioning">
      <formula>NOT(ISERROR(SEARCH("Functioning",E308)))</formula>
    </cfRule>
  </conditionalFormatting>
  <conditionalFormatting sqref="E308:E310">
    <cfRule type="expression" dxfId="10164" priority="1926">
      <formula>B116="Level 5 - Biology"</formula>
    </cfRule>
  </conditionalFormatting>
  <conditionalFormatting sqref="C288:C290 C305:C306 C299:C300 C311 C303 C280:C283 C308:C309">
    <cfRule type="beginsWith" dxfId="10163" priority="1919" stopIfTrue="1" operator="beginsWith" text="Functioning At Risk">
      <formula>LEFT(C280,LEN("Functioning At Risk"))="Functioning At Risk"</formula>
    </cfRule>
    <cfRule type="beginsWith" dxfId="10162" priority="1920" stopIfTrue="1" operator="beginsWith" text="Not Functioning">
      <formula>LEFT(C280,LEN("Not Functioning"))="Not Functioning"</formula>
    </cfRule>
    <cfRule type="containsText" dxfId="10161" priority="1921" operator="containsText" text="Functioning">
      <formula>NOT(ISERROR(SEARCH("Functioning",C280)))</formula>
    </cfRule>
  </conditionalFormatting>
  <conditionalFormatting sqref="C291">
    <cfRule type="beginsWith" dxfId="10160" priority="1916" stopIfTrue="1" operator="beginsWith" text="Functioning At Risk">
      <formula>LEFT(C291,LEN("Functioning At Risk"))="Functioning At Risk"</formula>
    </cfRule>
    <cfRule type="beginsWith" dxfId="10159" priority="1917" stopIfTrue="1" operator="beginsWith" text="Not Functioning">
      <formula>LEFT(C291,LEN("Not Functioning"))="Not Functioning"</formula>
    </cfRule>
    <cfRule type="containsText" dxfId="10158" priority="1918" operator="containsText" text="Functioning">
      <formula>NOT(ISERROR(SEARCH("Functioning",C291)))</formula>
    </cfRule>
  </conditionalFormatting>
  <conditionalFormatting sqref="C298">
    <cfRule type="beginsWith" dxfId="10157" priority="1913" stopIfTrue="1" operator="beginsWith" text="Functioning At Risk">
      <formula>LEFT(C298,LEN("Functioning At Risk"))="Functioning At Risk"</formula>
    </cfRule>
    <cfRule type="beginsWith" dxfId="10156" priority="1914" stopIfTrue="1" operator="beginsWith" text="Not Functioning">
      <formula>LEFT(C298,LEN("Not Functioning"))="Not Functioning"</formula>
    </cfRule>
    <cfRule type="containsText" dxfId="10155" priority="1915" operator="containsText" text="Functioning">
      <formula>NOT(ISERROR(SEARCH("Functioning",C298)))</formula>
    </cfRule>
  </conditionalFormatting>
  <conditionalFormatting sqref="C292:C295">
    <cfRule type="beginsWith" dxfId="10154" priority="1910" stopIfTrue="1" operator="beginsWith" text="Functioning At Risk">
      <formula>LEFT(C292,LEN("Functioning At Risk"))="Functioning At Risk"</formula>
    </cfRule>
    <cfRule type="beginsWith" dxfId="10153" priority="1911" stopIfTrue="1" operator="beginsWith" text="Not Functioning">
      <formula>LEFT(C292,LEN("Not Functioning"))="Not Functioning"</formula>
    </cfRule>
    <cfRule type="containsText" dxfId="10152" priority="1912" operator="containsText" text="Functioning">
      <formula>NOT(ISERROR(SEARCH("Functioning",C292)))</formula>
    </cfRule>
  </conditionalFormatting>
  <conditionalFormatting sqref="C301">
    <cfRule type="beginsWith" dxfId="10151" priority="1907" stopIfTrue="1" operator="beginsWith" text="Functioning At Risk">
      <formula>LEFT(C301,LEN("Functioning At Risk"))="Functioning At Risk"</formula>
    </cfRule>
    <cfRule type="beginsWith" dxfId="10150" priority="1908" stopIfTrue="1" operator="beginsWith" text="Not Functioning">
      <formula>LEFT(C301,LEN("Not Functioning"))="Not Functioning"</formula>
    </cfRule>
    <cfRule type="containsText" dxfId="10149" priority="1909" operator="containsText" text="Functioning">
      <formula>NOT(ISERROR(SEARCH("Functioning",C301)))</formula>
    </cfRule>
  </conditionalFormatting>
  <conditionalFormatting sqref="C302">
    <cfRule type="beginsWith" dxfId="10148" priority="1904" stopIfTrue="1" operator="beginsWith" text="Functioning At Risk">
      <formula>LEFT(C302,LEN("Functioning At Risk"))="Functioning At Risk"</formula>
    </cfRule>
    <cfRule type="beginsWith" dxfId="10147" priority="1905" stopIfTrue="1" operator="beginsWith" text="Not Functioning">
      <formula>LEFT(C302,LEN("Not Functioning"))="Not Functioning"</formula>
    </cfRule>
    <cfRule type="containsText" dxfId="10146" priority="1906" operator="containsText" text="Functioning">
      <formula>NOT(ISERROR(SEARCH("Functioning",C302)))</formula>
    </cfRule>
  </conditionalFormatting>
  <conditionalFormatting sqref="C313">
    <cfRule type="beginsWith" dxfId="10145" priority="1898" stopIfTrue="1" operator="beginsWith" text="Functioning At Risk">
      <formula>LEFT(C313,LEN("Functioning At Risk"))="Functioning At Risk"</formula>
    </cfRule>
    <cfRule type="beginsWith" dxfId="10144" priority="1899" stopIfTrue="1" operator="beginsWith" text="Not Functioning">
      <formula>LEFT(C313,LEN("Not Functioning"))="Not Functioning"</formula>
    </cfRule>
    <cfRule type="containsText" dxfId="10143" priority="1900" operator="containsText" text="Functioning">
      <formula>NOT(ISERROR(SEARCH("Functioning",C313)))</formula>
    </cfRule>
  </conditionalFormatting>
  <conditionalFormatting sqref="C312">
    <cfRule type="beginsWith" dxfId="10142" priority="1901" stopIfTrue="1" operator="beginsWith" text="Functioning At Risk">
      <formula>LEFT(C312,LEN("Functioning At Risk"))="Functioning At Risk"</formula>
    </cfRule>
    <cfRule type="beginsWith" dxfId="10141" priority="1902" stopIfTrue="1" operator="beginsWith" text="Not Functioning">
      <formula>LEFT(C312,LEN("Not Functioning"))="Not Functioning"</formula>
    </cfRule>
    <cfRule type="containsText" dxfId="10140" priority="1903" operator="containsText" text="Functioning">
      <formula>NOT(ISERROR(SEARCH("Functioning",C312)))</formula>
    </cfRule>
  </conditionalFormatting>
  <conditionalFormatting sqref="C310">
    <cfRule type="beginsWith" dxfId="10139" priority="1895" stopIfTrue="1" operator="beginsWith" text="Functioning At Risk">
      <formula>LEFT(C310,LEN("Functioning At Risk"))="Functioning At Risk"</formula>
    </cfRule>
    <cfRule type="beginsWith" dxfId="10138" priority="1896" stopIfTrue="1" operator="beginsWith" text="Not Functioning">
      <formula>LEFT(C310,LEN("Not Functioning"))="Not Functioning"</formula>
    </cfRule>
    <cfRule type="containsText" dxfId="10137" priority="1897" operator="containsText" text="Functioning">
      <formula>NOT(ISERROR(SEARCH("Functioning",C310)))</formula>
    </cfRule>
  </conditionalFormatting>
  <conditionalFormatting sqref="C296:C297">
    <cfRule type="beginsWith" dxfId="10136" priority="1892" stopIfTrue="1" operator="beginsWith" text="Functioning At Risk">
      <formula>LEFT(C296,LEN("Functioning At Risk"))="Functioning At Risk"</formula>
    </cfRule>
    <cfRule type="beginsWith" dxfId="10135" priority="1893" stopIfTrue="1" operator="beginsWith" text="Not Functioning">
      <formula>LEFT(C296,LEN("Not Functioning"))="Not Functioning"</formula>
    </cfRule>
    <cfRule type="containsText" dxfId="10134" priority="1894" operator="containsText" text="Functioning">
      <formula>NOT(ISERROR(SEARCH("Functioning",C296)))</formula>
    </cfRule>
  </conditionalFormatting>
  <conditionalFormatting sqref="E299">
    <cfRule type="beginsWith" dxfId="10133" priority="1877" stopIfTrue="1" operator="beginsWith" text="Functioning At Risk">
      <formula>LEFT(E299,LEN("Functioning At Risk"))="Functioning At Risk"</formula>
    </cfRule>
    <cfRule type="beginsWith" dxfId="10132" priority="1878" stopIfTrue="1" operator="beginsWith" text="Not Functioning">
      <formula>LEFT(E299,LEN("Not Functioning"))="Not Functioning"</formula>
    </cfRule>
    <cfRule type="containsText" dxfId="10131" priority="1879" operator="containsText" text="Functioning">
      <formula>NOT(ISERROR(SEARCH("Functioning",E299)))</formula>
    </cfRule>
  </conditionalFormatting>
  <conditionalFormatting sqref="E301">
    <cfRule type="beginsWith" dxfId="10130" priority="1874" stopIfTrue="1" operator="beginsWith" text="Functioning At Risk">
      <formula>LEFT(E301,LEN("Functioning At Risk"))="Functioning At Risk"</formula>
    </cfRule>
    <cfRule type="beginsWith" dxfId="10129" priority="1875" stopIfTrue="1" operator="beginsWith" text="Not Functioning">
      <formula>LEFT(E301,LEN("Not Functioning"))="Not Functioning"</formula>
    </cfRule>
    <cfRule type="containsText" dxfId="10128" priority="1876" operator="containsText" text="Functioning">
      <formula>NOT(ISERROR(SEARCH("Functioning",E301)))</formula>
    </cfRule>
  </conditionalFormatting>
  <conditionalFormatting sqref="H344">
    <cfRule type="beginsWith" dxfId="10127" priority="1823" stopIfTrue="1" operator="beginsWith" text="Functioning At Risk">
      <formula>LEFT(H344,LEN("Functioning At Risk"))="Functioning At Risk"</formula>
    </cfRule>
    <cfRule type="beginsWith" dxfId="10126" priority="1824" stopIfTrue="1" operator="beginsWith" text="Not Functioning">
      <formula>LEFT(H344,LEN("Not Functioning"))="Not Functioning"</formula>
    </cfRule>
    <cfRule type="containsText" dxfId="10125" priority="1825" operator="containsText" text="Functioning">
      <formula>NOT(ISERROR(SEARCH("Functioning",H344)))</formula>
    </cfRule>
  </conditionalFormatting>
  <conditionalFormatting sqref="I344">
    <cfRule type="beginsWith" dxfId="10124" priority="1820" stopIfTrue="1" operator="beginsWith" text="Functioning At Risk">
      <formula>LEFT(I344,LEN("Functioning At Risk"))="Functioning At Risk"</formula>
    </cfRule>
    <cfRule type="beginsWith" dxfId="10123" priority="1821" stopIfTrue="1" operator="beginsWith" text="Not Functioning">
      <formula>LEFT(I344,LEN("Not Functioning"))="Not Functioning"</formula>
    </cfRule>
    <cfRule type="containsText" dxfId="10122" priority="1822" operator="containsText" text="Functioning">
      <formula>NOT(ISERROR(SEARCH("Functioning",I344)))</formula>
    </cfRule>
  </conditionalFormatting>
  <conditionalFormatting sqref="D352">
    <cfRule type="beginsWith" dxfId="10121" priority="1817" stopIfTrue="1" operator="beginsWith" text="Functioning At Risk">
      <formula>LEFT(D352,LEN("Functioning At Risk"))="Functioning At Risk"</formula>
    </cfRule>
    <cfRule type="beginsWith" dxfId="10120" priority="1818" stopIfTrue="1" operator="beginsWith" text="Not Functioning">
      <formula>LEFT(D352,LEN("Not Functioning"))="Not Functioning"</formula>
    </cfRule>
    <cfRule type="containsText" dxfId="10119" priority="1819" operator="containsText" text="Functioning">
      <formula>NOT(ISERROR(SEARCH("Functioning",D352)))</formula>
    </cfRule>
  </conditionalFormatting>
  <conditionalFormatting sqref="D353">
    <cfRule type="beginsWith" dxfId="10118" priority="1814" stopIfTrue="1" operator="beginsWith" text="Functioning At Risk">
      <formula>LEFT(D353,LEN("Functioning At Risk"))="Functioning At Risk"</formula>
    </cfRule>
    <cfRule type="beginsWith" dxfId="10117" priority="1815" stopIfTrue="1" operator="beginsWith" text="Not Functioning">
      <formula>LEFT(D353,LEN("Not Functioning"))="Not Functioning"</formula>
    </cfRule>
    <cfRule type="containsText" dxfId="10116" priority="1816" operator="containsText" text="Functioning">
      <formula>NOT(ISERROR(SEARCH("Functioning",D353)))</formula>
    </cfRule>
  </conditionalFormatting>
  <conditionalFormatting sqref="E300">
    <cfRule type="beginsWith" dxfId="10115" priority="1853" stopIfTrue="1" operator="beginsWith" text="Functioning At Risk">
      <formula>LEFT(E300,LEN("Functioning At Risk"))="Functioning At Risk"</formula>
    </cfRule>
    <cfRule type="beginsWith" dxfId="10114" priority="1854" stopIfTrue="1" operator="beginsWith" text="Not Functioning">
      <formula>LEFT(E300,LEN("Not Functioning"))="Not Functioning"</formula>
    </cfRule>
    <cfRule type="containsText" dxfId="10113" priority="1855" operator="containsText" text="Functioning">
      <formula>NOT(ISERROR(SEARCH("Functioning",E300)))</formula>
    </cfRule>
  </conditionalFormatting>
  <conditionalFormatting sqref="A317:C317 E317:K317 D345:D346">
    <cfRule type="beginsWith" dxfId="10112" priority="1847" stopIfTrue="1" operator="beginsWith" text="Functioning At Risk">
      <formula>LEFT(A317,LEN("Functioning At Risk"))="Functioning At Risk"</formula>
    </cfRule>
    <cfRule type="beginsWith" dxfId="10111" priority="1848" stopIfTrue="1" operator="beginsWith" text="Not Functioning">
      <formula>LEFT(A317,LEN("Not Functioning"))="Not Functioning"</formula>
    </cfRule>
    <cfRule type="containsText" dxfId="10110" priority="1849" operator="containsText" text="Functioning">
      <formula>NOT(ISERROR(SEARCH("Functioning",A317)))</formula>
    </cfRule>
  </conditionalFormatting>
  <conditionalFormatting sqref="I348:I352 B346:B347 D336 B339 A320:B320 A348:B350 H322:I323 H320:I320 H318:K319 A322:B322 A351:A352 D328:D330 B343:B344 A323 D348:D351 D320:D323 D339:D343">
    <cfRule type="beginsWith" dxfId="10109" priority="1844" stopIfTrue="1" operator="beginsWith" text="Functioning At Risk">
      <formula>LEFT(A318,LEN("Functioning At Risk"))="Functioning At Risk"</formula>
    </cfRule>
    <cfRule type="beginsWith" dxfId="10108" priority="1845" stopIfTrue="1" operator="beginsWith" text="Not Functioning">
      <formula>LEFT(A318,LEN("Not Functioning"))="Not Functioning"</formula>
    </cfRule>
    <cfRule type="containsText" dxfId="10107" priority="1846" operator="containsText" text="Functioning">
      <formula>NOT(ISERROR(SEARCH("Functioning",A318)))</formula>
    </cfRule>
  </conditionalFormatting>
  <conditionalFormatting sqref="I384">
    <cfRule type="beginsWith" dxfId="10106" priority="1670" stopIfTrue="1" operator="beginsWith" text="Functioning At Risk">
      <formula>LEFT(I384,LEN("Functioning At Risk"))="Functioning At Risk"</formula>
    </cfRule>
    <cfRule type="beginsWith" dxfId="10105" priority="1671" stopIfTrue="1" operator="beginsWith" text="Not Functioning">
      <formula>LEFT(I384,LEN("Not Functioning"))="Not Functioning"</formula>
    </cfRule>
    <cfRule type="containsText" dxfId="10104" priority="1672" operator="containsText" text="Functioning">
      <formula>NOT(ISERROR(SEARCH("Functioning",I384)))</formula>
    </cfRule>
  </conditionalFormatting>
  <conditionalFormatting sqref="D331">
    <cfRule type="beginsWith" dxfId="10103" priority="1838" stopIfTrue="1" operator="beginsWith" text="Functioning At Risk">
      <formula>LEFT(D331,LEN("Functioning At Risk"))="Functioning At Risk"</formula>
    </cfRule>
    <cfRule type="beginsWith" dxfId="10102" priority="1839" stopIfTrue="1" operator="beginsWith" text="Not Functioning">
      <formula>LEFT(D331,LEN("Not Functioning"))="Not Functioning"</formula>
    </cfRule>
    <cfRule type="containsText" dxfId="10101" priority="1840" operator="containsText" text="Functioning">
      <formula>NOT(ISERROR(SEARCH("Functioning",D331)))</formula>
    </cfRule>
  </conditionalFormatting>
  <conditionalFormatting sqref="D337">
    <cfRule type="beginsWith" dxfId="10100" priority="1835" stopIfTrue="1" operator="beginsWith" text="Functioning At Risk">
      <formula>LEFT(D337,LEN("Functioning At Risk"))="Functioning At Risk"</formula>
    </cfRule>
    <cfRule type="beginsWith" dxfId="10099" priority="1836" stopIfTrue="1" operator="beginsWith" text="Not Functioning">
      <formula>LEFT(D337,LEN("Not Functioning"))="Not Functioning"</formula>
    </cfRule>
    <cfRule type="containsText" dxfId="10098" priority="1837" operator="containsText" text="Functioning">
      <formula>NOT(ISERROR(SEARCH("Functioning",D337)))</formula>
    </cfRule>
  </conditionalFormatting>
  <conditionalFormatting sqref="D338">
    <cfRule type="beginsWith" dxfId="10097" priority="1832" stopIfTrue="1" operator="beginsWith" text="Functioning At Risk">
      <formula>LEFT(D338,LEN("Functioning At Risk"))="Functioning At Risk"</formula>
    </cfRule>
    <cfRule type="beginsWith" dxfId="10096" priority="1833" stopIfTrue="1" operator="beginsWith" text="Not Functioning">
      <formula>LEFT(D338,LEN("Not Functioning"))="Not Functioning"</formula>
    </cfRule>
    <cfRule type="containsText" dxfId="10095" priority="1834" operator="containsText" text="Functioning">
      <formula>NOT(ISERROR(SEARCH("Functioning",D338)))</formula>
    </cfRule>
  </conditionalFormatting>
  <conditionalFormatting sqref="D332:D335">
    <cfRule type="beginsWith" dxfId="10094" priority="1829" stopIfTrue="1" operator="beginsWith" text="Functioning At Risk">
      <formula>LEFT(D332,LEN("Functioning At Risk"))="Functioning At Risk"</formula>
    </cfRule>
    <cfRule type="beginsWith" dxfId="10093" priority="1830" stopIfTrue="1" operator="beginsWith" text="Not Functioning">
      <formula>LEFT(D332,LEN("Not Functioning"))="Not Functioning"</formula>
    </cfRule>
    <cfRule type="containsText" dxfId="10092" priority="1831" operator="containsText" text="Functioning">
      <formula>NOT(ISERROR(SEARCH("Functioning",D332)))</formula>
    </cfRule>
  </conditionalFormatting>
  <conditionalFormatting sqref="A344">
    <cfRule type="beginsWith" dxfId="10091" priority="1826" stopIfTrue="1" operator="beginsWith" text="Functioning At Risk">
      <formula>LEFT(A344,LEN("Functioning At Risk"))="Functioning At Risk"</formula>
    </cfRule>
    <cfRule type="beginsWith" dxfId="10090" priority="1827" stopIfTrue="1" operator="beginsWith" text="Not Functioning">
      <formula>LEFT(A344,LEN("Not Functioning"))="Not Functioning"</formula>
    </cfRule>
    <cfRule type="containsText" dxfId="10089" priority="1828" operator="containsText" text="Functioning">
      <formula>NOT(ISERROR(SEARCH("Functioning",A344)))</formula>
    </cfRule>
  </conditionalFormatting>
  <conditionalFormatting sqref="B352">
    <cfRule type="beginsWith" dxfId="10088" priority="1811" stopIfTrue="1" operator="beginsWith" text="Functioning At Risk">
      <formula>LEFT(B352,LEN("Functioning At Risk"))="Functioning At Risk"</formula>
    </cfRule>
    <cfRule type="beginsWith" dxfId="10087" priority="1812" stopIfTrue="1" operator="beginsWith" text="Not Functioning">
      <formula>LEFT(B352,LEN("Not Functioning"))="Not Functioning"</formula>
    </cfRule>
    <cfRule type="containsText" dxfId="10086" priority="1813" operator="containsText" text="Functioning">
      <formula>NOT(ISERROR(SEARCH("Functioning",B352)))</formula>
    </cfRule>
  </conditionalFormatting>
  <conditionalFormatting sqref="B328">
    <cfRule type="beginsWith" dxfId="10085" priority="1805" stopIfTrue="1" operator="beginsWith" text="Functioning At Risk">
      <formula>LEFT(B328,LEN("Functioning At Risk"))="Functioning At Risk"</formula>
    </cfRule>
    <cfRule type="beginsWith" dxfId="10084" priority="1806" stopIfTrue="1" operator="beginsWith" text="Not Functioning">
      <formula>LEFT(B328,LEN("Not Functioning"))="Not Functioning"</formula>
    </cfRule>
    <cfRule type="containsText" dxfId="10083" priority="1807" operator="containsText" text="Functioning">
      <formula>NOT(ISERROR(SEARCH("Functioning",B328)))</formula>
    </cfRule>
  </conditionalFormatting>
  <conditionalFormatting sqref="E352 E320:E321 E344">
    <cfRule type="beginsWith" dxfId="10082" priority="1793" stopIfTrue="1" operator="beginsWith" text="Functioning At Risk">
      <formula>LEFT(E320,LEN("Functioning At Risk"))="Functioning At Risk"</formula>
    </cfRule>
    <cfRule type="beginsWith" dxfId="10081" priority="1794" stopIfTrue="1" operator="beginsWith" text="Not Functioning">
      <formula>LEFT(E320,LEN("Not Functioning"))="Not Functioning"</formula>
    </cfRule>
    <cfRule type="containsText" dxfId="10080" priority="1795" operator="containsText" text="Functioning">
      <formula>NOT(ISERROR(SEARCH("Functioning",E320)))</formula>
    </cfRule>
  </conditionalFormatting>
  <conditionalFormatting sqref="E353">
    <cfRule type="beginsWith" dxfId="10079" priority="1790" stopIfTrue="1" operator="beginsWith" text="Functioning At Risk">
      <formula>LEFT(E353,LEN("Functioning At Risk"))="Functioning At Risk"</formula>
    </cfRule>
    <cfRule type="beginsWith" dxfId="10078" priority="1791" stopIfTrue="1" operator="beginsWith" text="Not Functioning">
      <formula>LEFT(E353,LEN("Not Functioning"))="Not Functioning"</formula>
    </cfRule>
    <cfRule type="containsText" dxfId="10077" priority="1792" operator="containsText" text="Functioning">
      <formula>NOT(ISERROR(SEARCH("Functioning",E353)))</formula>
    </cfRule>
  </conditionalFormatting>
  <conditionalFormatting sqref="E344">
    <cfRule type="expression" dxfId="10076" priority="1785">
      <formula>B227="Level 4 - Physicochemical"</formula>
    </cfRule>
    <cfRule type="expression" dxfId="10075" priority="1789">
      <formula>B227="Level 5 - Biology"</formula>
    </cfRule>
  </conditionalFormatting>
  <conditionalFormatting sqref="E346">
    <cfRule type="expression" dxfId="10074" priority="1784">
      <formula>B227="Level 4 - Physicochemical"</formula>
    </cfRule>
    <cfRule type="expression" dxfId="10073" priority="1788">
      <formula>B227="Level 5 - Biology"</formula>
    </cfRule>
  </conditionalFormatting>
  <conditionalFormatting sqref="E347">
    <cfRule type="expression" dxfId="10072" priority="1783">
      <formula>B227="Level 4 - Physicochemical"</formula>
    </cfRule>
    <cfRule type="expression" dxfId="10071" priority="1787">
      <formula>B227="Level 5 - Biology"</formula>
    </cfRule>
  </conditionalFormatting>
  <conditionalFormatting sqref="E353">
    <cfRule type="expression" dxfId="10070" priority="1786">
      <formula>B227="Level 5 - Biology"</formula>
    </cfRule>
  </conditionalFormatting>
  <conditionalFormatting sqref="E345">
    <cfRule type="expression" dxfId="10069" priority="1799">
      <formula>B228="Level 4 - Physicochemical"</formula>
    </cfRule>
    <cfRule type="expression" dxfId="10068" priority="1800">
      <formula>B228="Level 5 - Biology"</formula>
    </cfRule>
  </conditionalFormatting>
  <conditionalFormatting sqref="E352">
    <cfRule type="expression" dxfId="10067" priority="1801">
      <formula>B229="Level 5 - Biology"</formula>
    </cfRule>
  </conditionalFormatting>
  <conditionalFormatting sqref="E342:E343">
    <cfRule type="beginsWith" dxfId="10066" priority="1777" stopIfTrue="1" operator="beginsWith" text="Functioning At Risk">
      <formula>LEFT(E342,LEN("Functioning At Risk"))="Functioning At Risk"</formula>
    </cfRule>
    <cfRule type="beginsWith" dxfId="10065" priority="1778" stopIfTrue="1" operator="beginsWith" text="Not Functioning">
      <formula>LEFT(E342,LEN("Not Functioning"))="Not Functioning"</formula>
    </cfRule>
    <cfRule type="containsText" dxfId="10064" priority="1779" operator="containsText" text="Functioning">
      <formula>NOT(ISERROR(SEARCH("Functioning",E342)))</formula>
    </cfRule>
  </conditionalFormatting>
  <conditionalFormatting sqref="E351">
    <cfRule type="expression" dxfId="10063" priority="1775">
      <formula>B157="Level 5 - Biology"</formula>
    </cfRule>
  </conditionalFormatting>
  <conditionalFormatting sqref="E348:E351">
    <cfRule type="beginsWith" dxfId="10062" priority="1772" stopIfTrue="1" operator="beginsWith" text="Functioning At Risk">
      <formula>LEFT(E348,LEN("Functioning At Risk"))="Functioning At Risk"</formula>
    </cfRule>
    <cfRule type="beginsWith" dxfId="10061" priority="1773" stopIfTrue="1" operator="beginsWith" text="Not Functioning">
      <formula>LEFT(E348,LEN("Not Functioning"))="Not Functioning"</formula>
    </cfRule>
    <cfRule type="containsText" dxfId="10060" priority="1774" operator="containsText" text="Functioning">
      <formula>NOT(ISERROR(SEARCH("Functioning",E348)))</formula>
    </cfRule>
  </conditionalFormatting>
  <conditionalFormatting sqref="E348:E350">
    <cfRule type="expression" dxfId="10059" priority="1776">
      <formula>B156="Level 5 - Biology"</formula>
    </cfRule>
  </conditionalFormatting>
  <conditionalFormatting sqref="C328:C330 C345:C346 C339:C340 C351 C343 C320:C323 C348:C349">
    <cfRule type="beginsWith" dxfId="10058" priority="1769" stopIfTrue="1" operator="beginsWith" text="Functioning At Risk">
      <formula>LEFT(C320,LEN("Functioning At Risk"))="Functioning At Risk"</formula>
    </cfRule>
    <cfRule type="beginsWith" dxfId="10057" priority="1770" stopIfTrue="1" operator="beginsWith" text="Not Functioning">
      <formula>LEFT(C320,LEN("Not Functioning"))="Not Functioning"</formula>
    </cfRule>
    <cfRule type="containsText" dxfId="10056" priority="1771" operator="containsText" text="Functioning">
      <formula>NOT(ISERROR(SEARCH("Functioning",C320)))</formula>
    </cfRule>
  </conditionalFormatting>
  <conditionalFormatting sqref="C331">
    <cfRule type="beginsWith" dxfId="10055" priority="1766" stopIfTrue="1" operator="beginsWith" text="Functioning At Risk">
      <formula>LEFT(C331,LEN("Functioning At Risk"))="Functioning At Risk"</formula>
    </cfRule>
    <cfRule type="beginsWith" dxfId="10054" priority="1767" stopIfTrue="1" operator="beginsWith" text="Not Functioning">
      <formula>LEFT(C331,LEN("Not Functioning"))="Not Functioning"</formula>
    </cfRule>
    <cfRule type="containsText" dxfId="10053" priority="1768" operator="containsText" text="Functioning">
      <formula>NOT(ISERROR(SEARCH("Functioning",C331)))</formula>
    </cfRule>
  </conditionalFormatting>
  <conditionalFormatting sqref="C338">
    <cfRule type="beginsWith" dxfId="10052" priority="1763" stopIfTrue="1" operator="beginsWith" text="Functioning At Risk">
      <formula>LEFT(C338,LEN("Functioning At Risk"))="Functioning At Risk"</formula>
    </cfRule>
    <cfRule type="beginsWith" dxfId="10051" priority="1764" stopIfTrue="1" operator="beginsWith" text="Not Functioning">
      <formula>LEFT(C338,LEN("Not Functioning"))="Not Functioning"</formula>
    </cfRule>
    <cfRule type="containsText" dxfId="10050" priority="1765" operator="containsText" text="Functioning">
      <formula>NOT(ISERROR(SEARCH("Functioning",C338)))</formula>
    </cfRule>
  </conditionalFormatting>
  <conditionalFormatting sqref="C332:C335">
    <cfRule type="beginsWith" dxfId="10049" priority="1760" stopIfTrue="1" operator="beginsWith" text="Functioning At Risk">
      <formula>LEFT(C332,LEN("Functioning At Risk"))="Functioning At Risk"</formula>
    </cfRule>
    <cfRule type="beginsWith" dxfId="10048" priority="1761" stopIfTrue="1" operator="beginsWith" text="Not Functioning">
      <formula>LEFT(C332,LEN("Not Functioning"))="Not Functioning"</formula>
    </cfRule>
    <cfRule type="containsText" dxfId="10047" priority="1762" operator="containsText" text="Functioning">
      <formula>NOT(ISERROR(SEARCH("Functioning",C332)))</formula>
    </cfRule>
  </conditionalFormatting>
  <conditionalFormatting sqref="C341">
    <cfRule type="beginsWith" dxfId="10046" priority="1757" stopIfTrue="1" operator="beginsWith" text="Functioning At Risk">
      <formula>LEFT(C341,LEN("Functioning At Risk"))="Functioning At Risk"</formula>
    </cfRule>
    <cfRule type="beginsWith" dxfId="10045" priority="1758" stopIfTrue="1" operator="beginsWith" text="Not Functioning">
      <formula>LEFT(C341,LEN("Not Functioning"))="Not Functioning"</formula>
    </cfRule>
    <cfRule type="containsText" dxfId="10044" priority="1759" operator="containsText" text="Functioning">
      <formula>NOT(ISERROR(SEARCH("Functioning",C341)))</formula>
    </cfRule>
  </conditionalFormatting>
  <conditionalFormatting sqref="C342">
    <cfRule type="beginsWith" dxfId="10043" priority="1754" stopIfTrue="1" operator="beginsWith" text="Functioning At Risk">
      <formula>LEFT(C342,LEN("Functioning At Risk"))="Functioning At Risk"</formula>
    </cfRule>
    <cfRule type="beginsWith" dxfId="10042" priority="1755" stopIfTrue="1" operator="beginsWith" text="Not Functioning">
      <formula>LEFT(C342,LEN("Not Functioning"))="Not Functioning"</formula>
    </cfRule>
    <cfRule type="containsText" dxfId="10041" priority="1756" operator="containsText" text="Functioning">
      <formula>NOT(ISERROR(SEARCH("Functioning",C342)))</formula>
    </cfRule>
  </conditionalFormatting>
  <conditionalFormatting sqref="C353">
    <cfRule type="beginsWith" dxfId="10040" priority="1748" stopIfTrue="1" operator="beginsWith" text="Functioning At Risk">
      <formula>LEFT(C353,LEN("Functioning At Risk"))="Functioning At Risk"</formula>
    </cfRule>
    <cfRule type="beginsWith" dxfId="10039" priority="1749" stopIfTrue="1" operator="beginsWith" text="Not Functioning">
      <formula>LEFT(C353,LEN("Not Functioning"))="Not Functioning"</formula>
    </cfRule>
    <cfRule type="containsText" dxfId="10038" priority="1750" operator="containsText" text="Functioning">
      <formula>NOT(ISERROR(SEARCH("Functioning",C353)))</formula>
    </cfRule>
  </conditionalFormatting>
  <conditionalFormatting sqref="C352">
    <cfRule type="beginsWith" dxfId="10037" priority="1751" stopIfTrue="1" operator="beginsWith" text="Functioning At Risk">
      <formula>LEFT(C352,LEN("Functioning At Risk"))="Functioning At Risk"</formula>
    </cfRule>
    <cfRule type="beginsWith" dxfId="10036" priority="1752" stopIfTrue="1" operator="beginsWith" text="Not Functioning">
      <formula>LEFT(C352,LEN("Not Functioning"))="Not Functioning"</formula>
    </cfRule>
    <cfRule type="containsText" dxfId="10035" priority="1753" operator="containsText" text="Functioning">
      <formula>NOT(ISERROR(SEARCH("Functioning",C352)))</formula>
    </cfRule>
  </conditionalFormatting>
  <conditionalFormatting sqref="C350">
    <cfRule type="beginsWith" dxfId="10034" priority="1745" stopIfTrue="1" operator="beginsWith" text="Functioning At Risk">
      <formula>LEFT(C350,LEN("Functioning At Risk"))="Functioning At Risk"</formula>
    </cfRule>
    <cfRule type="beginsWith" dxfId="10033" priority="1746" stopIfTrue="1" operator="beginsWith" text="Not Functioning">
      <formula>LEFT(C350,LEN("Not Functioning"))="Not Functioning"</formula>
    </cfRule>
    <cfRule type="containsText" dxfId="10032" priority="1747" operator="containsText" text="Functioning">
      <formula>NOT(ISERROR(SEARCH("Functioning",C350)))</formula>
    </cfRule>
  </conditionalFormatting>
  <conditionalFormatting sqref="C336:C337">
    <cfRule type="beginsWith" dxfId="10031" priority="1742" stopIfTrue="1" operator="beginsWith" text="Functioning At Risk">
      <formula>LEFT(C336,LEN("Functioning At Risk"))="Functioning At Risk"</formula>
    </cfRule>
    <cfRule type="beginsWith" dxfId="10030" priority="1743" stopIfTrue="1" operator="beginsWith" text="Not Functioning">
      <formula>LEFT(C336,LEN("Not Functioning"))="Not Functioning"</formula>
    </cfRule>
    <cfRule type="containsText" dxfId="10029" priority="1744" operator="containsText" text="Functioning">
      <formula>NOT(ISERROR(SEARCH("Functioning",C336)))</formula>
    </cfRule>
  </conditionalFormatting>
  <conditionalFormatting sqref="E339">
    <cfRule type="beginsWith" dxfId="10028" priority="1727" stopIfTrue="1" operator="beginsWith" text="Functioning At Risk">
      <formula>LEFT(E339,LEN("Functioning At Risk"))="Functioning At Risk"</formula>
    </cfRule>
    <cfRule type="beginsWith" dxfId="10027" priority="1728" stopIfTrue="1" operator="beginsWith" text="Not Functioning">
      <formula>LEFT(E339,LEN("Not Functioning"))="Not Functioning"</formula>
    </cfRule>
    <cfRule type="containsText" dxfId="10026" priority="1729" operator="containsText" text="Functioning">
      <formula>NOT(ISERROR(SEARCH("Functioning",E339)))</formula>
    </cfRule>
  </conditionalFormatting>
  <conditionalFormatting sqref="E341">
    <cfRule type="beginsWith" dxfId="10025" priority="1724" stopIfTrue="1" operator="beginsWith" text="Functioning At Risk">
      <formula>LEFT(E341,LEN("Functioning At Risk"))="Functioning At Risk"</formula>
    </cfRule>
    <cfRule type="beginsWith" dxfId="10024" priority="1725" stopIfTrue="1" operator="beginsWith" text="Not Functioning">
      <formula>LEFT(E341,LEN("Not Functioning"))="Not Functioning"</formula>
    </cfRule>
    <cfRule type="containsText" dxfId="10023" priority="1726" operator="containsText" text="Functioning">
      <formula>NOT(ISERROR(SEARCH("Functioning",E341)))</formula>
    </cfRule>
  </conditionalFormatting>
  <conditionalFormatting sqref="D377">
    <cfRule type="beginsWith" dxfId="10022" priority="1685" stopIfTrue="1" operator="beginsWith" text="Functioning At Risk">
      <formula>LEFT(D377,LEN("Functioning At Risk"))="Functioning At Risk"</formula>
    </cfRule>
    <cfRule type="beginsWith" dxfId="10021" priority="1686" stopIfTrue="1" operator="beginsWith" text="Not Functioning">
      <formula>LEFT(D377,LEN("Not Functioning"))="Not Functioning"</formula>
    </cfRule>
    <cfRule type="containsText" dxfId="10020" priority="1687" operator="containsText" text="Functioning">
      <formula>NOT(ISERROR(SEARCH("Functioning",D377)))</formula>
    </cfRule>
  </conditionalFormatting>
  <conditionalFormatting sqref="D378">
    <cfRule type="beginsWith" dxfId="10019" priority="1682" stopIfTrue="1" operator="beginsWith" text="Functioning At Risk">
      <formula>LEFT(D378,LEN("Functioning At Risk"))="Functioning At Risk"</formula>
    </cfRule>
    <cfRule type="beginsWith" dxfId="10018" priority="1683" stopIfTrue="1" operator="beginsWith" text="Not Functioning">
      <formula>LEFT(D378,LEN("Not Functioning"))="Not Functioning"</formula>
    </cfRule>
    <cfRule type="containsText" dxfId="10017" priority="1684" operator="containsText" text="Functioning">
      <formula>NOT(ISERROR(SEARCH("Functioning",D378)))</formula>
    </cfRule>
  </conditionalFormatting>
  <conditionalFormatting sqref="D372:D375">
    <cfRule type="beginsWith" dxfId="10016" priority="1679" stopIfTrue="1" operator="beginsWith" text="Functioning At Risk">
      <formula>LEFT(D372,LEN("Functioning At Risk"))="Functioning At Risk"</formula>
    </cfRule>
    <cfRule type="beginsWith" dxfId="10015" priority="1680" stopIfTrue="1" operator="beginsWith" text="Not Functioning">
      <formula>LEFT(D372,LEN("Not Functioning"))="Not Functioning"</formula>
    </cfRule>
    <cfRule type="containsText" dxfId="10014" priority="1681" operator="containsText" text="Functioning">
      <formula>NOT(ISERROR(SEARCH("Functioning",D372)))</formula>
    </cfRule>
  </conditionalFormatting>
  <conditionalFormatting sqref="A384">
    <cfRule type="beginsWith" dxfId="10013" priority="1676" stopIfTrue="1" operator="beginsWith" text="Functioning At Risk">
      <formula>LEFT(A384,LEN("Functioning At Risk"))="Functioning At Risk"</formula>
    </cfRule>
    <cfRule type="beginsWith" dxfId="10012" priority="1677" stopIfTrue="1" operator="beginsWith" text="Not Functioning">
      <formula>LEFT(A384,LEN("Not Functioning"))="Not Functioning"</formula>
    </cfRule>
    <cfRule type="containsText" dxfId="10011" priority="1678" operator="containsText" text="Functioning">
      <formula>NOT(ISERROR(SEARCH("Functioning",A384)))</formula>
    </cfRule>
  </conditionalFormatting>
  <conditionalFormatting sqref="E340">
    <cfRule type="beginsWith" dxfId="10010" priority="1703" stopIfTrue="1" operator="beginsWith" text="Functioning At Risk">
      <formula>LEFT(E340,LEN("Functioning At Risk"))="Functioning At Risk"</formula>
    </cfRule>
    <cfRule type="beginsWith" dxfId="10009" priority="1704" stopIfTrue="1" operator="beginsWith" text="Not Functioning">
      <formula>LEFT(E340,LEN("Not Functioning"))="Not Functioning"</formula>
    </cfRule>
    <cfRule type="containsText" dxfId="10008" priority="1705" operator="containsText" text="Functioning">
      <formula>NOT(ISERROR(SEARCH("Functioning",E340)))</formula>
    </cfRule>
  </conditionalFormatting>
  <conditionalFormatting sqref="A357:C357 E357:K357 D385:D386">
    <cfRule type="beginsWith" dxfId="10007" priority="1697" stopIfTrue="1" operator="beginsWith" text="Functioning At Risk">
      <formula>LEFT(A357,LEN("Functioning At Risk"))="Functioning At Risk"</formula>
    </cfRule>
    <cfRule type="beginsWith" dxfId="10006" priority="1698" stopIfTrue="1" operator="beginsWith" text="Not Functioning">
      <formula>LEFT(A357,LEN("Not Functioning"))="Not Functioning"</formula>
    </cfRule>
    <cfRule type="containsText" dxfId="10005" priority="1699" operator="containsText" text="Functioning">
      <formula>NOT(ISERROR(SEARCH("Functioning",A357)))</formula>
    </cfRule>
  </conditionalFormatting>
  <conditionalFormatting sqref="I388:I392 B386:B387 D376 B379 A360:B360 A388:B390 H362:I363 H360:I360 H358:K359 A362:B362 A391:A392 D368:D370 B383:B384 A363 D388:D391 D360:D363 D379:D383">
    <cfRule type="beginsWith" dxfId="10004" priority="1694" stopIfTrue="1" operator="beginsWith" text="Functioning At Risk">
      <formula>LEFT(A358,LEN("Functioning At Risk"))="Functioning At Risk"</formula>
    </cfRule>
    <cfRule type="beginsWith" dxfId="10003" priority="1695" stopIfTrue="1" operator="beginsWith" text="Not Functioning">
      <formula>LEFT(A358,LEN("Not Functioning"))="Not Functioning"</formula>
    </cfRule>
    <cfRule type="containsText" dxfId="10002" priority="1696" operator="containsText" text="Functioning">
      <formula>NOT(ISERROR(SEARCH("Functioning",A358)))</formula>
    </cfRule>
  </conditionalFormatting>
  <conditionalFormatting sqref="D371">
    <cfRule type="beginsWith" dxfId="10001" priority="1688" stopIfTrue="1" operator="beginsWith" text="Functioning At Risk">
      <formula>LEFT(D371,LEN("Functioning At Risk"))="Functioning At Risk"</formula>
    </cfRule>
    <cfRule type="beginsWith" dxfId="10000" priority="1689" stopIfTrue="1" operator="beginsWith" text="Not Functioning">
      <formula>LEFT(D371,LEN("Not Functioning"))="Not Functioning"</formula>
    </cfRule>
    <cfRule type="containsText" dxfId="9999" priority="1690" operator="containsText" text="Functioning">
      <formula>NOT(ISERROR(SEARCH("Functioning",D371)))</formula>
    </cfRule>
  </conditionalFormatting>
  <conditionalFormatting sqref="H384">
    <cfRule type="beginsWith" dxfId="9998" priority="1673" stopIfTrue="1" operator="beginsWith" text="Functioning At Risk">
      <formula>LEFT(H384,LEN("Functioning At Risk"))="Functioning At Risk"</formula>
    </cfRule>
    <cfRule type="beginsWith" dxfId="9997" priority="1674" stopIfTrue="1" operator="beginsWith" text="Not Functioning">
      <formula>LEFT(H384,LEN("Not Functioning"))="Not Functioning"</formula>
    </cfRule>
    <cfRule type="containsText" dxfId="9996" priority="1675" operator="containsText" text="Functioning">
      <formula>NOT(ISERROR(SEARCH("Functioning",H384)))</formula>
    </cfRule>
  </conditionalFormatting>
  <conditionalFormatting sqref="D392">
    <cfRule type="beginsWith" dxfId="9995" priority="1667" stopIfTrue="1" operator="beginsWith" text="Functioning At Risk">
      <formula>LEFT(D392,LEN("Functioning At Risk"))="Functioning At Risk"</formula>
    </cfRule>
    <cfRule type="beginsWith" dxfId="9994" priority="1668" stopIfTrue="1" operator="beginsWith" text="Not Functioning">
      <formula>LEFT(D392,LEN("Not Functioning"))="Not Functioning"</formula>
    </cfRule>
    <cfRule type="containsText" dxfId="9993" priority="1669" operator="containsText" text="Functioning">
      <formula>NOT(ISERROR(SEARCH("Functioning",D392)))</formula>
    </cfRule>
  </conditionalFormatting>
  <conditionalFormatting sqref="D393">
    <cfRule type="beginsWith" dxfId="9992" priority="1664" stopIfTrue="1" operator="beginsWith" text="Functioning At Risk">
      <formula>LEFT(D393,LEN("Functioning At Risk"))="Functioning At Risk"</formula>
    </cfRule>
    <cfRule type="beginsWith" dxfId="9991" priority="1665" stopIfTrue="1" operator="beginsWith" text="Not Functioning">
      <formula>LEFT(D393,LEN("Not Functioning"))="Not Functioning"</formula>
    </cfRule>
    <cfRule type="containsText" dxfId="9990" priority="1666" operator="containsText" text="Functioning">
      <formula>NOT(ISERROR(SEARCH("Functioning",D393)))</formula>
    </cfRule>
  </conditionalFormatting>
  <conditionalFormatting sqref="B392">
    <cfRule type="beginsWith" dxfId="9989" priority="1661" stopIfTrue="1" operator="beginsWith" text="Functioning At Risk">
      <formula>LEFT(B392,LEN("Functioning At Risk"))="Functioning At Risk"</formula>
    </cfRule>
    <cfRule type="beginsWith" dxfId="9988" priority="1662" stopIfTrue="1" operator="beginsWith" text="Not Functioning">
      <formula>LEFT(B392,LEN("Not Functioning"))="Not Functioning"</formula>
    </cfRule>
    <cfRule type="containsText" dxfId="9987" priority="1663" operator="containsText" text="Functioning">
      <formula>NOT(ISERROR(SEARCH("Functioning",B392)))</formula>
    </cfRule>
  </conditionalFormatting>
  <conditionalFormatting sqref="B368">
    <cfRule type="beginsWith" dxfId="9986" priority="1655" stopIfTrue="1" operator="beginsWith" text="Functioning At Risk">
      <formula>LEFT(B368,LEN("Functioning At Risk"))="Functioning At Risk"</formula>
    </cfRule>
    <cfRule type="beginsWith" dxfId="9985" priority="1656" stopIfTrue="1" operator="beginsWith" text="Not Functioning">
      <formula>LEFT(B368,LEN("Not Functioning"))="Not Functioning"</formula>
    </cfRule>
    <cfRule type="containsText" dxfId="9984" priority="1657" operator="containsText" text="Functioning">
      <formula>NOT(ISERROR(SEARCH("Functioning",B368)))</formula>
    </cfRule>
  </conditionalFormatting>
  <conditionalFormatting sqref="E392 E360:E361 E384">
    <cfRule type="beginsWith" dxfId="9983" priority="1643" stopIfTrue="1" operator="beginsWith" text="Functioning At Risk">
      <formula>LEFT(E360,LEN("Functioning At Risk"))="Functioning At Risk"</formula>
    </cfRule>
    <cfRule type="beginsWith" dxfId="9982" priority="1644" stopIfTrue="1" operator="beginsWith" text="Not Functioning">
      <formula>LEFT(E360,LEN("Not Functioning"))="Not Functioning"</formula>
    </cfRule>
    <cfRule type="containsText" dxfId="9981" priority="1645" operator="containsText" text="Functioning">
      <formula>NOT(ISERROR(SEARCH("Functioning",E360)))</formula>
    </cfRule>
  </conditionalFormatting>
  <conditionalFormatting sqref="E393">
    <cfRule type="beginsWith" dxfId="9980" priority="1640" stopIfTrue="1" operator="beginsWith" text="Functioning At Risk">
      <formula>LEFT(E393,LEN("Functioning At Risk"))="Functioning At Risk"</formula>
    </cfRule>
    <cfRule type="beginsWith" dxfId="9979" priority="1641" stopIfTrue="1" operator="beginsWith" text="Not Functioning">
      <formula>LEFT(E393,LEN("Not Functioning"))="Not Functioning"</formula>
    </cfRule>
    <cfRule type="containsText" dxfId="9978" priority="1642" operator="containsText" text="Functioning">
      <formula>NOT(ISERROR(SEARCH("Functioning",E393)))</formula>
    </cfRule>
  </conditionalFormatting>
  <conditionalFormatting sqref="E384">
    <cfRule type="expression" dxfId="9977" priority="1635">
      <formula>B267="Level 4 - Physicochemical"</formula>
    </cfRule>
    <cfRule type="expression" dxfId="9976" priority="1639">
      <formula>B267="Level 5 - Biology"</formula>
    </cfRule>
  </conditionalFormatting>
  <conditionalFormatting sqref="E386">
    <cfRule type="expression" dxfId="9975" priority="1634">
      <formula>B267="Level 4 - Physicochemical"</formula>
    </cfRule>
    <cfRule type="expression" dxfId="9974" priority="1638">
      <formula>B267="Level 5 - Biology"</formula>
    </cfRule>
  </conditionalFormatting>
  <conditionalFormatting sqref="E387">
    <cfRule type="expression" dxfId="9973" priority="1633">
      <formula>B267="Level 4 - Physicochemical"</formula>
    </cfRule>
    <cfRule type="expression" dxfId="9972" priority="1637">
      <formula>B267="Level 5 - Biology"</formula>
    </cfRule>
  </conditionalFormatting>
  <conditionalFormatting sqref="E393">
    <cfRule type="expression" dxfId="9971" priority="1636">
      <formula>B267="Level 5 - Biology"</formula>
    </cfRule>
  </conditionalFormatting>
  <conditionalFormatting sqref="E385">
    <cfRule type="expression" dxfId="9970" priority="1649">
      <formula>B268="Level 4 - Physicochemical"</formula>
    </cfRule>
    <cfRule type="expression" dxfId="9969" priority="1650">
      <formula>B268="Level 5 - Biology"</formula>
    </cfRule>
  </conditionalFormatting>
  <conditionalFormatting sqref="E392">
    <cfRule type="expression" dxfId="9968" priority="1651">
      <formula>B269="Level 5 - Biology"</formula>
    </cfRule>
  </conditionalFormatting>
  <conditionalFormatting sqref="E382:E383">
    <cfRule type="beginsWith" dxfId="9967" priority="1627" stopIfTrue="1" operator="beginsWith" text="Functioning At Risk">
      <formula>LEFT(E382,LEN("Functioning At Risk"))="Functioning At Risk"</formula>
    </cfRule>
    <cfRule type="beginsWith" dxfId="9966" priority="1628" stopIfTrue="1" operator="beginsWith" text="Not Functioning">
      <formula>LEFT(E382,LEN("Not Functioning"))="Not Functioning"</formula>
    </cfRule>
    <cfRule type="containsText" dxfId="9965" priority="1629" operator="containsText" text="Functioning">
      <formula>NOT(ISERROR(SEARCH("Functioning",E382)))</formula>
    </cfRule>
  </conditionalFormatting>
  <conditionalFormatting sqref="E391">
    <cfRule type="expression" dxfId="9964" priority="1625">
      <formula>B197="Level 5 - Biology"</formula>
    </cfRule>
  </conditionalFormatting>
  <conditionalFormatting sqref="E388:E391">
    <cfRule type="beginsWith" dxfId="9963" priority="1622" stopIfTrue="1" operator="beginsWith" text="Functioning At Risk">
      <formula>LEFT(E388,LEN("Functioning At Risk"))="Functioning At Risk"</formula>
    </cfRule>
    <cfRule type="beginsWith" dxfId="9962" priority="1623" stopIfTrue="1" operator="beginsWith" text="Not Functioning">
      <formula>LEFT(E388,LEN("Not Functioning"))="Not Functioning"</formula>
    </cfRule>
    <cfRule type="containsText" dxfId="9961" priority="1624" operator="containsText" text="Functioning">
      <formula>NOT(ISERROR(SEARCH("Functioning",E388)))</formula>
    </cfRule>
  </conditionalFormatting>
  <conditionalFormatting sqref="E388:E390">
    <cfRule type="expression" dxfId="9960" priority="1626">
      <formula>B196="Level 5 - Biology"</formula>
    </cfRule>
  </conditionalFormatting>
  <conditionalFormatting sqref="C368:C370 C385:C386 C379:C380 C391 C383 C360:C363 C388:C389">
    <cfRule type="beginsWith" dxfId="9959" priority="1619" stopIfTrue="1" operator="beginsWith" text="Functioning At Risk">
      <formula>LEFT(C360,LEN("Functioning At Risk"))="Functioning At Risk"</formula>
    </cfRule>
    <cfRule type="beginsWith" dxfId="9958" priority="1620" stopIfTrue="1" operator="beginsWith" text="Not Functioning">
      <formula>LEFT(C360,LEN("Not Functioning"))="Not Functioning"</formula>
    </cfRule>
    <cfRule type="containsText" dxfId="9957" priority="1621" operator="containsText" text="Functioning">
      <formula>NOT(ISERROR(SEARCH("Functioning",C360)))</formula>
    </cfRule>
  </conditionalFormatting>
  <conditionalFormatting sqref="C371">
    <cfRule type="beginsWith" dxfId="9956" priority="1616" stopIfTrue="1" operator="beginsWith" text="Functioning At Risk">
      <formula>LEFT(C371,LEN("Functioning At Risk"))="Functioning At Risk"</formula>
    </cfRule>
    <cfRule type="beginsWith" dxfId="9955" priority="1617" stopIfTrue="1" operator="beginsWith" text="Not Functioning">
      <formula>LEFT(C371,LEN("Not Functioning"))="Not Functioning"</formula>
    </cfRule>
    <cfRule type="containsText" dxfId="9954" priority="1618" operator="containsText" text="Functioning">
      <formula>NOT(ISERROR(SEARCH("Functioning",C371)))</formula>
    </cfRule>
  </conditionalFormatting>
  <conditionalFormatting sqref="C378">
    <cfRule type="beginsWith" dxfId="9953" priority="1613" stopIfTrue="1" operator="beginsWith" text="Functioning At Risk">
      <formula>LEFT(C378,LEN("Functioning At Risk"))="Functioning At Risk"</formula>
    </cfRule>
    <cfRule type="beginsWith" dxfId="9952" priority="1614" stopIfTrue="1" operator="beginsWith" text="Not Functioning">
      <formula>LEFT(C378,LEN("Not Functioning"))="Not Functioning"</formula>
    </cfRule>
    <cfRule type="containsText" dxfId="9951" priority="1615" operator="containsText" text="Functioning">
      <formula>NOT(ISERROR(SEARCH("Functioning",C378)))</formula>
    </cfRule>
  </conditionalFormatting>
  <conditionalFormatting sqref="C372:C375">
    <cfRule type="beginsWith" dxfId="9950" priority="1610" stopIfTrue="1" operator="beginsWith" text="Functioning At Risk">
      <formula>LEFT(C372,LEN("Functioning At Risk"))="Functioning At Risk"</formula>
    </cfRule>
    <cfRule type="beginsWith" dxfId="9949" priority="1611" stopIfTrue="1" operator="beginsWith" text="Not Functioning">
      <formula>LEFT(C372,LEN("Not Functioning"))="Not Functioning"</formula>
    </cfRule>
    <cfRule type="containsText" dxfId="9948" priority="1612" operator="containsText" text="Functioning">
      <formula>NOT(ISERROR(SEARCH("Functioning",C372)))</formula>
    </cfRule>
  </conditionalFormatting>
  <conditionalFormatting sqref="C381">
    <cfRule type="beginsWith" dxfId="9947" priority="1607" stopIfTrue="1" operator="beginsWith" text="Functioning At Risk">
      <formula>LEFT(C381,LEN("Functioning At Risk"))="Functioning At Risk"</formula>
    </cfRule>
    <cfRule type="beginsWith" dxfId="9946" priority="1608" stopIfTrue="1" operator="beginsWith" text="Not Functioning">
      <formula>LEFT(C381,LEN("Not Functioning"))="Not Functioning"</formula>
    </cfRule>
    <cfRule type="containsText" dxfId="9945" priority="1609" operator="containsText" text="Functioning">
      <formula>NOT(ISERROR(SEARCH("Functioning",C381)))</formula>
    </cfRule>
  </conditionalFormatting>
  <conditionalFormatting sqref="C382">
    <cfRule type="beginsWith" dxfId="9944" priority="1604" stopIfTrue="1" operator="beginsWith" text="Functioning At Risk">
      <formula>LEFT(C382,LEN("Functioning At Risk"))="Functioning At Risk"</formula>
    </cfRule>
    <cfRule type="beginsWith" dxfId="9943" priority="1605" stopIfTrue="1" operator="beginsWith" text="Not Functioning">
      <formula>LEFT(C382,LEN("Not Functioning"))="Not Functioning"</formula>
    </cfRule>
    <cfRule type="containsText" dxfId="9942" priority="1606" operator="containsText" text="Functioning">
      <formula>NOT(ISERROR(SEARCH("Functioning",C382)))</formula>
    </cfRule>
  </conditionalFormatting>
  <conditionalFormatting sqref="C393">
    <cfRule type="beginsWith" dxfId="9941" priority="1598" stopIfTrue="1" operator="beginsWith" text="Functioning At Risk">
      <formula>LEFT(C393,LEN("Functioning At Risk"))="Functioning At Risk"</formula>
    </cfRule>
    <cfRule type="beginsWith" dxfId="9940" priority="1599" stopIfTrue="1" operator="beginsWith" text="Not Functioning">
      <formula>LEFT(C393,LEN("Not Functioning"))="Not Functioning"</formula>
    </cfRule>
    <cfRule type="containsText" dxfId="9939" priority="1600" operator="containsText" text="Functioning">
      <formula>NOT(ISERROR(SEARCH("Functioning",C393)))</formula>
    </cfRule>
  </conditionalFormatting>
  <conditionalFormatting sqref="C392">
    <cfRule type="beginsWith" dxfId="9938" priority="1601" stopIfTrue="1" operator="beginsWith" text="Functioning At Risk">
      <formula>LEFT(C392,LEN("Functioning At Risk"))="Functioning At Risk"</formula>
    </cfRule>
    <cfRule type="beginsWith" dxfId="9937" priority="1602" stopIfTrue="1" operator="beginsWith" text="Not Functioning">
      <formula>LEFT(C392,LEN("Not Functioning"))="Not Functioning"</formula>
    </cfRule>
    <cfRule type="containsText" dxfId="9936" priority="1603" operator="containsText" text="Functioning">
      <formula>NOT(ISERROR(SEARCH("Functioning",C392)))</formula>
    </cfRule>
  </conditionalFormatting>
  <conditionalFormatting sqref="C390">
    <cfRule type="beginsWith" dxfId="9935" priority="1595" stopIfTrue="1" operator="beginsWith" text="Functioning At Risk">
      <formula>LEFT(C390,LEN("Functioning At Risk"))="Functioning At Risk"</formula>
    </cfRule>
    <cfRule type="beginsWith" dxfId="9934" priority="1596" stopIfTrue="1" operator="beginsWith" text="Not Functioning">
      <formula>LEFT(C390,LEN("Not Functioning"))="Not Functioning"</formula>
    </cfRule>
    <cfRule type="containsText" dxfId="9933" priority="1597" operator="containsText" text="Functioning">
      <formula>NOT(ISERROR(SEARCH("Functioning",C390)))</formula>
    </cfRule>
  </conditionalFormatting>
  <conditionalFormatting sqref="C376:C377">
    <cfRule type="beginsWith" dxfId="9932" priority="1592" stopIfTrue="1" operator="beginsWith" text="Functioning At Risk">
      <formula>LEFT(C376,LEN("Functioning At Risk"))="Functioning At Risk"</formula>
    </cfRule>
    <cfRule type="beginsWith" dxfId="9931" priority="1593" stopIfTrue="1" operator="beginsWith" text="Not Functioning">
      <formula>LEFT(C376,LEN("Not Functioning"))="Not Functioning"</formula>
    </cfRule>
    <cfRule type="containsText" dxfId="9930" priority="1594" operator="containsText" text="Functioning">
      <formula>NOT(ISERROR(SEARCH("Functioning",C376)))</formula>
    </cfRule>
  </conditionalFormatting>
  <conditionalFormatting sqref="E379">
    <cfRule type="beginsWith" dxfId="9929" priority="1577" stopIfTrue="1" operator="beginsWith" text="Functioning At Risk">
      <formula>LEFT(E379,LEN("Functioning At Risk"))="Functioning At Risk"</formula>
    </cfRule>
    <cfRule type="beginsWith" dxfId="9928" priority="1578" stopIfTrue="1" operator="beginsWith" text="Not Functioning">
      <formula>LEFT(E379,LEN("Not Functioning"))="Not Functioning"</formula>
    </cfRule>
    <cfRule type="containsText" dxfId="9927" priority="1579" operator="containsText" text="Functioning">
      <formula>NOT(ISERROR(SEARCH("Functioning",E379)))</formula>
    </cfRule>
  </conditionalFormatting>
  <conditionalFormatting sqref="E381">
    <cfRule type="beginsWith" dxfId="9926" priority="1574" stopIfTrue="1" operator="beginsWith" text="Functioning At Risk">
      <formula>LEFT(E381,LEN("Functioning At Risk"))="Functioning At Risk"</formula>
    </cfRule>
    <cfRule type="beginsWith" dxfId="9925" priority="1575" stopIfTrue="1" operator="beginsWith" text="Not Functioning">
      <formula>LEFT(E381,LEN("Not Functioning"))="Not Functioning"</formula>
    </cfRule>
    <cfRule type="containsText" dxfId="9924" priority="1576" operator="containsText" text="Functioning">
      <formula>NOT(ISERROR(SEARCH("Functioning",E381)))</formula>
    </cfRule>
  </conditionalFormatting>
  <conditionalFormatting sqref="A397:C397 E397:K397 D425:D426">
    <cfRule type="beginsWith" dxfId="9923" priority="1547" stopIfTrue="1" operator="beginsWith" text="Functioning At Risk">
      <formula>LEFT(A397,LEN("Functioning At Risk"))="Functioning At Risk"</formula>
    </cfRule>
    <cfRule type="beginsWith" dxfId="9922" priority="1548" stopIfTrue="1" operator="beginsWith" text="Not Functioning">
      <formula>LEFT(A397,LEN("Not Functioning"))="Not Functioning"</formula>
    </cfRule>
    <cfRule type="containsText" dxfId="9921" priority="1549" operator="containsText" text="Functioning">
      <formula>NOT(ISERROR(SEARCH("Functioning",A397)))</formula>
    </cfRule>
  </conditionalFormatting>
  <conditionalFormatting sqref="I428:I432 B426:B427 D416 B419 A400:B400 A428:B430 H402:I403 H400:I400 H398:K399 A402:B402 A431:A432 D408:D410 B423:B424 A403 D428:D431 D400:D403 D419:D423">
    <cfRule type="beginsWith" dxfId="9920" priority="1544" stopIfTrue="1" operator="beginsWith" text="Functioning At Risk">
      <formula>LEFT(A398,LEN("Functioning At Risk"))="Functioning At Risk"</formula>
    </cfRule>
    <cfRule type="beginsWith" dxfId="9919" priority="1545" stopIfTrue="1" operator="beginsWith" text="Not Functioning">
      <formula>LEFT(A398,LEN("Not Functioning"))="Not Functioning"</formula>
    </cfRule>
    <cfRule type="containsText" dxfId="9918" priority="1546" operator="containsText" text="Functioning">
      <formula>NOT(ISERROR(SEARCH("Functioning",A398)))</formula>
    </cfRule>
  </conditionalFormatting>
  <conditionalFormatting sqref="D411">
    <cfRule type="beginsWith" dxfId="9917" priority="1538" stopIfTrue="1" operator="beginsWith" text="Functioning At Risk">
      <formula>LEFT(D411,LEN("Functioning At Risk"))="Functioning At Risk"</formula>
    </cfRule>
    <cfRule type="beginsWith" dxfId="9916" priority="1539" stopIfTrue="1" operator="beginsWith" text="Not Functioning">
      <formula>LEFT(D411,LEN("Not Functioning"))="Not Functioning"</formula>
    </cfRule>
    <cfRule type="containsText" dxfId="9915" priority="1540" operator="containsText" text="Functioning">
      <formula>NOT(ISERROR(SEARCH("Functioning",D411)))</formula>
    </cfRule>
  </conditionalFormatting>
  <conditionalFormatting sqref="E380">
    <cfRule type="beginsWith" dxfId="9914" priority="1553" stopIfTrue="1" operator="beginsWith" text="Functioning At Risk">
      <formula>LEFT(E380,LEN("Functioning At Risk"))="Functioning At Risk"</formula>
    </cfRule>
    <cfRule type="beginsWith" dxfId="9913" priority="1554" stopIfTrue="1" operator="beginsWith" text="Not Functioning">
      <formula>LEFT(E380,LEN("Not Functioning"))="Not Functioning"</formula>
    </cfRule>
    <cfRule type="containsText" dxfId="9912" priority="1555" operator="containsText" text="Functioning">
      <formula>NOT(ISERROR(SEARCH("Functioning",E380)))</formula>
    </cfRule>
  </conditionalFormatting>
  <conditionalFormatting sqref="D417">
    <cfRule type="beginsWith" dxfId="9911" priority="1535" stopIfTrue="1" operator="beginsWith" text="Functioning At Risk">
      <formula>LEFT(D417,LEN("Functioning At Risk"))="Functioning At Risk"</formula>
    </cfRule>
    <cfRule type="beginsWith" dxfId="9910" priority="1536" stopIfTrue="1" operator="beginsWith" text="Not Functioning">
      <formula>LEFT(D417,LEN("Not Functioning"))="Not Functioning"</formula>
    </cfRule>
    <cfRule type="containsText" dxfId="9909" priority="1537" operator="containsText" text="Functioning">
      <formula>NOT(ISERROR(SEARCH("Functioning",D417)))</formula>
    </cfRule>
  </conditionalFormatting>
  <conditionalFormatting sqref="D418">
    <cfRule type="beginsWith" dxfId="9908" priority="1532" stopIfTrue="1" operator="beginsWith" text="Functioning At Risk">
      <formula>LEFT(D418,LEN("Functioning At Risk"))="Functioning At Risk"</formula>
    </cfRule>
    <cfRule type="beginsWith" dxfId="9907" priority="1533" stopIfTrue="1" operator="beginsWith" text="Not Functioning">
      <formula>LEFT(D418,LEN("Not Functioning"))="Not Functioning"</formula>
    </cfRule>
    <cfRule type="containsText" dxfId="9906" priority="1534" operator="containsText" text="Functioning">
      <formula>NOT(ISERROR(SEARCH("Functioning",D418)))</formula>
    </cfRule>
  </conditionalFormatting>
  <conditionalFormatting sqref="D412:D415">
    <cfRule type="beginsWith" dxfId="9905" priority="1529" stopIfTrue="1" operator="beginsWith" text="Functioning At Risk">
      <formula>LEFT(D412,LEN("Functioning At Risk"))="Functioning At Risk"</formula>
    </cfRule>
    <cfRule type="beginsWith" dxfId="9904" priority="1530" stopIfTrue="1" operator="beginsWith" text="Not Functioning">
      <formula>LEFT(D412,LEN("Not Functioning"))="Not Functioning"</formula>
    </cfRule>
    <cfRule type="containsText" dxfId="9903" priority="1531" operator="containsText" text="Functioning">
      <formula>NOT(ISERROR(SEARCH("Functioning",D412)))</formula>
    </cfRule>
  </conditionalFormatting>
  <conditionalFormatting sqref="A424">
    <cfRule type="beginsWith" dxfId="9902" priority="1526" stopIfTrue="1" operator="beginsWith" text="Functioning At Risk">
      <formula>LEFT(A424,LEN("Functioning At Risk"))="Functioning At Risk"</formula>
    </cfRule>
    <cfRule type="beginsWith" dxfId="9901" priority="1527" stopIfTrue="1" operator="beginsWith" text="Not Functioning">
      <formula>LEFT(A424,LEN("Not Functioning"))="Not Functioning"</formula>
    </cfRule>
    <cfRule type="containsText" dxfId="9900" priority="1528" operator="containsText" text="Functioning">
      <formula>NOT(ISERROR(SEARCH("Functioning",A424)))</formula>
    </cfRule>
  </conditionalFormatting>
  <conditionalFormatting sqref="H424">
    <cfRule type="beginsWith" dxfId="9899" priority="1523" stopIfTrue="1" operator="beginsWith" text="Functioning At Risk">
      <formula>LEFT(H424,LEN("Functioning At Risk"))="Functioning At Risk"</formula>
    </cfRule>
    <cfRule type="beginsWith" dxfId="9898" priority="1524" stopIfTrue="1" operator="beginsWith" text="Not Functioning">
      <formula>LEFT(H424,LEN("Not Functioning"))="Not Functioning"</formula>
    </cfRule>
    <cfRule type="containsText" dxfId="9897" priority="1525" operator="containsText" text="Functioning">
      <formula>NOT(ISERROR(SEARCH("Functioning",H424)))</formula>
    </cfRule>
  </conditionalFormatting>
  <conditionalFormatting sqref="I424">
    <cfRule type="beginsWith" dxfId="9896" priority="1520" stopIfTrue="1" operator="beginsWith" text="Functioning At Risk">
      <formula>LEFT(I424,LEN("Functioning At Risk"))="Functioning At Risk"</formula>
    </cfRule>
    <cfRule type="beginsWith" dxfId="9895" priority="1521" stopIfTrue="1" operator="beginsWith" text="Not Functioning">
      <formula>LEFT(I424,LEN("Not Functioning"))="Not Functioning"</formula>
    </cfRule>
    <cfRule type="containsText" dxfId="9894" priority="1522" operator="containsText" text="Functioning">
      <formula>NOT(ISERROR(SEARCH("Functioning",I424)))</formula>
    </cfRule>
  </conditionalFormatting>
  <conditionalFormatting sqref="D432">
    <cfRule type="beginsWith" dxfId="9893" priority="1517" stopIfTrue="1" operator="beginsWith" text="Functioning At Risk">
      <formula>LEFT(D432,LEN("Functioning At Risk"))="Functioning At Risk"</formula>
    </cfRule>
    <cfRule type="beginsWith" dxfId="9892" priority="1518" stopIfTrue="1" operator="beginsWith" text="Not Functioning">
      <formula>LEFT(D432,LEN("Not Functioning"))="Not Functioning"</formula>
    </cfRule>
    <cfRule type="containsText" dxfId="9891" priority="1519" operator="containsText" text="Functioning">
      <formula>NOT(ISERROR(SEARCH("Functioning",D432)))</formula>
    </cfRule>
  </conditionalFormatting>
  <conditionalFormatting sqref="D433">
    <cfRule type="beginsWith" dxfId="9890" priority="1514" stopIfTrue="1" operator="beginsWith" text="Functioning At Risk">
      <formula>LEFT(D433,LEN("Functioning At Risk"))="Functioning At Risk"</formula>
    </cfRule>
    <cfRule type="beginsWith" dxfId="9889" priority="1515" stopIfTrue="1" operator="beginsWith" text="Not Functioning">
      <formula>LEFT(D433,LEN("Not Functioning"))="Not Functioning"</formula>
    </cfRule>
    <cfRule type="containsText" dxfId="9888" priority="1516" operator="containsText" text="Functioning">
      <formula>NOT(ISERROR(SEARCH("Functioning",D433)))</formula>
    </cfRule>
  </conditionalFormatting>
  <conditionalFormatting sqref="B432">
    <cfRule type="beginsWith" dxfId="9887" priority="1511" stopIfTrue="1" operator="beginsWith" text="Functioning At Risk">
      <formula>LEFT(B432,LEN("Functioning At Risk"))="Functioning At Risk"</formula>
    </cfRule>
    <cfRule type="beginsWith" dxfId="9886" priority="1512" stopIfTrue="1" operator="beginsWith" text="Not Functioning">
      <formula>LEFT(B432,LEN("Not Functioning"))="Not Functioning"</formula>
    </cfRule>
    <cfRule type="containsText" dxfId="9885" priority="1513" operator="containsText" text="Functioning">
      <formula>NOT(ISERROR(SEARCH("Functioning",B432)))</formula>
    </cfRule>
  </conditionalFormatting>
  <conditionalFormatting sqref="B408">
    <cfRule type="beginsWith" dxfId="9884" priority="1505" stopIfTrue="1" operator="beginsWith" text="Functioning At Risk">
      <formula>LEFT(B408,LEN("Functioning At Risk"))="Functioning At Risk"</formula>
    </cfRule>
    <cfRule type="beginsWith" dxfId="9883" priority="1506" stopIfTrue="1" operator="beginsWith" text="Not Functioning">
      <formula>LEFT(B408,LEN("Not Functioning"))="Not Functioning"</formula>
    </cfRule>
    <cfRule type="containsText" dxfId="9882" priority="1507" operator="containsText" text="Functioning">
      <formula>NOT(ISERROR(SEARCH("Functioning",B408)))</formula>
    </cfRule>
  </conditionalFormatting>
  <conditionalFormatting sqref="E165">
    <cfRule type="beginsWith" dxfId="9881" priority="1271" stopIfTrue="1" operator="beginsWith" text="Functioning At Risk">
      <formula>LEFT(E165,LEN("Functioning At Risk"))="Functioning At Risk"</formula>
    </cfRule>
    <cfRule type="beginsWith" dxfId="9880" priority="1272" stopIfTrue="1" operator="beginsWith" text="Not Functioning">
      <formula>LEFT(E165,LEN("Not Functioning"))="Not Functioning"</formula>
    </cfRule>
    <cfRule type="containsText" dxfId="9879" priority="1273" operator="containsText" text="Functioning">
      <formula>NOT(ISERROR(SEARCH("Functioning",E165)))</formula>
    </cfRule>
  </conditionalFormatting>
  <conditionalFormatting sqref="E432 E400:E401 E424">
    <cfRule type="beginsWith" dxfId="9878" priority="1493" stopIfTrue="1" operator="beginsWith" text="Functioning At Risk">
      <formula>LEFT(E400,LEN("Functioning At Risk"))="Functioning At Risk"</formula>
    </cfRule>
    <cfRule type="beginsWith" dxfId="9877" priority="1494" stopIfTrue="1" operator="beginsWith" text="Not Functioning">
      <formula>LEFT(E400,LEN("Not Functioning"))="Not Functioning"</formula>
    </cfRule>
    <cfRule type="containsText" dxfId="9876" priority="1495" operator="containsText" text="Functioning">
      <formula>NOT(ISERROR(SEARCH("Functioning",E400)))</formula>
    </cfRule>
  </conditionalFormatting>
  <conditionalFormatting sqref="E433">
    <cfRule type="beginsWith" dxfId="9875" priority="1490" stopIfTrue="1" operator="beginsWith" text="Functioning At Risk">
      <formula>LEFT(E433,LEN("Functioning At Risk"))="Functioning At Risk"</formula>
    </cfRule>
    <cfRule type="beginsWith" dxfId="9874" priority="1491" stopIfTrue="1" operator="beginsWith" text="Not Functioning">
      <formula>LEFT(E433,LEN("Not Functioning"))="Not Functioning"</formula>
    </cfRule>
    <cfRule type="containsText" dxfId="9873" priority="1492" operator="containsText" text="Functioning">
      <formula>NOT(ISERROR(SEARCH("Functioning",E433)))</formula>
    </cfRule>
  </conditionalFormatting>
  <conditionalFormatting sqref="E424">
    <cfRule type="expression" dxfId="9872" priority="1485">
      <formula>B307="Level 4 - Physicochemical"</formula>
    </cfRule>
    <cfRule type="expression" dxfId="9871" priority="1489">
      <formula>B307="Level 5 - Biology"</formula>
    </cfRule>
  </conditionalFormatting>
  <conditionalFormatting sqref="E426">
    <cfRule type="expression" dxfId="9870" priority="1484">
      <formula>B307="Level 4 - Physicochemical"</formula>
    </cfRule>
    <cfRule type="expression" dxfId="9869" priority="1488">
      <formula>B307="Level 5 - Biology"</formula>
    </cfRule>
  </conditionalFormatting>
  <conditionalFormatting sqref="E427">
    <cfRule type="expression" dxfId="9868" priority="1483">
      <formula>B307="Level 4 - Physicochemical"</formula>
    </cfRule>
    <cfRule type="expression" dxfId="9867" priority="1487">
      <formula>B307="Level 5 - Biology"</formula>
    </cfRule>
  </conditionalFormatting>
  <conditionalFormatting sqref="E433">
    <cfRule type="expression" dxfId="9866" priority="1486">
      <formula>B307="Level 5 - Biology"</formula>
    </cfRule>
  </conditionalFormatting>
  <conditionalFormatting sqref="E425">
    <cfRule type="expression" dxfId="9865" priority="1499">
      <formula>B308="Level 4 - Physicochemical"</formula>
    </cfRule>
    <cfRule type="expression" dxfId="9864" priority="1500">
      <formula>B308="Level 5 - Biology"</formula>
    </cfRule>
  </conditionalFormatting>
  <conditionalFormatting sqref="E432">
    <cfRule type="expression" dxfId="9863" priority="1501">
      <formula>B309="Level 5 - Biology"</formula>
    </cfRule>
  </conditionalFormatting>
  <conditionalFormatting sqref="E422:E423">
    <cfRule type="beginsWith" dxfId="9862" priority="1477" stopIfTrue="1" operator="beginsWith" text="Functioning At Risk">
      <formula>LEFT(E422,LEN("Functioning At Risk"))="Functioning At Risk"</formula>
    </cfRule>
    <cfRule type="beginsWith" dxfId="9861" priority="1478" stopIfTrue="1" operator="beginsWith" text="Not Functioning">
      <formula>LEFT(E422,LEN("Not Functioning"))="Not Functioning"</formula>
    </cfRule>
    <cfRule type="containsText" dxfId="9860" priority="1479" operator="containsText" text="Functioning">
      <formula>NOT(ISERROR(SEARCH("Functioning",E422)))</formula>
    </cfRule>
  </conditionalFormatting>
  <conditionalFormatting sqref="E431">
    <cfRule type="expression" dxfId="9859" priority="1475">
      <formula>B237="Level 5 - Biology"</formula>
    </cfRule>
  </conditionalFormatting>
  <conditionalFormatting sqref="E428:E431">
    <cfRule type="beginsWith" dxfId="9858" priority="1472" stopIfTrue="1" operator="beginsWith" text="Functioning At Risk">
      <formula>LEFT(E428,LEN("Functioning At Risk"))="Functioning At Risk"</formula>
    </cfRule>
    <cfRule type="beginsWith" dxfId="9857" priority="1473" stopIfTrue="1" operator="beginsWith" text="Not Functioning">
      <formula>LEFT(E428,LEN("Not Functioning"))="Not Functioning"</formula>
    </cfRule>
    <cfRule type="containsText" dxfId="9856" priority="1474" operator="containsText" text="Functioning">
      <formula>NOT(ISERROR(SEARCH("Functioning",E428)))</formula>
    </cfRule>
  </conditionalFormatting>
  <conditionalFormatting sqref="E428:E430">
    <cfRule type="expression" dxfId="9855" priority="1476">
      <formula>B236="Level 5 - Biology"</formula>
    </cfRule>
  </conditionalFormatting>
  <conditionalFormatting sqref="C408:C410 C425:C426 C419:C420 C431 C423 C400:C403 C428:C429">
    <cfRule type="beginsWith" dxfId="9854" priority="1469" stopIfTrue="1" operator="beginsWith" text="Functioning At Risk">
      <formula>LEFT(C400,LEN("Functioning At Risk"))="Functioning At Risk"</formula>
    </cfRule>
    <cfRule type="beginsWith" dxfId="9853" priority="1470" stopIfTrue="1" operator="beginsWith" text="Not Functioning">
      <formula>LEFT(C400,LEN("Not Functioning"))="Not Functioning"</formula>
    </cfRule>
    <cfRule type="containsText" dxfId="9852" priority="1471" operator="containsText" text="Functioning">
      <formula>NOT(ISERROR(SEARCH("Functioning",C400)))</formula>
    </cfRule>
  </conditionalFormatting>
  <conditionalFormatting sqref="C411">
    <cfRule type="beginsWith" dxfId="9851" priority="1466" stopIfTrue="1" operator="beginsWith" text="Functioning At Risk">
      <formula>LEFT(C411,LEN("Functioning At Risk"))="Functioning At Risk"</formula>
    </cfRule>
    <cfRule type="beginsWith" dxfId="9850" priority="1467" stopIfTrue="1" operator="beginsWith" text="Not Functioning">
      <formula>LEFT(C411,LEN("Not Functioning"))="Not Functioning"</formula>
    </cfRule>
    <cfRule type="containsText" dxfId="9849" priority="1468" operator="containsText" text="Functioning">
      <formula>NOT(ISERROR(SEARCH("Functioning",C411)))</formula>
    </cfRule>
  </conditionalFormatting>
  <conditionalFormatting sqref="C418">
    <cfRule type="beginsWith" dxfId="9848" priority="1463" stopIfTrue="1" operator="beginsWith" text="Functioning At Risk">
      <formula>LEFT(C418,LEN("Functioning At Risk"))="Functioning At Risk"</formula>
    </cfRule>
    <cfRule type="beginsWith" dxfId="9847" priority="1464" stopIfTrue="1" operator="beginsWith" text="Not Functioning">
      <formula>LEFT(C418,LEN("Not Functioning"))="Not Functioning"</formula>
    </cfRule>
    <cfRule type="containsText" dxfId="9846" priority="1465" operator="containsText" text="Functioning">
      <formula>NOT(ISERROR(SEARCH("Functioning",C418)))</formula>
    </cfRule>
  </conditionalFormatting>
  <conditionalFormatting sqref="C412:C415">
    <cfRule type="beginsWith" dxfId="9845" priority="1460" stopIfTrue="1" operator="beginsWith" text="Functioning At Risk">
      <formula>LEFT(C412,LEN("Functioning At Risk"))="Functioning At Risk"</formula>
    </cfRule>
    <cfRule type="beginsWith" dxfId="9844" priority="1461" stopIfTrue="1" operator="beginsWith" text="Not Functioning">
      <formula>LEFT(C412,LEN("Not Functioning"))="Not Functioning"</formula>
    </cfRule>
    <cfRule type="containsText" dxfId="9843" priority="1462" operator="containsText" text="Functioning">
      <formula>NOT(ISERROR(SEARCH("Functioning",C412)))</formula>
    </cfRule>
  </conditionalFormatting>
  <conditionalFormatting sqref="C421">
    <cfRule type="beginsWith" dxfId="9842" priority="1457" stopIfTrue="1" operator="beginsWith" text="Functioning At Risk">
      <formula>LEFT(C421,LEN("Functioning At Risk"))="Functioning At Risk"</formula>
    </cfRule>
    <cfRule type="beginsWith" dxfId="9841" priority="1458" stopIfTrue="1" operator="beginsWith" text="Not Functioning">
      <formula>LEFT(C421,LEN("Not Functioning"))="Not Functioning"</formula>
    </cfRule>
    <cfRule type="containsText" dxfId="9840" priority="1459" operator="containsText" text="Functioning">
      <formula>NOT(ISERROR(SEARCH("Functioning",C421)))</formula>
    </cfRule>
  </conditionalFormatting>
  <conditionalFormatting sqref="C422">
    <cfRule type="beginsWith" dxfId="9839" priority="1454" stopIfTrue="1" operator="beginsWith" text="Functioning At Risk">
      <formula>LEFT(C422,LEN("Functioning At Risk"))="Functioning At Risk"</formula>
    </cfRule>
    <cfRule type="beginsWith" dxfId="9838" priority="1455" stopIfTrue="1" operator="beginsWith" text="Not Functioning">
      <formula>LEFT(C422,LEN("Not Functioning"))="Not Functioning"</formula>
    </cfRule>
    <cfRule type="containsText" dxfId="9837" priority="1456" operator="containsText" text="Functioning">
      <formula>NOT(ISERROR(SEARCH("Functioning",C422)))</formula>
    </cfRule>
  </conditionalFormatting>
  <conditionalFormatting sqref="C433">
    <cfRule type="beginsWith" dxfId="9836" priority="1448" stopIfTrue="1" operator="beginsWith" text="Functioning At Risk">
      <formula>LEFT(C433,LEN("Functioning At Risk"))="Functioning At Risk"</formula>
    </cfRule>
    <cfRule type="beginsWith" dxfId="9835" priority="1449" stopIfTrue="1" operator="beginsWith" text="Not Functioning">
      <formula>LEFT(C433,LEN("Not Functioning"))="Not Functioning"</formula>
    </cfRule>
    <cfRule type="containsText" dxfId="9834" priority="1450" operator="containsText" text="Functioning">
      <formula>NOT(ISERROR(SEARCH("Functioning",C433)))</formula>
    </cfRule>
  </conditionalFormatting>
  <conditionalFormatting sqref="C432">
    <cfRule type="beginsWith" dxfId="9833" priority="1451" stopIfTrue="1" operator="beginsWith" text="Functioning At Risk">
      <formula>LEFT(C432,LEN("Functioning At Risk"))="Functioning At Risk"</formula>
    </cfRule>
    <cfRule type="beginsWith" dxfId="9832" priority="1452" stopIfTrue="1" operator="beginsWith" text="Not Functioning">
      <formula>LEFT(C432,LEN("Not Functioning"))="Not Functioning"</formula>
    </cfRule>
    <cfRule type="containsText" dxfId="9831" priority="1453" operator="containsText" text="Functioning">
      <formula>NOT(ISERROR(SEARCH("Functioning",C432)))</formula>
    </cfRule>
  </conditionalFormatting>
  <conditionalFormatting sqref="C430">
    <cfRule type="beginsWith" dxfId="9830" priority="1445" stopIfTrue="1" operator="beginsWith" text="Functioning At Risk">
      <formula>LEFT(C430,LEN("Functioning At Risk"))="Functioning At Risk"</formula>
    </cfRule>
    <cfRule type="beginsWith" dxfId="9829" priority="1446" stopIfTrue="1" operator="beginsWith" text="Not Functioning">
      <formula>LEFT(C430,LEN("Not Functioning"))="Not Functioning"</formula>
    </cfRule>
    <cfRule type="containsText" dxfId="9828" priority="1447" operator="containsText" text="Functioning">
      <formula>NOT(ISERROR(SEARCH("Functioning",C430)))</formula>
    </cfRule>
  </conditionalFormatting>
  <conditionalFormatting sqref="C416:C417">
    <cfRule type="beginsWith" dxfId="9827" priority="1442" stopIfTrue="1" operator="beginsWith" text="Functioning At Risk">
      <formula>LEFT(C416,LEN("Functioning At Risk"))="Functioning At Risk"</formula>
    </cfRule>
    <cfRule type="beginsWith" dxfId="9826" priority="1443" stopIfTrue="1" operator="beginsWith" text="Not Functioning">
      <formula>LEFT(C416,LEN("Not Functioning"))="Not Functioning"</formula>
    </cfRule>
    <cfRule type="containsText" dxfId="9825" priority="1444" operator="containsText" text="Functioning">
      <formula>NOT(ISERROR(SEARCH("Functioning",C416)))</formula>
    </cfRule>
  </conditionalFormatting>
  <conditionalFormatting sqref="E419">
    <cfRule type="beginsWith" dxfId="9824" priority="1427" stopIfTrue="1" operator="beginsWith" text="Functioning At Risk">
      <formula>LEFT(E419,LEN("Functioning At Risk"))="Functioning At Risk"</formula>
    </cfRule>
    <cfRule type="beginsWith" dxfId="9823" priority="1428" stopIfTrue="1" operator="beginsWith" text="Not Functioning">
      <formula>LEFT(E419,LEN("Not Functioning"))="Not Functioning"</formula>
    </cfRule>
    <cfRule type="containsText" dxfId="9822" priority="1429" operator="containsText" text="Functioning">
      <formula>NOT(ISERROR(SEARCH("Functioning",E419)))</formula>
    </cfRule>
  </conditionalFormatting>
  <conditionalFormatting sqref="E421">
    <cfRule type="beginsWith" dxfId="9821" priority="1424" stopIfTrue="1" operator="beginsWith" text="Functioning At Risk">
      <formula>LEFT(E421,LEN("Functioning At Risk"))="Functioning At Risk"</formula>
    </cfRule>
    <cfRule type="beginsWith" dxfId="9820" priority="1425" stopIfTrue="1" operator="beginsWith" text="Not Functioning">
      <formula>LEFT(E421,LEN("Not Functioning"))="Not Functioning"</formula>
    </cfRule>
    <cfRule type="containsText" dxfId="9819" priority="1426" operator="containsText" text="Functioning">
      <formula>NOT(ISERROR(SEARCH("Functioning",E421)))</formula>
    </cfRule>
  </conditionalFormatting>
  <conditionalFormatting sqref="E420">
    <cfRule type="beginsWith" dxfId="9818" priority="1403" stopIfTrue="1" operator="beginsWith" text="Functioning At Risk">
      <formula>LEFT(E420,LEN("Functioning At Risk"))="Functioning At Risk"</formula>
    </cfRule>
    <cfRule type="beginsWith" dxfId="9817" priority="1404" stopIfTrue="1" operator="beginsWith" text="Not Functioning">
      <formula>LEFT(E420,LEN("Not Functioning"))="Not Functioning"</formula>
    </cfRule>
    <cfRule type="containsText" dxfId="9816" priority="1405" operator="containsText" text="Functioning">
      <formula>NOT(ISERROR(SEARCH("Functioning",E420)))</formula>
    </cfRule>
  </conditionalFormatting>
  <conditionalFormatting sqref="E72:E74">
    <cfRule type="expression" dxfId="9815" priority="8711">
      <formula>B1048456="Level 5 - Biology"</formula>
    </cfRule>
  </conditionalFormatting>
  <conditionalFormatting sqref="E192">
    <cfRule type="expression" dxfId="9814" priority="8712">
      <formula>#REF!="Level 5 - Biology"</formula>
    </cfRule>
  </conditionalFormatting>
  <conditionalFormatting sqref="E115">
    <cfRule type="expression" dxfId="9813" priority="8713">
      <formula>#REF!="Level 5 - Biology"</formula>
    </cfRule>
  </conditionalFormatting>
  <conditionalFormatting sqref="E108">
    <cfRule type="expression" dxfId="9812" priority="8714">
      <formula>#REF!="Level 4 - Physicochemical"</formula>
    </cfRule>
    <cfRule type="expression" dxfId="9811" priority="8715">
      <formula>#REF!="Level 5 - Biology"</formula>
    </cfRule>
  </conditionalFormatting>
  <conditionalFormatting sqref="E107">
    <cfRule type="expression" dxfId="9810" priority="8716">
      <formula>#REF!="Level 4 - Physicochemical"</formula>
    </cfRule>
    <cfRule type="expression" dxfId="9809" priority="8717">
      <formula>#REF!="Level 5 - Biology"</formula>
    </cfRule>
  </conditionalFormatting>
  <conditionalFormatting sqref="E109">
    <cfRule type="expression" dxfId="9808" priority="8718">
      <formula>#REF!="Level 4 - Physicochemical"</formula>
    </cfRule>
    <cfRule type="expression" dxfId="9807" priority="8719">
      <formula>#REF!="Level 5 - Biology"</formula>
    </cfRule>
  </conditionalFormatting>
  <conditionalFormatting sqref="E110">
    <cfRule type="expression" dxfId="9806" priority="8720">
      <formula>#REF!="Level 4 - Physicochemical"</formula>
    </cfRule>
    <cfRule type="expression" dxfId="9805" priority="8721">
      <formula>#REF!="Level 5 - Biology"</formula>
    </cfRule>
  </conditionalFormatting>
  <conditionalFormatting sqref="E116">
    <cfRule type="expression" dxfId="9804" priority="8722">
      <formula>#REF!="Level 5 - Biology"</formula>
    </cfRule>
  </conditionalFormatting>
  <conditionalFormatting sqref="C404:D406">
    <cfRule type="beginsWith" dxfId="9803" priority="1394" stopIfTrue="1" operator="beginsWith" text="Functioning At Risk">
      <formula>LEFT(C404,LEN("Functioning At Risk"))="Functioning At Risk"</formula>
    </cfRule>
    <cfRule type="beginsWith" dxfId="9802" priority="1395" stopIfTrue="1" operator="beginsWith" text="Not Functioning">
      <formula>LEFT(C404,LEN("Not Functioning"))="Not Functioning"</formula>
    </cfRule>
    <cfRule type="containsText" dxfId="9801" priority="1396" operator="containsText" text="Functioning">
      <formula>NOT(ISERROR(SEARCH("Functioning",C404)))</formula>
    </cfRule>
  </conditionalFormatting>
  <conditionalFormatting sqref="B404">
    <cfRule type="beginsWith" dxfId="9800" priority="1391" stopIfTrue="1" operator="beginsWith" text="Functioning At Risk">
      <formula>LEFT(B404,LEN("Functioning At Risk"))="Functioning At Risk"</formula>
    </cfRule>
    <cfRule type="beginsWith" dxfId="9799" priority="1392" stopIfTrue="1" operator="beginsWith" text="Not Functioning">
      <formula>LEFT(B404,LEN("Not Functioning"))="Not Functioning"</formula>
    </cfRule>
    <cfRule type="containsText" dxfId="9798" priority="1393" operator="containsText" text="Functioning">
      <formula>NOT(ISERROR(SEARCH("Functioning",B404)))</formula>
    </cfRule>
  </conditionalFormatting>
  <conditionalFormatting sqref="E405">
    <cfRule type="beginsWith" dxfId="9797" priority="1388" stopIfTrue="1" operator="beginsWith" text="Functioning At Risk">
      <formula>LEFT(E405,LEN("Functioning At Risk"))="Functioning At Risk"</formula>
    </cfRule>
    <cfRule type="beginsWith" dxfId="9796" priority="1389" stopIfTrue="1" operator="beginsWith" text="Not Functioning">
      <formula>LEFT(E405,LEN("Not Functioning"))="Not Functioning"</formula>
    </cfRule>
    <cfRule type="containsText" dxfId="9795" priority="1390" operator="containsText" text="Functioning">
      <formula>NOT(ISERROR(SEARCH("Functioning",E405)))</formula>
    </cfRule>
  </conditionalFormatting>
  <conditionalFormatting sqref="E404">
    <cfRule type="beginsWith" dxfId="9794" priority="1385" stopIfTrue="1" operator="beginsWith" text="Functioning At Risk">
      <formula>LEFT(E404,LEN("Functioning At Risk"))="Functioning At Risk"</formula>
    </cfRule>
    <cfRule type="beginsWith" dxfId="9793" priority="1386" stopIfTrue="1" operator="beginsWith" text="Not Functioning">
      <formula>LEFT(E404,LEN("Not Functioning"))="Not Functioning"</formula>
    </cfRule>
    <cfRule type="containsText" dxfId="9792" priority="1387" operator="containsText" text="Functioning">
      <formula>NOT(ISERROR(SEARCH("Functioning",E404)))</formula>
    </cfRule>
  </conditionalFormatting>
  <conditionalFormatting sqref="E404">
    <cfRule type="expression" dxfId="9791" priority="1384" stopIfTrue="1">
      <formula>ISBLANK($B$13)</formula>
    </cfRule>
  </conditionalFormatting>
  <conditionalFormatting sqref="E406:E407">
    <cfRule type="beginsWith" dxfId="9790" priority="1381" stopIfTrue="1" operator="beginsWith" text="Functioning At Risk">
      <formula>LEFT(E406,LEN("Functioning At Risk"))="Functioning At Risk"</formula>
    </cfRule>
    <cfRule type="beginsWith" dxfId="9789" priority="1382" stopIfTrue="1" operator="beginsWith" text="Not Functioning">
      <formula>LEFT(E406,LEN("Not Functioning"))="Not Functioning"</formula>
    </cfRule>
    <cfRule type="containsText" dxfId="9788" priority="1383" operator="containsText" text="Functioning">
      <formula>NOT(ISERROR(SEARCH("Functioning",E406)))</formula>
    </cfRule>
  </conditionalFormatting>
  <conditionalFormatting sqref="C364:D366">
    <cfRule type="beginsWith" dxfId="9787" priority="1375" stopIfTrue="1" operator="beginsWith" text="Functioning At Risk">
      <formula>LEFT(C364,LEN("Functioning At Risk"))="Functioning At Risk"</formula>
    </cfRule>
    <cfRule type="beginsWith" dxfId="9786" priority="1376" stopIfTrue="1" operator="beginsWith" text="Not Functioning">
      <formula>LEFT(C364,LEN("Not Functioning"))="Not Functioning"</formula>
    </cfRule>
    <cfRule type="containsText" dxfId="9785" priority="1377" operator="containsText" text="Functioning">
      <formula>NOT(ISERROR(SEARCH("Functioning",C364)))</formula>
    </cfRule>
  </conditionalFormatting>
  <conditionalFormatting sqref="B364">
    <cfRule type="beginsWith" dxfId="9784" priority="1372" stopIfTrue="1" operator="beginsWith" text="Functioning At Risk">
      <formula>LEFT(B364,LEN("Functioning At Risk"))="Functioning At Risk"</formula>
    </cfRule>
    <cfRule type="beginsWith" dxfId="9783" priority="1373" stopIfTrue="1" operator="beginsWith" text="Not Functioning">
      <formula>LEFT(B364,LEN("Not Functioning"))="Not Functioning"</formula>
    </cfRule>
    <cfRule type="containsText" dxfId="9782" priority="1374" operator="containsText" text="Functioning">
      <formula>NOT(ISERROR(SEARCH("Functioning",B364)))</formula>
    </cfRule>
  </conditionalFormatting>
  <conditionalFormatting sqref="E365">
    <cfRule type="beginsWith" dxfId="9781" priority="1369" stopIfTrue="1" operator="beginsWith" text="Functioning At Risk">
      <formula>LEFT(E365,LEN("Functioning At Risk"))="Functioning At Risk"</formula>
    </cfRule>
    <cfRule type="beginsWith" dxfId="9780" priority="1370" stopIfTrue="1" operator="beginsWith" text="Not Functioning">
      <formula>LEFT(E365,LEN("Not Functioning"))="Not Functioning"</formula>
    </cfRule>
    <cfRule type="containsText" dxfId="9779" priority="1371" operator="containsText" text="Functioning">
      <formula>NOT(ISERROR(SEARCH("Functioning",E365)))</formula>
    </cfRule>
  </conditionalFormatting>
  <conditionalFormatting sqref="E364">
    <cfRule type="beginsWith" dxfId="9778" priority="1366" stopIfTrue="1" operator="beginsWith" text="Functioning At Risk">
      <formula>LEFT(E364,LEN("Functioning At Risk"))="Functioning At Risk"</formula>
    </cfRule>
    <cfRule type="beginsWith" dxfId="9777" priority="1367" stopIfTrue="1" operator="beginsWith" text="Not Functioning">
      <formula>LEFT(E364,LEN("Not Functioning"))="Not Functioning"</formula>
    </cfRule>
    <cfRule type="containsText" dxfId="9776" priority="1368" operator="containsText" text="Functioning">
      <formula>NOT(ISERROR(SEARCH("Functioning",E364)))</formula>
    </cfRule>
  </conditionalFormatting>
  <conditionalFormatting sqref="E364">
    <cfRule type="expression" dxfId="9775" priority="1365" stopIfTrue="1">
      <formula>ISBLANK($B$13)</formula>
    </cfRule>
  </conditionalFormatting>
  <conditionalFormatting sqref="E366:E367">
    <cfRule type="beginsWith" dxfId="9774" priority="1362" stopIfTrue="1" operator="beginsWith" text="Functioning At Risk">
      <formula>LEFT(E366,LEN("Functioning At Risk"))="Functioning At Risk"</formula>
    </cfRule>
    <cfRule type="beginsWith" dxfId="9773" priority="1363" stopIfTrue="1" operator="beginsWith" text="Not Functioning">
      <formula>LEFT(E366,LEN("Not Functioning"))="Not Functioning"</formula>
    </cfRule>
    <cfRule type="containsText" dxfId="9772" priority="1364" operator="containsText" text="Functioning">
      <formula>NOT(ISERROR(SEARCH("Functioning",E366)))</formula>
    </cfRule>
  </conditionalFormatting>
  <conditionalFormatting sqref="C324:D326">
    <cfRule type="beginsWith" dxfId="9771" priority="1356" stopIfTrue="1" operator="beginsWith" text="Functioning At Risk">
      <formula>LEFT(C324,LEN("Functioning At Risk"))="Functioning At Risk"</formula>
    </cfRule>
    <cfRule type="beginsWith" dxfId="9770" priority="1357" stopIfTrue="1" operator="beginsWith" text="Not Functioning">
      <formula>LEFT(C324,LEN("Not Functioning"))="Not Functioning"</formula>
    </cfRule>
    <cfRule type="containsText" dxfId="9769" priority="1358" operator="containsText" text="Functioning">
      <formula>NOT(ISERROR(SEARCH("Functioning",C324)))</formula>
    </cfRule>
  </conditionalFormatting>
  <conditionalFormatting sqref="B324">
    <cfRule type="beginsWith" dxfId="9768" priority="1353" stopIfTrue="1" operator="beginsWith" text="Functioning At Risk">
      <formula>LEFT(B324,LEN("Functioning At Risk"))="Functioning At Risk"</formula>
    </cfRule>
    <cfRule type="beginsWith" dxfId="9767" priority="1354" stopIfTrue="1" operator="beginsWith" text="Not Functioning">
      <formula>LEFT(B324,LEN("Not Functioning"))="Not Functioning"</formula>
    </cfRule>
    <cfRule type="containsText" dxfId="9766" priority="1355" operator="containsText" text="Functioning">
      <formula>NOT(ISERROR(SEARCH("Functioning",B324)))</formula>
    </cfRule>
  </conditionalFormatting>
  <conditionalFormatting sqref="E325">
    <cfRule type="beginsWith" dxfId="9765" priority="1350" stopIfTrue="1" operator="beginsWith" text="Functioning At Risk">
      <formula>LEFT(E325,LEN("Functioning At Risk"))="Functioning At Risk"</formula>
    </cfRule>
    <cfRule type="beginsWith" dxfId="9764" priority="1351" stopIfTrue="1" operator="beginsWith" text="Not Functioning">
      <formula>LEFT(E325,LEN("Not Functioning"))="Not Functioning"</formula>
    </cfRule>
    <cfRule type="containsText" dxfId="9763" priority="1352" operator="containsText" text="Functioning">
      <formula>NOT(ISERROR(SEARCH("Functioning",E325)))</formula>
    </cfRule>
  </conditionalFormatting>
  <conditionalFormatting sqref="E324">
    <cfRule type="beginsWith" dxfId="9762" priority="1347" stopIfTrue="1" operator="beginsWith" text="Functioning At Risk">
      <formula>LEFT(E324,LEN("Functioning At Risk"))="Functioning At Risk"</formula>
    </cfRule>
    <cfRule type="beginsWith" dxfId="9761" priority="1348" stopIfTrue="1" operator="beginsWith" text="Not Functioning">
      <formula>LEFT(E324,LEN("Not Functioning"))="Not Functioning"</formula>
    </cfRule>
    <cfRule type="containsText" dxfId="9760" priority="1349" operator="containsText" text="Functioning">
      <formula>NOT(ISERROR(SEARCH("Functioning",E324)))</formula>
    </cfRule>
  </conditionalFormatting>
  <conditionalFormatting sqref="E324">
    <cfRule type="expression" dxfId="9759" priority="1346" stopIfTrue="1">
      <formula>ISBLANK($B$13)</formula>
    </cfRule>
  </conditionalFormatting>
  <conditionalFormatting sqref="E326:E327">
    <cfRule type="beginsWith" dxfId="9758" priority="1343" stopIfTrue="1" operator="beginsWith" text="Functioning At Risk">
      <formula>LEFT(E326,LEN("Functioning At Risk"))="Functioning At Risk"</formula>
    </cfRule>
    <cfRule type="beginsWith" dxfId="9757" priority="1344" stopIfTrue="1" operator="beginsWith" text="Not Functioning">
      <formula>LEFT(E326,LEN("Not Functioning"))="Not Functioning"</formula>
    </cfRule>
    <cfRule type="containsText" dxfId="9756" priority="1345" operator="containsText" text="Functioning">
      <formula>NOT(ISERROR(SEARCH("Functioning",E326)))</formula>
    </cfRule>
  </conditionalFormatting>
  <conditionalFormatting sqref="C284:D286">
    <cfRule type="beginsWith" dxfId="9755" priority="1337" stopIfTrue="1" operator="beginsWith" text="Functioning At Risk">
      <formula>LEFT(C284,LEN("Functioning At Risk"))="Functioning At Risk"</formula>
    </cfRule>
    <cfRule type="beginsWith" dxfId="9754" priority="1338" stopIfTrue="1" operator="beginsWith" text="Not Functioning">
      <formula>LEFT(C284,LEN("Not Functioning"))="Not Functioning"</formula>
    </cfRule>
    <cfRule type="containsText" dxfId="9753" priority="1339" operator="containsText" text="Functioning">
      <formula>NOT(ISERROR(SEARCH("Functioning",C284)))</formula>
    </cfRule>
  </conditionalFormatting>
  <conditionalFormatting sqref="B284">
    <cfRule type="beginsWith" dxfId="9752" priority="1334" stopIfTrue="1" operator="beginsWith" text="Functioning At Risk">
      <formula>LEFT(B284,LEN("Functioning At Risk"))="Functioning At Risk"</formula>
    </cfRule>
    <cfRule type="beginsWith" dxfId="9751" priority="1335" stopIfTrue="1" operator="beginsWith" text="Not Functioning">
      <formula>LEFT(B284,LEN("Not Functioning"))="Not Functioning"</formula>
    </cfRule>
    <cfRule type="containsText" dxfId="9750" priority="1336" operator="containsText" text="Functioning">
      <formula>NOT(ISERROR(SEARCH("Functioning",B284)))</formula>
    </cfRule>
  </conditionalFormatting>
  <conditionalFormatting sqref="E285">
    <cfRule type="beginsWith" dxfId="9749" priority="1331" stopIfTrue="1" operator="beginsWith" text="Functioning At Risk">
      <formula>LEFT(E285,LEN("Functioning At Risk"))="Functioning At Risk"</formula>
    </cfRule>
    <cfRule type="beginsWith" dxfId="9748" priority="1332" stopIfTrue="1" operator="beginsWith" text="Not Functioning">
      <formula>LEFT(E285,LEN("Not Functioning"))="Not Functioning"</formula>
    </cfRule>
    <cfRule type="containsText" dxfId="9747" priority="1333" operator="containsText" text="Functioning">
      <formula>NOT(ISERROR(SEARCH("Functioning",E285)))</formula>
    </cfRule>
  </conditionalFormatting>
  <conditionalFormatting sqref="E284">
    <cfRule type="beginsWith" dxfId="9746" priority="1328" stopIfTrue="1" operator="beginsWith" text="Functioning At Risk">
      <formula>LEFT(E284,LEN("Functioning At Risk"))="Functioning At Risk"</formula>
    </cfRule>
    <cfRule type="beginsWith" dxfId="9745" priority="1329" stopIfTrue="1" operator="beginsWith" text="Not Functioning">
      <formula>LEFT(E284,LEN("Not Functioning"))="Not Functioning"</formula>
    </cfRule>
    <cfRule type="containsText" dxfId="9744" priority="1330" operator="containsText" text="Functioning">
      <formula>NOT(ISERROR(SEARCH("Functioning",E284)))</formula>
    </cfRule>
  </conditionalFormatting>
  <conditionalFormatting sqref="E284">
    <cfRule type="expression" dxfId="9743" priority="1327" stopIfTrue="1">
      <formula>ISBLANK($B$13)</formula>
    </cfRule>
  </conditionalFormatting>
  <conditionalFormatting sqref="E286:E287">
    <cfRule type="beginsWith" dxfId="9742" priority="1324" stopIfTrue="1" operator="beginsWith" text="Functioning At Risk">
      <formula>LEFT(E286,LEN("Functioning At Risk"))="Functioning At Risk"</formula>
    </cfRule>
    <cfRule type="beginsWith" dxfId="9741" priority="1325" stopIfTrue="1" operator="beginsWith" text="Not Functioning">
      <formula>LEFT(E286,LEN("Not Functioning"))="Not Functioning"</formula>
    </cfRule>
    <cfRule type="containsText" dxfId="9740" priority="1326" operator="containsText" text="Functioning">
      <formula>NOT(ISERROR(SEARCH("Functioning",E286)))</formula>
    </cfRule>
  </conditionalFormatting>
  <conditionalFormatting sqref="C244:D246">
    <cfRule type="beginsWith" dxfId="9739" priority="1318" stopIfTrue="1" operator="beginsWith" text="Functioning At Risk">
      <formula>LEFT(C244,LEN("Functioning At Risk"))="Functioning At Risk"</formula>
    </cfRule>
    <cfRule type="beginsWith" dxfId="9738" priority="1319" stopIfTrue="1" operator="beginsWith" text="Not Functioning">
      <formula>LEFT(C244,LEN("Not Functioning"))="Not Functioning"</formula>
    </cfRule>
    <cfRule type="containsText" dxfId="9737" priority="1320" operator="containsText" text="Functioning">
      <formula>NOT(ISERROR(SEARCH("Functioning",C244)))</formula>
    </cfRule>
  </conditionalFormatting>
  <conditionalFormatting sqref="B244">
    <cfRule type="beginsWith" dxfId="9736" priority="1315" stopIfTrue="1" operator="beginsWith" text="Functioning At Risk">
      <formula>LEFT(B244,LEN("Functioning At Risk"))="Functioning At Risk"</formula>
    </cfRule>
    <cfRule type="beginsWith" dxfId="9735" priority="1316" stopIfTrue="1" operator="beginsWith" text="Not Functioning">
      <formula>LEFT(B244,LEN("Not Functioning"))="Not Functioning"</formula>
    </cfRule>
    <cfRule type="containsText" dxfId="9734" priority="1317" operator="containsText" text="Functioning">
      <formula>NOT(ISERROR(SEARCH("Functioning",B244)))</formula>
    </cfRule>
  </conditionalFormatting>
  <conditionalFormatting sqref="E245">
    <cfRule type="beginsWith" dxfId="9733" priority="1312" stopIfTrue="1" operator="beginsWith" text="Functioning At Risk">
      <formula>LEFT(E245,LEN("Functioning At Risk"))="Functioning At Risk"</formula>
    </cfRule>
    <cfRule type="beginsWith" dxfId="9732" priority="1313" stopIfTrue="1" operator="beginsWith" text="Not Functioning">
      <formula>LEFT(E245,LEN("Not Functioning"))="Not Functioning"</formula>
    </cfRule>
    <cfRule type="containsText" dxfId="9731" priority="1314" operator="containsText" text="Functioning">
      <formula>NOT(ISERROR(SEARCH("Functioning",E245)))</formula>
    </cfRule>
  </conditionalFormatting>
  <conditionalFormatting sqref="E244">
    <cfRule type="beginsWith" dxfId="9730" priority="1309" stopIfTrue="1" operator="beginsWith" text="Functioning At Risk">
      <formula>LEFT(E244,LEN("Functioning At Risk"))="Functioning At Risk"</formula>
    </cfRule>
    <cfRule type="beginsWith" dxfId="9729" priority="1310" stopIfTrue="1" operator="beginsWith" text="Not Functioning">
      <formula>LEFT(E244,LEN("Not Functioning"))="Not Functioning"</formula>
    </cfRule>
    <cfRule type="containsText" dxfId="9728" priority="1311" operator="containsText" text="Functioning">
      <formula>NOT(ISERROR(SEARCH("Functioning",E244)))</formula>
    </cfRule>
  </conditionalFormatting>
  <conditionalFormatting sqref="E244">
    <cfRule type="expression" dxfId="9727" priority="1308" stopIfTrue="1">
      <formula>ISBLANK($B$13)</formula>
    </cfRule>
  </conditionalFormatting>
  <conditionalFormatting sqref="E246:E247">
    <cfRule type="beginsWith" dxfId="9726" priority="1305" stopIfTrue="1" operator="beginsWith" text="Functioning At Risk">
      <formula>LEFT(E246,LEN("Functioning At Risk"))="Functioning At Risk"</formula>
    </cfRule>
    <cfRule type="beginsWith" dxfId="9725" priority="1306" stopIfTrue="1" operator="beginsWith" text="Not Functioning">
      <formula>LEFT(E246,LEN("Not Functioning"))="Not Functioning"</formula>
    </cfRule>
    <cfRule type="containsText" dxfId="9724" priority="1307" operator="containsText" text="Functioning">
      <formula>NOT(ISERROR(SEARCH("Functioning",E246)))</formula>
    </cfRule>
  </conditionalFormatting>
  <conditionalFormatting sqref="C204:D206">
    <cfRule type="beginsWith" dxfId="9723" priority="1299" stopIfTrue="1" operator="beginsWith" text="Functioning At Risk">
      <formula>LEFT(C204,LEN("Functioning At Risk"))="Functioning At Risk"</formula>
    </cfRule>
    <cfRule type="beginsWith" dxfId="9722" priority="1300" stopIfTrue="1" operator="beginsWith" text="Not Functioning">
      <formula>LEFT(C204,LEN("Not Functioning"))="Not Functioning"</formula>
    </cfRule>
    <cfRule type="containsText" dxfId="9721" priority="1301" operator="containsText" text="Functioning">
      <formula>NOT(ISERROR(SEARCH("Functioning",C204)))</formula>
    </cfRule>
  </conditionalFormatting>
  <conditionalFormatting sqref="B204">
    <cfRule type="beginsWith" dxfId="9720" priority="1296" stopIfTrue="1" operator="beginsWith" text="Functioning At Risk">
      <formula>LEFT(B204,LEN("Functioning At Risk"))="Functioning At Risk"</formula>
    </cfRule>
    <cfRule type="beginsWith" dxfId="9719" priority="1297" stopIfTrue="1" operator="beginsWith" text="Not Functioning">
      <formula>LEFT(B204,LEN("Not Functioning"))="Not Functioning"</formula>
    </cfRule>
    <cfRule type="containsText" dxfId="9718" priority="1298" operator="containsText" text="Functioning">
      <formula>NOT(ISERROR(SEARCH("Functioning",B204)))</formula>
    </cfRule>
  </conditionalFormatting>
  <conditionalFormatting sqref="E205">
    <cfRule type="beginsWith" dxfId="9717" priority="1293" stopIfTrue="1" operator="beginsWith" text="Functioning At Risk">
      <formula>LEFT(E205,LEN("Functioning At Risk"))="Functioning At Risk"</formula>
    </cfRule>
    <cfRule type="beginsWith" dxfId="9716" priority="1294" stopIfTrue="1" operator="beginsWith" text="Not Functioning">
      <formula>LEFT(E205,LEN("Not Functioning"))="Not Functioning"</formula>
    </cfRule>
    <cfRule type="containsText" dxfId="9715" priority="1295" operator="containsText" text="Functioning">
      <formula>NOT(ISERROR(SEARCH("Functioning",E205)))</formula>
    </cfRule>
  </conditionalFormatting>
  <conditionalFormatting sqref="E204">
    <cfRule type="beginsWith" dxfId="9714" priority="1290" stopIfTrue="1" operator="beginsWith" text="Functioning At Risk">
      <formula>LEFT(E204,LEN("Functioning At Risk"))="Functioning At Risk"</formula>
    </cfRule>
    <cfRule type="beginsWith" dxfId="9713" priority="1291" stopIfTrue="1" operator="beginsWith" text="Not Functioning">
      <formula>LEFT(E204,LEN("Not Functioning"))="Not Functioning"</formula>
    </cfRule>
    <cfRule type="containsText" dxfId="9712" priority="1292" operator="containsText" text="Functioning">
      <formula>NOT(ISERROR(SEARCH("Functioning",E204)))</formula>
    </cfRule>
  </conditionalFormatting>
  <conditionalFormatting sqref="E204">
    <cfRule type="expression" dxfId="9711" priority="1289" stopIfTrue="1">
      <formula>ISBLANK($B$13)</formula>
    </cfRule>
  </conditionalFormatting>
  <conditionalFormatting sqref="E206:E207">
    <cfRule type="beginsWith" dxfId="9710" priority="1286" stopIfTrue="1" operator="beginsWith" text="Functioning At Risk">
      <formula>LEFT(E206,LEN("Functioning At Risk"))="Functioning At Risk"</formula>
    </cfRule>
    <cfRule type="beginsWith" dxfId="9709" priority="1287" stopIfTrue="1" operator="beginsWith" text="Not Functioning">
      <formula>LEFT(E206,LEN("Not Functioning"))="Not Functioning"</formula>
    </cfRule>
    <cfRule type="containsText" dxfId="9708" priority="1288" operator="containsText" text="Functioning">
      <formula>NOT(ISERROR(SEARCH("Functioning",E206)))</formula>
    </cfRule>
  </conditionalFormatting>
  <conditionalFormatting sqref="C165:D167">
    <cfRule type="beginsWith" dxfId="9707" priority="1280" stopIfTrue="1" operator="beginsWith" text="Functioning At Risk">
      <formula>LEFT(C165,LEN("Functioning At Risk"))="Functioning At Risk"</formula>
    </cfRule>
    <cfRule type="beginsWith" dxfId="9706" priority="1281" stopIfTrue="1" operator="beginsWith" text="Not Functioning">
      <formula>LEFT(C165,LEN("Not Functioning"))="Not Functioning"</formula>
    </cfRule>
    <cfRule type="containsText" dxfId="9705" priority="1282" operator="containsText" text="Functioning">
      <formula>NOT(ISERROR(SEARCH("Functioning",C165)))</formula>
    </cfRule>
  </conditionalFormatting>
  <conditionalFormatting sqref="B165">
    <cfRule type="beginsWith" dxfId="9704" priority="1277" stopIfTrue="1" operator="beginsWith" text="Functioning At Risk">
      <formula>LEFT(B165,LEN("Functioning At Risk"))="Functioning At Risk"</formula>
    </cfRule>
    <cfRule type="beginsWith" dxfId="9703" priority="1278" stopIfTrue="1" operator="beginsWith" text="Not Functioning">
      <formula>LEFT(B165,LEN("Not Functioning"))="Not Functioning"</formula>
    </cfRule>
    <cfRule type="containsText" dxfId="9702" priority="1279" operator="containsText" text="Functioning">
      <formula>NOT(ISERROR(SEARCH("Functioning",B165)))</formula>
    </cfRule>
  </conditionalFormatting>
  <conditionalFormatting sqref="E166">
    <cfRule type="beginsWith" dxfId="9701" priority="1274" stopIfTrue="1" operator="beginsWith" text="Functioning At Risk">
      <formula>LEFT(E166,LEN("Functioning At Risk"))="Functioning At Risk"</formula>
    </cfRule>
    <cfRule type="beginsWith" dxfId="9700" priority="1275" stopIfTrue="1" operator="beginsWith" text="Not Functioning">
      <formula>LEFT(E166,LEN("Not Functioning"))="Not Functioning"</formula>
    </cfRule>
    <cfRule type="containsText" dxfId="9699" priority="1276" operator="containsText" text="Functioning">
      <formula>NOT(ISERROR(SEARCH("Functioning",E166)))</formula>
    </cfRule>
  </conditionalFormatting>
  <conditionalFormatting sqref="E165">
    <cfRule type="expression" dxfId="9698" priority="1270" stopIfTrue="1">
      <formula>ISBLANK($B$13)</formula>
    </cfRule>
  </conditionalFormatting>
  <conditionalFormatting sqref="E167:E168">
    <cfRule type="beginsWith" dxfId="9697" priority="1267" stopIfTrue="1" operator="beginsWith" text="Functioning At Risk">
      <formula>LEFT(E167,LEN("Functioning At Risk"))="Functioning At Risk"</formula>
    </cfRule>
    <cfRule type="beginsWith" dxfId="9696" priority="1268" stopIfTrue="1" operator="beginsWith" text="Not Functioning">
      <formula>LEFT(E167,LEN("Not Functioning"))="Not Functioning"</formula>
    </cfRule>
    <cfRule type="containsText" dxfId="9695" priority="1269" operator="containsText" text="Functioning">
      <formula>NOT(ISERROR(SEARCH("Functioning",E167)))</formula>
    </cfRule>
  </conditionalFormatting>
  <conditionalFormatting sqref="C126:D128">
    <cfRule type="beginsWith" dxfId="9694" priority="1261" stopIfTrue="1" operator="beginsWith" text="Functioning At Risk">
      <formula>LEFT(C126,LEN("Functioning At Risk"))="Functioning At Risk"</formula>
    </cfRule>
    <cfRule type="beginsWith" dxfId="9693" priority="1262" stopIfTrue="1" operator="beginsWith" text="Not Functioning">
      <formula>LEFT(C126,LEN("Not Functioning"))="Not Functioning"</formula>
    </cfRule>
    <cfRule type="containsText" dxfId="9692" priority="1263" operator="containsText" text="Functioning">
      <formula>NOT(ISERROR(SEARCH("Functioning",C126)))</formula>
    </cfRule>
  </conditionalFormatting>
  <conditionalFormatting sqref="B126">
    <cfRule type="beginsWith" dxfId="9691" priority="1258" stopIfTrue="1" operator="beginsWith" text="Functioning At Risk">
      <formula>LEFT(B126,LEN("Functioning At Risk"))="Functioning At Risk"</formula>
    </cfRule>
    <cfRule type="beginsWith" dxfId="9690" priority="1259" stopIfTrue="1" operator="beginsWith" text="Not Functioning">
      <formula>LEFT(B126,LEN("Not Functioning"))="Not Functioning"</formula>
    </cfRule>
    <cfRule type="containsText" dxfId="9689" priority="1260" operator="containsText" text="Functioning">
      <formula>NOT(ISERROR(SEARCH("Functioning",B126)))</formula>
    </cfRule>
  </conditionalFormatting>
  <conditionalFormatting sqref="C87:D89">
    <cfRule type="beginsWith" dxfId="9688" priority="1242" stopIfTrue="1" operator="beginsWith" text="Functioning At Risk">
      <formula>LEFT(C87,LEN("Functioning At Risk"))="Functioning At Risk"</formula>
    </cfRule>
    <cfRule type="beginsWith" dxfId="9687" priority="1243" stopIfTrue="1" operator="beginsWith" text="Not Functioning">
      <formula>LEFT(C87,LEN("Not Functioning"))="Not Functioning"</formula>
    </cfRule>
    <cfRule type="containsText" dxfId="9686" priority="1244" operator="containsText" text="Functioning">
      <formula>NOT(ISERROR(SEARCH("Functioning",C87)))</formula>
    </cfRule>
  </conditionalFormatting>
  <conditionalFormatting sqref="B87">
    <cfRule type="beginsWith" dxfId="9685" priority="1239" stopIfTrue="1" operator="beginsWith" text="Functioning At Risk">
      <formula>LEFT(B87,LEN("Functioning At Risk"))="Functioning At Risk"</formula>
    </cfRule>
    <cfRule type="beginsWith" dxfId="9684" priority="1240" stopIfTrue="1" operator="beginsWith" text="Not Functioning">
      <formula>LEFT(B87,LEN("Not Functioning"))="Not Functioning"</formula>
    </cfRule>
    <cfRule type="containsText" dxfId="9683" priority="1241" operator="containsText" text="Functioning">
      <formula>NOT(ISERROR(SEARCH("Functioning",B87)))</formula>
    </cfRule>
  </conditionalFormatting>
  <conditionalFormatting sqref="C48:D50">
    <cfRule type="beginsWith" dxfId="9682" priority="1223" stopIfTrue="1" operator="beginsWith" text="Functioning At Risk">
      <formula>LEFT(C48,LEN("Functioning At Risk"))="Functioning At Risk"</formula>
    </cfRule>
    <cfRule type="beginsWith" dxfId="9681" priority="1224" stopIfTrue="1" operator="beginsWith" text="Not Functioning">
      <formula>LEFT(C48,LEN("Not Functioning"))="Not Functioning"</formula>
    </cfRule>
    <cfRule type="containsText" dxfId="9680" priority="1225" operator="containsText" text="Functioning">
      <formula>NOT(ISERROR(SEARCH("Functioning",C48)))</formula>
    </cfRule>
  </conditionalFormatting>
  <conditionalFormatting sqref="B48">
    <cfRule type="beginsWith" dxfId="9679" priority="1220" stopIfTrue="1" operator="beginsWith" text="Functioning At Risk">
      <formula>LEFT(B48,LEN("Functioning At Risk"))="Functioning At Risk"</formula>
    </cfRule>
    <cfRule type="beginsWith" dxfId="9678" priority="1221" stopIfTrue="1" operator="beginsWith" text="Not Functioning">
      <formula>LEFT(B48,LEN("Not Functioning"))="Not Functioning"</formula>
    </cfRule>
    <cfRule type="containsText" dxfId="9677" priority="1222" operator="containsText" text="Functioning">
      <formula>NOT(ISERROR(SEARCH("Functioning",B48)))</formula>
    </cfRule>
  </conditionalFormatting>
  <conditionalFormatting sqref="E49">
    <cfRule type="beginsWith" dxfId="9676" priority="1217" stopIfTrue="1" operator="beginsWith" text="Functioning At Risk">
      <formula>LEFT(E49,LEN("Functioning At Risk"))="Functioning At Risk"</formula>
    </cfRule>
    <cfRule type="beginsWith" dxfId="9675" priority="1218" stopIfTrue="1" operator="beginsWith" text="Not Functioning">
      <formula>LEFT(E49,LEN("Not Functioning"))="Not Functioning"</formula>
    </cfRule>
    <cfRule type="containsText" dxfId="9674" priority="1219" operator="containsText" text="Functioning">
      <formula>NOT(ISERROR(SEARCH("Functioning",E49)))</formula>
    </cfRule>
  </conditionalFormatting>
  <conditionalFormatting sqref="E48">
    <cfRule type="beginsWith" dxfId="9673" priority="1214" stopIfTrue="1" operator="beginsWith" text="Functioning At Risk">
      <formula>LEFT(E48,LEN("Functioning At Risk"))="Functioning At Risk"</formula>
    </cfRule>
    <cfRule type="beginsWith" dxfId="9672" priority="1215" stopIfTrue="1" operator="beginsWith" text="Not Functioning">
      <formula>LEFT(E48,LEN("Not Functioning"))="Not Functioning"</formula>
    </cfRule>
    <cfRule type="containsText" dxfId="9671" priority="1216" operator="containsText" text="Functioning">
      <formula>NOT(ISERROR(SEARCH("Functioning",E48)))</formula>
    </cfRule>
  </conditionalFormatting>
  <conditionalFormatting sqref="E48">
    <cfRule type="expression" dxfId="9670" priority="1213" stopIfTrue="1">
      <formula>ISBLANK($B$13)</formula>
    </cfRule>
  </conditionalFormatting>
  <conditionalFormatting sqref="E50:E51">
    <cfRule type="beginsWith" dxfId="9669" priority="1210" stopIfTrue="1" operator="beginsWith" text="Functioning At Risk">
      <formula>LEFT(E50,LEN("Functioning At Risk"))="Functioning At Risk"</formula>
    </cfRule>
    <cfRule type="beginsWith" dxfId="9668" priority="1211" stopIfTrue="1" operator="beginsWith" text="Not Functioning">
      <formula>LEFT(E50,LEN("Not Functioning"))="Not Functioning"</formula>
    </cfRule>
    <cfRule type="containsText" dxfId="9667" priority="1212" operator="containsText" text="Functioning">
      <formula>NOT(ISERROR(SEARCH("Functioning",E50)))</formula>
    </cfRule>
  </conditionalFormatting>
  <conditionalFormatting sqref="C9:D11">
    <cfRule type="beginsWith" dxfId="9666" priority="1204" stopIfTrue="1" operator="beginsWith" text="Functioning At Risk">
      <formula>LEFT(C9,LEN("Functioning At Risk"))="Functioning At Risk"</formula>
    </cfRule>
    <cfRule type="beginsWith" dxfId="9665" priority="1205" stopIfTrue="1" operator="beginsWith" text="Not Functioning">
      <formula>LEFT(C9,LEN("Not Functioning"))="Not Functioning"</formula>
    </cfRule>
    <cfRule type="containsText" dxfId="9664" priority="1206" operator="containsText" text="Functioning">
      <formula>NOT(ISERROR(SEARCH("Functioning",C9)))</formula>
    </cfRule>
  </conditionalFormatting>
  <conditionalFormatting sqref="B9">
    <cfRule type="beginsWith" dxfId="9663" priority="1201" stopIfTrue="1" operator="beginsWith" text="Functioning At Risk">
      <formula>LEFT(B9,LEN("Functioning At Risk"))="Functioning At Risk"</formula>
    </cfRule>
    <cfRule type="beginsWith" dxfId="9662" priority="1202" stopIfTrue="1" operator="beginsWith" text="Not Functioning">
      <formula>LEFT(B9,LEN("Not Functioning"))="Not Functioning"</formula>
    </cfRule>
    <cfRule type="containsText" dxfId="9661" priority="1203" operator="containsText" text="Functioning">
      <formula>NOT(ISERROR(SEARCH("Functioning",B9)))</formula>
    </cfRule>
  </conditionalFormatting>
  <conditionalFormatting sqref="E10">
    <cfRule type="beginsWith" dxfId="9660" priority="1198" stopIfTrue="1" operator="beginsWith" text="Functioning At Risk">
      <formula>LEFT(E10,LEN("Functioning At Risk"))="Functioning At Risk"</formula>
    </cfRule>
    <cfRule type="beginsWith" dxfId="9659" priority="1199" stopIfTrue="1" operator="beginsWith" text="Not Functioning">
      <formula>LEFT(E10,LEN("Not Functioning"))="Not Functioning"</formula>
    </cfRule>
    <cfRule type="containsText" dxfId="9658" priority="1200" operator="containsText" text="Functioning">
      <formula>NOT(ISERROR(SEARCH("Functioning",E10)))</formula>
    </cfRule>
  </conditionalFormatting>
  <conditionalFormatting sqref="E9">
    <cfRule type="beginsWith" dxfId="9657" priority="1195" stopIfTrue="1" operator="beginsWith" text="Functioning At Risk">
      <formula>LEFT(E9,LEN("Functioning At Risk"))="Functioning At Risk"</formula>
    </cfRule>
    <cfRule type="beginsWith" dxfId="9656" priority="1196" stopIfTrue="1" operator="beginsWith" text="Not Functioning">
      <formula>LEFT(E9,LEN("Not Functioning"))="Not Functioning"</formula>
    </cfRule>
    <cfRule type="containsText" dxfId="9655" priority="1197" operator="containsText" text="Functioning">
      <formula>NOT(ISERROR(SEARCH("Functioning",E9)))</formula>
    </cfRule>
  </conditionalFormatting>
  <conditionalFormatting sqref="E9">
    <cfRule type="expression" dxfId="9654" priority="1194" stopIfTrue="1">
      <formula>ISBLANK($B$13)</formula>
    </cfRule>
  </conditionalFormatting>
  <conditionalFormatting sqref="E11:E12">
    <cfRule type="beginsWith" dxfId="9653" priority="1191" stopIfTrue="1" operator="beginsWith" text="Functioning At Risk">
      <formula>LEFT(E11,LEN("Functioning At Risk"))="Functioning At Risk"</formula>
    </cfRule>
    <cfRule type="beginsWith" dxfId="9652" priority="1192" stopIfTrue="1" operator="beginsWith" text="Not Functioning">
      <formula>LEFT(E11,LEN("Not Functioning"))="Not Functioning"</formula>
    </cfRule>
    <cfRule type="containsText" dxfId="9651" priority="1193" operator="containsText" text="Functioning">
      <formula>NOT(ISERROR(SEARCH("Functioning",E11)))</formula>
    </cfRule>
  </conditionalFormatting>
  <conditionalFormatting sqref="E13:E15">
    <cfRule type="beginsWith" dxfId="9650" priority="1188" stopIfTrue="1" operator="beginsWith" text="Functioning At Risk">
      <formula>LEFT(E13,LEN("Functioning At Risk"))="Functioning At Risk"</formula>
    </cfRule>
    <cfRule type="beginsWith" dxfId="9649" priority="1189" stopIfTrue="1" operator="beginsWith" text="Not Functioning">
      <formula>LEFT(E13,LEN("Not Functioning"))="Not Functioning"</formula>
    </cfRule>
    <cfRule type="containsText" dxfId="9648" priority="1190" operator="containsText" text="Functioning">
      <formula>NOT(ISERROR(SEARCH("Functioning",E13)))</formula>
    </cfRule>
  </conditionalFormatting>
  <conditionalFormatting sqref="E17:E18">
    <cfRule type="beginsWith" dxfId="9647" priority="1185" stopIfTrue="1" operator="beginsWith" text="Functioning At Risk">
      <formula>LEFT(E17,LEN("Functioning At Risk"))="Functioning At Risk"</formula>
    </cfRule>
    <cfRule type="beginsWith" dxfId="9646" priority="1186" stopIfTrue="1" operator="beginsWith" text="Not Functioning">
      <formula>LEFT(E17,LEN("Not Functioning"))="Not Functioning"</formula>
    </cfRule>
    <cfRule type="containsText" dxfId="9645" priority="1187" operator="containsText" text="Functioning">
      <formula>NOT(ISERROR(SEARCH("Functioning",E17)))</formula>
    </cfRule>
  </conditionalFormatting>
  <conditionalFormatting sqref="E52:E54">
    <cfRule type="beginsWith" dxfId="9644" priority="1176" stopIfTrue="1" operator="beginsWith" text="Functioning At Risk">
      <formula>LEFT(E52,LEN("Functioning At Risk"))="Functioning At Risk"</formula>
    </cfRule>
    <cfRule type="beginsWith" dxfId="9643" priority="1177" stopIfTrue="1" operator="beginsWith" text="Not Functioning">
      <formula>LEFT(E52,LEN("Not Functioning"))="Not Functioning"</formula>
    </cfRule>
    <cfRule type="containsText" dxfId="9642" priority="1178" operator="containsText" text="Functioning">
      <formula>NOT(ISERROR(SEARCH("Functioning",E52)))</formula>
    </cfRule>
  </conditionalFormatting>
  <conditionalFormatting sqref="E56:E57">
    <cfRule type="beginsWith" dxfId="9641" priority="1173" stopIfTrue="1" operator="beginsWith" text="Functioning At Risk">
      <formula>LEFT(E56,LEN("Functioning At Risk"))="Functioning At Risk"</formula>
    </cfRule>
    <cfRule type="beginsWith" dxfId="9640" priority="1174" stopIfTrue="1" operator="beginsWith" text="Not Functioning">
      <formula>LEFT(E56,LEN("Not Functioning"))="Not Functioning"</formula>
    </cfRule>
    <cfRule type="containsText" dxfId="9639" priority="1175" operator="containsText" text="Functioning">
      <formula>NOT(ISERROR(SEARCH("Functioning",E56)))</formula>
    </cfRule>
  </conditionalFormatting>
  <conditionalFormatting sqref="E169:E171">
    <cfRule type="beginsWith" dxfId="9638" priority="1140" stopIfTrue="1" operator="beginsWith" text="Functioning At Risk">
      <formula>LEFT(E169,LEN("Functioning At Risk"))="Functioning At Risk"</formula>
    </cfRule>
    <cfRule type="beginsWith" dxfId="9637" priority="1141" stopIfTrue="1" operator="beginsWith" text="Not Functioning">
      <formula>LEFT(E169,LEN("Not Functioning"))="Not Functioning"</formula>
    </cfRule>
    <cfRule type="containsText" dxfId="9636" priority="1142" operator="containsText" text="Functioning">
      <formula>NOT(ISERROR(SEARCH("Functioning",E169)))</formula>
    </cfRule>
  </conditionalFormatting>
  <conditionalFormatting sqref="E173:E174">
    <cfRule type="beginsWith" dxfId="9635" priority="1137" stopIfTrue="1" operator="beginsWith" text="Functioning At Risk">
      <formula>LEFT(E173,LEN("Functioning At Risk"))="Functioning At Risk"</formula>
    </cfRule>
    <cfRule type="beginsWith" dxfId="9634" priority="1138" stopIfTrue="1" operator="beginsWith" text="Not Functioning">
      <formula>LEFT(E173,LEN("Not Functioning"))="Not Functioning"</formula>
    </cfRule>
    <cfRule type="containsText" dxfId="9633" priority="1139" operator="containsText" text="Functioning">
      <formula>NOT(ISERROR(SEARCH("Functioning",E173)))</formula>
    </cfRule>
  </conditionalFormatting>
  <conditionalFormatting sqref="E208:E210">
    <cfRule type="beginsWith" dxfId="9632" priority="1128" stopIfTrue="1" operator="beginsWith" text="Functioning At Risk">
      <formula>LEFT(E208,LEN("Functioning At Risk"))="Functioning At Risk"</formula>
    </cfRule>
    <cfRule type="beginsWith" dxfId="9631" priority="1129" stopIfTrue="1" operator="beginsWith" text="Not Functioning">
      <formula>LEFT(E208,LEN("Not Functioning"))="Not Functioning"</formula>
    </cfRule>
    <cfRule type="containsText" dxfId="9630" priority="1130" operator="containsText" text="Functioning">
      <formula>NOT(ISERROR(SEARCH("Functioning",E208)))</formula>
    </cfRule>
  </conditionalFormatting>
  <conditionalFormatting sqref="E212:E213">
    <cfRule type="beginsWith" dxfId="9629" priority="1125" stopIfTrue="1" operator="beginsWith" text="Functioning At Risk">
      <formula>LEFT(E212,LEN("Functioning At Risk"))="Functioning At Risk"</formula>
    </cfRule>
    <cfRule type="beginsWith" dxfId="9628" priority="1126" stopIfTrue="1" operator="beginsWith" text="Not Functioning">
      <formula>LEFT(E212,LEN("Not Functioning"))="Not Functioning"</formula>
    </cfRule>
    <cfRule type="containsText" dxfId="9627" priority="1127" operator="containsText" text="Functioning">
      <formula>NOT(ISERROR(SEARCH("Functioning",E212)))</formula>
    </cfRule>
  </conditionalFormatting>
  <conditionalFormatting sqref="E248:E250">
    <cfRule type="beginsWith" dxfId="9626" priority="1116" stopIfTrue="1" operator="beginsWith" text="Functioning At Risk">
      <formula>LEFT(E248,LEN("Functioning At Risk"))="Functioning At Risk"</formula>
    </cfRule>
    <cfRule type="beginsWith" dxfId="9625" priority="1117" stopIfTrue="1" operator="beginsWith" text="Not Functioning">
      <formula>LEFT(E248,LEN("Not Functioning"))="Not Functioning"</formula>
    </cfRule>
    <cfRule type="containsText" dxfId="9624" priority="1118" operator="containsText" text="Functioning">
      <formula>NOT(ISERROR(SEARCH("Functioning",E248)))</formula>
    </cfRule>
  </conditionalFormatting>
  <conditionalFormatting sqref="E252:E253">
    <cfRule type="beginsWith" dxfId="9623" priority="1113" stopIfTrue="1" operator="beginsWith" text="Functioning At Risk">
      <formula>LEFT(E252,LEN("Functioning At Risk"))="Functioning At Risk"</formula>
    </cfRule>
    <cfRule type="beginsWith" dxfId="9622" priority="1114" stopIfTrue="1" operator="beginsWith" text="Not Functioning">
      <formula>LEFT(E252,LEN("Not Functioning"))="Not Functioning"</formula>
    </cfRule>
    <cfRule type="containsText" dxfId="9621" priority="1115" operator="containsText" text="Functioning">
      <formula>NOT(ISERROR(SEARCH("Functioning",E252)))</formula>
    </cfRule>
  </conditionalFormatting>
  <conditionalFormatting sqref="E288:E290">
    <cfRule type="beginsWith" dxfId="9620" priority="1104" stopIfTrue="1" operator="beginsWith" text="Functioning At Risk">
      <formula>LEFT(E288,LEN("Functioning At Risk"))="Functioning At Risk"</formula>
    </cfRule>
    <cfRule type="beginsWith" dxfId="9619" priority="1105" stopIfTrue="1" operator="beginsWith" text="Not Functioning">
      <formula>LEFT(E288,LEN("Not Functioning"))="Not Functioning"</formula>
    </cfRule>
    <cfRule type="containsText" dxfId="9618" priority="1106" operator="containsText" text="Functioning">
      <formula>NOT(ISERROR(SEARCH("Functioning",E288)))</formula>
    </cfRule>
  </conditionalFormatting>
  <conditionalFormatting sqref="E292:E293">
    <cfRule type="beginsWith" dxfId="9617" priority="1101" stopIfTrue="1" operator="beginsWith" text="Functioning At Risk">
      <formula>LEFT(E292,LEN("Functioning At Risk"))="Functioning At Risk"</formula>
    </cfRule>
    <cfRule type="beginsWith" dxfId="9616" priority="1102" stopIfTrue="1" operator="beginsWith" text="Not Functioning">
      <formula>LEFT(E292,LEN("Not Functioning"))="Not Functioning"</formula>
    </cfRule>
    <cfRule type="containsText" dxfId="9615" priority="1103" operator="containsText" text="Functioning">
      <formula>NOT(ISERROR(SEARCH("Functioning",E292)))</formula>
    </cfRule>
  </conditionalFormatting>
  <conditionalFormatting sqref="E328:E330">
    <cfRule type="beginsWith" dxfId="9614" priority="1092" stopIfTrue="1" operator="beginsWith" text="Functioning At Risk">
      <formula>LEFT(E328,LEN("Functioning At Risk"))="Functioning At Risk"</formula>
    </cfRule>
    <cfRule type="beginsWith" dxfId="9613" priority="1093" stopIfTrue="1" operator="beginsWith" text="Not Functioning">
      <formula>LEFT(E328,LEN("Not Functioning"))="Not Functioning"</formula>
    </cfRule>
    <cfRule type="containsText" dxfId="9612" priority="1094" operator="containsText" text="Functioning">
      <formula>NOT(ISERROR(SEARCH("Functioning",E328)))</formula>
    </cfRule>
  </conditionalFormatting>
  <conditionalFormatting sqref="E332:E333">
    <cfRule type="beginsWith" dxfId="9611" priority="1089" stopIfTrue="1" operator="beginsWith" text="Functioning At Risk">
      <formula>LEFT(E332,LEN("Functioning At Risk"))="Functioning At Risk"</formula>
    </cfRule>
    <cfRule type="beginsWith" dxfId="9610" priority="1090" stopIfTrue="1" operator="beginsWith" text="Not Functioning">
      <formula>LEFT(E332,LEN("Not Functioning"))="Not Functioning"</formula>
    </cfRule>
    <cfRule type="containsText" dxfId="9609" priority="1091" operator="containsText" text="Functioning">
      <formula>NOT(ISERROR(SEARCH("Functioning",E332)))</formula>
    </cfRule>
  </conditionalFormatting>
  <conditionalFormatting sqref="E368:E370">
    <cfRule type="beginsWith" dxfId="9608" priority="1080" stopIfTrue="1" operator="beginsWith" text="Functioning At Risk">
      <formula>LEFT(E368,LEN("Functioning At Risk"))="Functioning At Risk"</formula>
    </cfRule>
    <cfRule type="beginsWith" dxfId="9607" priority="1081" stopIfTrue="1" operator="beginsWith" text="Not Functioning">
      <formula>LEFT(E368,LEN("Not Functioning"))="Not Functioning"</formula>
    </cfRule>
    <cfRule type="containsText" dxfId="9606" priority="1082" operator="containsText" text="Functioning">
      <formula>NOT(ISERROR(SEARCH("Functioning",E368)))</formula>
    </cfRule>
  </conditionalFormatting>
  <conditionalFormatting sqref="E372:E373">
    <cfRule type="beginsWith" dxfId="9605" priority="1077" stopIfTrue="1" operator="beginsWith" text="Functioning At Risk">
      <formula>LEFT(E372,LEN("Functioning At Risk"))="Functioning At Risk"</formula>
    </cfRule>
    <cfRule type="beginsWith" dxfId="9604" priority="1078" stopIfTrue="1" operator="beginsWith" text="Not Functioning">
      <formula>LEFT(E372,LEN("Not Functioning"))="Not Functioning"</formula>
    </cfRule>
    <cfRule type="containsText" dxfId="9603" priority="1079" operator="containsText" text="Functioning">
      <formula>NOT(ISERROR(SEARCH("Functioning",E372)))</formula>
    </cfRule>
  </conditionalFormatting>
  <conditionalFormatting sqref="E408:E410">
    <cfRule type="beginsWith" dxfId="9602" priority="1068" stopIfTrue="1" operator="beginsWith" text="Functioning At Risk">
      <formula>LEFT(E408,LEN("Functioning At Risk"))="Functioning At Risk"</formula>
    </cfRule>
    <cfRule type="beginsWith" dxfId="9601" priority="1069" stopIfTrue="1" operator="beginsWith" text="Not Functioning">
      <formula>LEFT(E408,LEN("Not Functioning"))="Not Functioning"</formula>
    </cfRule>
    <cfRule type="containsText" dxfId="9600" priority="1070" operator="containsText" text="Functioning">
      <formula>NOT(ISERROR(SEARCH("Functioning",E408)))</formula>
    </cfRule>
  </conditionalFormatting>
  <conditionalFormatting sqref="E412:E413">
    <cfRule type="beginsWith" dxfId="9599" priority="1065" stopIfTrue="1" operator="beginsWith" text="Functioning At Risk">
      <formula>LEFT(E412,LEN("Functioning At Risk"))="Functioning At Risk"</formula>
    </cfRule>
    <cfRule type="beginsWith" dxfId="9598" priority="1066" stopIfTrue="1" operator="beginsWith" text="Not Functioning">
      <formula>LEFT(E412,LEN("Not Functioning"))="Not Functioning"</formula>
    </cfRule>
    <cfRule type="containsText" dxfId="9597" priority="1067" operator="containsText" text="Functioning">
      <formula>NOT(ISERROR(SEARCH("Functioning",E412)))</formula>
    </cfRule>
  </conditionalFormatting>
  <conditionalFormatting sqref="E7:E8">
    <cfRule type="beginsWith" dxfId="9596" priority="1055" stopIfTrue="1" operator="beginsWith" text="Functioning At Risk">
      <formula>LEFT(E7,LEN("Functioning At Risk"))="Functioning At Risk"</formula>
    </cfRule>
    <cfRule type="beginsWith" dxfId="9595" priority="1056" stopIfTrue="1" operator="beginsWith" text="Not Functioning">
      <formula>LEFT(E7,LEN("Not Functioning"))="Not Functioning"</formula>
    </cfRule>
    <cfRule type="containsText" dxfId="9594" priority="1057" operator="containsText" text="Functioning">
      <formula>NOT(ISERROR(SEARCH("Functioning",E7)))</formula>
    </cfRule>
  </conditionalFormatting>
  <conditionalFormatting sqref="E46:E47">
    <cfRule type="beginsWith" dxfId="9593" priority="1052" stopIfTrue="1" operator="beginsWith" text="Functioning At Risk">
      <formula>LEFT(E46,LEN("Functioning At Risk"))="Functioning At Risk"</formula>
    </cfRule>
    <cfRule type="beginsWith" dxfId="9592" priority="1053" stopIfTrue="1" operator="beginsWith" text="Not Functioning">
      <formula>LEFT(E46,LEN("Not Functioning"))="Not Functioning"</formula>
    </cfRule>
    <cfRule type="containsText" dxfId="9591" priority="1054" operator="containsText" text="Functioning">
      <formula>NOT(ISERROR(SEARCH("Functioning",E46)))</formula>
    </cfRule>
  </conditionalFormatting>
  <conditionalFormatting sqref="E163:E164">
    <cfRule type="beginsWith" dxfId="9590" priority="1043" stopIfTrue="1" operator="beginsWith" text="Functioning At Risk">
      <formula>LEFT(E163,LEN("Functioning At Risk"))="Functioning At Risk"</formula>
    </cfRule>
    <cfRule type="beginsWith" dxfId="9589" priority="1044" stopIfTrue="1" operator="beginsWith" text="Not Functioning">
      <formula>LEFT(E163,LEN("Not Functioning"))="Not Functioning"</formula>
    </cfRule>
    <cfRule type="containsText" dxfId="9588" priority="1045" operator="containsText" text="Functioning">
      <formula>NOT(ISERROR(SEARCH("Functioning",E163)))</formula>
    </cfRule>
  </conditionalFormatting>
  <conditionalFormatting sqref="E202:E203">
    <cfRule type="beginsWith" dxfId="9587" priority="1040" stopIfTrue="1" operator="beginsWith" text="Functioning At Risk">
      <formula>LEFT(E202,LEN("Functioning At Risk"))="Functioning At Risk"</formula>
    </cfRule>
    <cfRule type="beginsWith" dxfId="9586" priority="1041" stopIfTrue="1" operator="beginsWith" text="Not Functioning">
      <formula>LEFT(E202,LEN("Not Functioning"))="Not Functioning"</formula>
    </cfRule>
    <cfRule type="containsText" dxfId="9585" priority="1042" operator="containsText" text="Functioning">
      <formula>NOT(ISERROR(SEARCH("Functioning",E202)))</formula>
    </cfRule>
  </conditionalFormatting>
  <conditionalFormatting sqref="E242:E243">
    <cfRule type="beginsWith" dxfId="9584" priority="1037" stopIfTrue="1" operator="beginsWith" text="Functioning At Risk">
      <formula>LEFT(E242,LEN("Functioning At Risk"))="Functioning At Risk"</formula>
    </cfRule>
    <cfRule type="beginsWith" dxfId="9583" priority="1038" stopIfTrue="1" operator="beginsWith" text="Not Functioning">
      <formula>LEFT(E242,LEN("Not Functioning"))="Not Functioning"</formula>
    </cfRule>
    <cfRule type="containsText" dxfId="9582" priority="1039" operator="containsText" text="Functioning">
      <formula>NOT(ISERROR(SEARCH("Functioning",E242)))</formula>
    </cfRule>
  </conditionalFormatting>
  <conditionalFormatting sqref="E282:E283">
    <cfRule type="beginsWith" dxfId="9581" priority="1034" stopIfTrue="1" operator="beginsWith" text="Functioning At Risk">
      <formula>LEFT(E282,LEN("Functioning At Risk"))="Functioning At Risk"</formula>
    </cfRule>
    <cfRule type="beginsWith" dxfId="9580" priority="1035" stopIfTrue="1" operator="beginsWith" text="Not Functioning">
      <formula>LEFT(E282,LEN("Not Functioning"))="Not Functioning"</formula>
    </cfRule>
    <cfRule type="containsText" dxfId="9579" priority="1036" operator="containsText" text="Functioning">
      <formula>NOT(ISERROR(SEARCH("Functioning",E282)))</formula>
    </cfRule>
  </conditionalFormatting>
  <conditionalFormatting sqref="E322:E323">
    <cfRule type="beginsWith" dxfId="9578" priority="1031" stopIfTrue="1" operator="beginsWith" text="Functioning At Risk">
      <formula>LEFT(E322,LEN("Functioning At Risk"))="Functioning At Risk"</formula>
    </cfRule>
    <cfRule type="beginsWith" dxfId="9577" priority="1032" stopIfTrue="1" operator="beginsWith" text="Not Functioning">
      <formula>LEFT(E322,LEN("Not Functioning"))="Not Functioning"</formula>
    </cfRule>
    <cfRule type="containsText" dxfId="9576" priority="1033" operator="containsText" text="Functioning">
      <formula>NOT(ISERROR(SEARCH("Functioning",E322)))</formula>
    </cfRule>
  </conditionalFormatting>
  <conditionalFormatting sqref="E362:E363">
    <cfRule type="beginsWith" dxfId="9575" priority="1028" stopIfTrue="1" operator="beginsWith" text="Functioning At Risk">
      <formula>LEFT(E362,LEN("Functioning At Risk"))="Functioning At Risk"</formula>
    </cfRule>
    <cfRule type="beginsWith" dxfId="9574" priority="1029" stopIfTrue="1" operator="beginsWith" text="Not Functioning">
      <formula>LEFT(E362,LEN("Not Functioning"))="Not Functioning"</formula>
    </cfRule>
    <cfRule type="containsText" dxfId="9573" priority="1030" operator="containsText" text="Functioning">
      <formula>NOT(ISERROR(SEARCH("Functioning",E362)))</formula>
    </cfRule>
  </conditionalFormatting>
  <conditionalFormatting sqref="E402:E403">
    <cfRule type="beginsWith" dxfId="9572" priority="1025" stopIfTrue="1" operator="beginsWith" text="Functioning At Risk">
      <formula>LEFT(E402,LEN("Functioning At Risk"))="Functioning At Risk"</formula>
    </cfRule>
    <cfRule type="beginsWith" dxfId="9571" priority="1026" stopIfTrue="1" operator="beginsWith" text="Not Functioning">
      <formula>LEFT(E402,LEN("Not Functioning"))="Not Functioning"</formula>
    </cfRule>
    <cfRule type="containsText" dxfId="9570" priority="1027" operator="containsText" text="Functioning">
      <formula>NOT(ISERROR(SEARCH("Functioning",E402)))</formula>
    </cfRule>
  </conditionalFormatting>
  <conditionalFormatting sqref="E414:E415">
    <cfRule type="beginsWith" dxfId="9569" priority="668" stopIfTrue="1" operator="beginsWith" text="Functioning At Risk">
      <formula>LEFT(E414,LEN("Functioning At Risk"))="Functioning At Risk"</formula>
    </cfRule>
    <cfRule type="beginsWith" dxfId="9568" priority="669" stopIfTrue="1" operator="beginsWith" text="Not Functioning">
      <formula>LEFT(E414,LEN("Not Functioning"))="Not Functioning"</formula>
    </cfRule>
    <cfRule type="containsText" dxfId="9567" priority="670" operator="containsText" text="Functioning">
      <formula>NOT(ISERROR(SEARCH("Functioning",E414)))</formula>
    </cfRule>
  </conditionalFormatting>
  <conditionalFormatting sqref="E374:E375">
    <cfRule type="beginsWith" dxfId="9566" priority="659" stopIfTrue="1" operator="beginsWith" text="Functioning At Risk">
      <formula>LEFT(E374,LEN("Functioning At Risk"))="Functioning At Risk"</formula>
    </cfRule>
    <cfRule type="beginsWith" dxfId="9565" priority="660" stopIfTrue="1" operator="beginsWith" text="Not Functioning">
      <formula>LEFT(E374,LEN("Not Functioning"))="Not Functioning"</formula>
    </cfRule>
    <cfRule type="containsText" dxfId="9564" priority="661" operator="containsText" text="Functioning">
      <formula>NOT(ISERROR(SEARCH("Functioning",E374)))</formula>
    </cfRule>
  </conditionalFormatting>
  <conditionalFormatting sqref="E334:E335">
    <cfRule type="beginsWith" dxfId="9563" priority="650" stopIfTrue="1" operator="beginsWith" text="Functioning At Risk">
      <formula>LEFT(E334,LEN("Functioning At Risk"))="Functioning At Risk"</formula>
    </cfRule>
    <cfRule type="beginsWith" dxfId="9562" priority="651" stopIfTrue="1" operator="beginsWith" text="Not Functioning">
      <formula>LEFT(E334,LEN("Not Functioning"))="Not Functioning"</formula>
    </cfRule>
    <cfRule type="containsText" dxfId="9561" priority="652" operator="containsText" text="Functioning">
      <formula>NOT(ISERROR(SEARCH("Functioning",E334)))</formula>
    </cfRule>
  </conditionalFormatting>
  <conditionalFormatting sqref="E19:E20">
    <cfRule type="beginsWith" dxfId="9560" priority="578" stopIfTrue="1" operator="beginsWith" text="Functioning At Risk">
      <formula>LEFT(E19,LEN("Functioning At Risk"))="Functioning At Risk"</formula>
    </cfRule>
    <cfRule type="beginsWith" dxfId="9559" priority="579" stopIfTrue="1" operator="beginsWith" text="Not Functioning">
      <formula>LEFT(E19,LEN("Not Functioning"))="Not Functioning"</formula>
    </cfRule>
    <cfRule type="containsText" dxfId="9558" priority="580" operator="containsText" text="Functioning">
      <formula>NOT(ISERROR(SEARCH("Functioning",E19)))</formula>
    </cfRule>
  </conditionalFormatting>
  <conditionalFormatting sqref="E21">
    <cfRule type="beginsWith" dxfId="9557" priority="575" stopIfTrue="1" operator="beginsWith" text="Functioning At Risk">
      <formula>LEFT(E21,LEN("Functioning At Risk"))="Functioning At Risk"</formula>
    </cfRule>
    <cfRule type="beginsWith" dxfId="9556" priority="576" stopIfTrue="1" operator="beginsWith" text="Not Functioning">
      <formula>LEFT(E21,LEN("Not Functioning"))="Not Functioning"</formula>
    </cfRule>
    <cfRule type="containsText" dxfId="9555" priority="577" operator="containsText" text="Functioning">
      <formula>NOT(ISERROR(SEARCH("Functioning",E21)))</formula>
    </cfRule>
  </conditionalFormatting>
  <conditionalFormatting sqref="E22">
    <cfRule type="beginsWith" dxfId="9554" priority="572" stopIfTrue="1" operator="beginsWith" text="Functioning At Risk">
      <formula>LEFT(E22,LEN("Functioning At Risk"))="Functioning At Risk"</formula>
    </cfRule>
    <cfRule type="beginsWith" dxfId="9553" priority="573" stopIfTrue="1" operator="beginsWith" text="Not Functioning">
      <formula>LEFT(E22,LEN("Not Functioning"))="Not Functioning"</formula>
    </cfRule>
    <cfRule type="containsText" dxfId="9552" priority="574" operator="containsText" text="Functioning">
      <formula>NOT(ISERROR(SEARCH("Functioning",E22)))</formula>
    </cfRule>
  </conditionalFormatting>
  <conditionalFormatting sqref="E97:E98">
    <cfRule type="beginsWith" dxfId="9551" priority="542" stopIfTrue="1" operator="beginsWith" text="Functioning At Risk">
      <formula>LEFT(E97,LEN("Functioning At Risk"))="Functioning At Risk"</formula>
    </cfRule>
    <cfRule type="beginsWith" dxfId="9550" priority="543" stopIfTrue="1" operator="beginsWith" text="Not Functioning">
      <formula>LEFT(E97,LEN("Not Functioning"))="Not Functioning"</formula>
    </cfRule>
    <cfRule type="containsText" dxfId="9549" priority="544" operator="containsText" text="Functioning">
      <formula>NOT(ISERROR(SEARCH("Functioning",E97)))</formula>
    </cfRule>
  </conditionalFormatting>
  <conditionalFormatting sqref="E136:E137">
    <cfRule type="beginsWith" dxfId="9548" priority="533" stopIfTrue="1" operator="beginsWith" text="Functioning At Risk">
      <formula>LEFT(E136,LEN("Functioning At Risk"))="Functioning At Risk"</formula>
    </cfRule>
    <cfRule type="beginsWith" dxfId="9547" priority="534" stopIfTrue="1" operator="beginsWith" text="Not Functioning">
      <formula>LEFT(E136,LEN("Not Functioning"))="Not Functioning"</formula>
    </cfRule>
    <cfRule type="containsText" dxfId="9546" priority="535" operator="containsText" text="Functioning">
      <formula>NOT(ISERROR(SEARCH("Functioning",E136)))</formula>
    </cfRule>
  </conditionalFormatting>
  <conditionalFormatting sqref="E175:E176">
    <cfRule type="beginsWith" dxfId="9545" priority="524" stopIfTrue="1" operator="beginsWith" text="Functioning At Risk">
      <formula>LEFT(E175,LEN("Functioning At Risk"))="Functioning At Risk"</formula>
    </cfRule>
    <cfRule type="beginsWith" dxfId="9544" priority="525" stopIfTrue="1" operator="beginsWith" text="Not Functioning">
      <formula>LEFT(E175,LEN("Not Functioning"))="Not Functioning"</formula>
    </cfRule>
    <cfRule type="containsText" dxfId="9543" priority="526" operator="containsText" text="Functioning">
      <formula>NOT(ISERROR(SEARCH("Functioning",E175)))</formula>
    </cfRule>
  </conditionalFormatting>
  <conditionalFormatting sqref="E214:E215">
    <cfRule type="beginsWith" dxfId="9542" priority="515" stopIfTrue="1" operator="beginsWith" text="Functioning At Risk">
      <formula>LEFT(E214,LEN("Functioning At Risk"))="Functioning At Risk"</formula>
    </cfRule>
    <cfRule type="beginsWith" dxfId="9541" priority="516" stopIfTrue="1" operator="beginsWith" text="Not Functioning">
      <formula>LEFT(E214,LEN("Not Functioning"))="Not Functioning"</formula>
    </cfRule>
    <cfRule type="containsText" dxfId="9540" priority="517" operator="containsText" text="Functioning">
      <formula>NOT(ISERROR(SEARCH("Functioning",E214)))</formula>
    </cfRule>
  </conditionalFormatting>
  <conditionalFormatting sqref="E254:E255">
    <cfRule type="beginsWith" dxfId="9539" priority="506" stopIfTrue="1" operator="beginsWith" text="Functioning At Risk">
      <formula>LEFT(E254,LEN("Functioning At Risk"))="Functioning At Risk"</formula>
    </cfRule>
    <cfRule type="beginsWith" dxfId="9538" priority="507" stopIfTrue="1" operator="beginsWith" text="Not Functioning">
      <formula>LEFT(E254,LEN("Not Functioning"))="Not Functioning"</formula>
    </cfRule>
    <cfRule type="containsText" dxfId="9537" priority="508" operator="containsText" text="Functioning">
      <formula>NOT(ISERROR(SEARCH("Functioning",E254)))</formula>
    </cfRule>
  </conditionalFormatting>
  <conditionalFormatting sqref="E294:E295">
    <cfRule type="beginsWith" dxfId="9536" priority="497" stopIfTrue="1" operator="beginsWith" text="Functioning At Risk">
      <formula>LEFT(E294,LEN("Functioning At Risk"))="Functioning At Risk"</formula>
    </cfRule>
    <cfRule type="beginsWith" dxfId="9535" priority="498" stopIfTrue="1" operator="beginsWith" text="Not Functioning">
      <formula>LEFT(E294,LEN("Not Functioning"))="Not Functioning"</formula>
    </cfRule>
    <cfRule type="containsText" dxfId="9534" priority="499" operator="containsText" text="Functioning">
      <formula>NOT(ISERROR(SEARCH("Functioning",E294)))</formula>
    </cfRule>
  </conditionalFormatting>
  <conditionalFormatting sqref="E58:E59">
    <cfRule type="beginsWith" dxfId="9533" priority="422" stopIfTrue="1" operator="beginsWith" text="Functioning At Risk">
      <formula>LEFT(E58,LEN("Functioning At Risk"))="Functioning At Risk"</formula>
    </cfRule>
    <cfRule type="beginsWith" dxfId="9532" priority="423" stopIfTrue="1" operator="beginsWith" text="Not Functioning">
      <formula>LEFT(E58,LEN("Not Functioning"))="Not Functioning"</formula>
    </cfRule>
    <cfRule type="containsText" dxfId="9531" priority="424" operator="containsText" text="Functioning">
      <formula>NOT(ISERROR(SEARCH("Functioning",E58)))</formula>
    </cfRule>
  </conditionalFormatting>
  <conditionalFormatting sqref="E60">
    <cfRule type="beginsWith" dxfId="9530" priority="401" stopIfTrue="1" operator="beginsWith" text="Functioning At Risk">
      <formula>LEFT(E60,LEN("Functioning At Risk"))="Functioning At Risk"</formula>
    </cfRule>
    <cfRule type="beginsWith" dxfId="9529" priority="402" stopIfTrue="1" operator="beginsWith" text="Not Functioning">
      <formula>LEFT(E60,LEN("Not Functioning"))="Not Functioning"</formula>
    </cfRule>
    <cfRule type="containsText" dxfId="9528" priority="403" operator="containsText" text="Functioning">
      <formula>NOT(ISERROR(SEARCH("Functioning",E60)))</formula>
    </cfRule>
  </conditionalFormatting>
  <conditionalFormatting sqref="E61">
    <cfRule type="beginsWith" dxfId="9527" priority="398" stopIfTrue="1" operator="beginsWith" text="Functioning At Risk">
      <formula>LEFT(E61,LEN("Functioning At Risk"))="Functioning At Risk"</formula>
    </cfRule>
    <cfRule type="beginsWith" dxfId="9526" priority="399" stopIfTrue="1" operator="beginsWith" text="Not Functioning">
      <formula>LEFT(E61,LEN("Not Functioning"))="Not Functioning"</formula>
    </cfRule>
    <cfRule type="containsText" dxfId="9525" priority="400" operator="containsText" text="Functioning">
      <formula>NOT(ISERROR(SEARCH("Functioning",E61)))</formula>
    </cfRule>
  </conditionalFormatting>
  <conditionalFormatting sqref="E99">
    <cfRule type="beginsWith" dxfId="9524" priority="395" stopIfTrue="1" operator="beginsWith" text="Functioning At Risk">
      <formula>LEFT(E99,LEN("Functioning At Risk"))="Functioning At Risk"</formula>
    </cfRule>
    <cfRule type="beginsWith" dxfId="9523" priority="396" stopIfTrue="1" operator="beginsWith" text="Not Functioning">
      <formula>LEFT(E99,LEN("Not Functioning"))="Not Functioning"</formula>
    </cfRule>
    <cfRule type="containsText" dxfId="9522" priority="397" operator="containsText" text="Functioning">
      <formula>NOT(ISERROR(SEARCH("Functioning",E99)))</formula>
    </cfRule>
  </conditionalFormatting>
  <conditionalFormatting sqref="E100">
    <cfRule type="beginsWith" dxfId="9521" priority="392" stopIfTrue="1" operator="beginsWith" text="Functioning At Risk">
      <formula>LEFT(E100,LEN("Functioning At Risk"))="Functioning At Risk"</formula>
    </cfRule>
    <cfRule type="beginsWith" dxfId="9520" priority="393" stopIfTrue="1" operator="beginsWith" text="Not Functioning">
      <formula>LEFT(E100,LEN("Not Functioning"))="Not Functioning"</formula>
    </cfRule>
    <cfRule type="containsText" dxfId="9519" priority="394" operator="containsText" text="Functioning">
      <formula>NOT(ISERROR(SEARCH("Functioning",E100)))</formula>
    </cfRule>
  </conditionalFormatting>
  <conditionalFormatting sqref="E138">
    <cfRule type="beginsWith" dxfId="9518" priority="389" stopIfTrue="1" operator="beginsWith" text="Functioning At Risk">
      <formula>LEFT(E138,LEN("Functioning At Risk"))="Functioning At Risk"</formula>
    </cfRule>
    <cfRule type="beginsWith" dxfId="9517" priority="390" stopIfTrue="1" operator="beginsWith" text="Not Functioning">
      <formula>LEFT(E138,LEN("Not Functioning"))="Not Functioning"</formula>
    </cfRule>
    <cfRule type="containsText" dxfId="9516" priority="391" operator="containsText" text="Functioning">
      <formula>NOT(ISERROR(SEARCH("Functioning",E138)))</formula>
    </cfRule>
  </conditionalFormatting>
  <conditionalFormatting sqref="E139">
    <cfRule type="beginsWith" dxfId="9515" priority="386" stopIfTrue="1" operator="beginsWith" text="Functioning At Risk">
      <formula>LEFT(E139,LEN("Functioning At Risk"))="Functioning At Risk"</formula>
    </cfRule>
    <cfRule type="beginsWith" dxfId="9514" priority="387" stopIfTrue="1" operator="beginsWith" text="Not Functioning">
      <formula>LEFT(E139,LEN("Not Functioning"))="Not Functioning"</formula>
    </cfRule>
    <cfRule type="containsText" dxfId="9513" priority="388" operator="containsText" text="Functioning">
      <formula>NOT(ISERROR(SEARCH("Functioning",E139)))</formula>
    </cfRule>
  </conditionalFormatting>
  <conditionalFormatting sqref="E177">
    <cfRule type="beginsWith" dxfId="9512" priority="383" stopIfTrue="1" operator="beginsWith" text="Functioning At Risk">
      <formula>LEFT(E177,LEN("Functioning At Risk"))="Functioning At Risk"</formula>
    </cfRule>
    <cfRule type="beginsWith" dxfId="9511" priority="384" stopIfTrue="1" operator="beginsWith" text="Not Functioning">
      <formula>LEFT(E177,LEN("Not Functioning"))="Not Functioning"</formula>
    </cfRule>
    <cfRule type="containsText" dxfId="9510" priority="385" operator="containsText" text="Functioning">
      <formula>NOT(ISERROR(SEARCH("Functioning",E177)))</formula>
    </cfRule>
  </conditionalFormatting>
  <conditionalFormatting sqref="E178">
    <cfRule type="beginsWith" dxfId="9509" priority="380" stopIfTrue="1" operator="beginsWith" text="Functioning At Risk">
      <formula>LEFT(E178,LEN("Functioning At Risk"))="Functioning At Risk"</formula>
    </cfRule>
    <cfRule type="beginsWith" dxfId="9508" priority="381" stopIfTrue="1" operator="beginsWith" text="Not Functioning">
      <formula>LEFT(E178,LEN("Not Functioning"))="Not Functioning"</formula>
    </cfRule>
    <cfRule type="containsText" dxfId="9507" priority="382" operator="containsText" text="Functioning">
      <formula>NOT(ISERROR(SEARCH("Functioning",E178)))</formula>
    </cfRule>
  </conditionalFormatting>
  <conditionalFormatting sqref="E216">
    <cfRule type="beginsWith" dxfId="9506" priority="377" stopIfTrue="1" operator="beginsWith" text="Functioning At Risk">
      <formula>LEFT(E216,LEN("Functioning At Risk"))="Functioning At Risk"</formula>
    </cfRule>
    <cfRule type="beginsWith" dxfId="9505" priority="378" stopIfTrue="1" operator="beginsWith" text="Not Functioning">
      <formula>LEFT(E216,LEN("Not Functioning"))="Not Functioning"</formula>
    </cfRule>
    <cfRule type="containsText" dxfId="9504" priority="379" operator="containsText" text="Functioning">
      <formula>NOT(ISERROR(SEARCH("Functioning",E216)))</formula>
    </cfRule>
  </conditionalFormatting>
  <conditionalFormatting sqref="E217">
    <cfRule type="beginsWith" dxfId="9503" priority="374" stopIfTrue="1" operator="beginsWith" text="Functioning At Risk">
      <formula>LEFT(E217,LEN("Functioning At Risk"))="Functioning At Risk"</formula>
    </cfRule>
    <cfRule type="beginsWith" dxfId="9502" priority="375" stopIfTrue="1" operator="beginsWith" text="Not Functioning">
      <formula>LEFT(E217,LEN("Not Functioning"))="Not Functioning"</formula>
    </cfRule>
    <cfRule type="containsText" dxfId="9501" priority="376" operator="containsText" text="Functioning">
      <formula>NOT(ISERROR(SEARCH("Functioning",E217)))</formula>
    </cfRule>
  </conditionalFormatting>
  <conditionalFormatting sqref="E256">
    <cfRule type="beginsWith" dxfId="9500" priority="371" stopIfTrue="1" operator="beginsWith" text="Functioning At Risk">
      <formula>LEFT(E256,LEN("Functioning At Risk"))="Functioning At Risk"</formula>
    </cfRule>
    <cfRule type="beginsWith" dxfId="9499" priority="372" stopIfTrue="1" operator="beginsWith" text="Not Functioning">
      <formula>LEFT(E256,LEN("Not Functioning"))="Not Functioning"</formula>
    </cfRule>
    <cfRule type="containsText" dxfId="9498" priority="373" operator="containsText" text="Functioning">
      <formula>NOT(ISERROR(SEARCH("Functioning",E256)))</formula>
    </cfRule>
  </conditionalFormatting>
  <conditionalFormatting sqref="E257">
    <cfRule type="beginsWith" dxfId="9497" priority="368" stopIfTrue="1" operator="beginsWith" text="Functioning At Risk">
      <formula>LEFT(E257,LEN("Functioning At Risk"))="Functioning At Risk"</formula>
    </cfRule>
    <cfRule type="beginsWith" dxfId="9496" priority="369" stopIfTrue="1" operator="beginsWith" text="Not Functioning">
      <formula>LEFT(E257,LEN("Not Functioning"))="Not Functioning"</formula>
    </cfRule>
    <cfRule type="containsText" dxfId="9495" priority="370" operator="containsText" text="Functioning">
      <formula>NOT(ISERROR(SEARCH("Functioning",E257)))</formula>
    </cfRule>
  </conditionalFormatting>
  <conditionalFormatting sqref="E296">
    <cfRule type="beginsWith" dxfId="9494" priority="365" stopIfTrue="1" operator="beginsWith" text="Functioning At Risk">
      <formula>LEFT(E296,LEN("Functioning At Risk"))="Functioning At Risk"</formula>
    </cfRule>
    <cfRule type="beginsWith" dxfId="9493" priority="366" stopIfTrue="1" operator="beginsWith" text="Not Functioning">
      <formula>LEFT(E296,LEN("Not Functioning"))="Not Functioning"</formula>
    </cfRule>
    <cfRule type="containsText" dxfId="9492" priority="367" operator="containsText" text="Functioning">
      <formula>NOT(ISERROR(SEARCH("Functioning",E296)))</formula>
    </cfRule>
  </conditionalFormatting>
  <conditionalFormatting sqref="E297">
    <cfRule type="beginsWith" dxfId="9491" priority="362" stopIfTrue="1" operator="beginsWith" text="Functioning At Risk">
      <formula>LEFT(E297,LEN("Functioning At Risk"))="Functioning At Risk"</formula>
    </cfRule>
    <cfRule type="beginsWith" dxfId="9490" priority="363" stopIfTrue="1" operator="beginsWith" text="Not Functioning">
      <formula>LEFT(E297,LEN("Not Functioning"))="Not Functioning"</formula>
    </cfRule>
    <cfRule type="containsText" dxfId="9489" priority="364" operator="containsText" text="Functioning">
      <formula>NOT(ISERROR(SEARCH("Functioning",E297)))</formula>
    </cfRule>
  </conditionalFormatting>
  <conditionalFormatting sqref="E336">
    <cfRule type="beginsWith" dxfId="9488" priority="359" stopIfTrue="1" operator="beginsWith" text="Functioning At Risk">
      <formula>LEFT(E336,LEN("Functioning At Risk"))="Functioning At Risk"</formula>
    </cfRule>
    <cfRule type="beginsWith" dxfId="9487" priority="360" stopIfTrue="1" operator="beginsWith" text="Not Functioning">
      <formula>LEFT(E336,LEN("Not Functioning"))="Not Functioning"</formula>
    </cfRule>
    <cfRule type="containsText" dxfId="9486" priority="361" operator="containsText" text="Functioning">
      <formula>NOT(ISERROR(SEARCH("Functioning",E336)))</formula>
    </cfRule>
  </conditionalFormatting>
  <conditionalFormatting sqref="E337">
    <cfRule type="beginsWith" dxfId="9485" priority="356" stopIfTrue="1" operator="beginsWith" text="Functioning At Risk">
      <formula>LEFT(E337,LEN("Functioning At Risk"))="Functioning At Risk"</formula>
    </cfRule>
    <cfRule type="beginsWith" dxfId="9484" priority="357" stopIfTrue="1" operator="beginsWith" text="Not Functioning">
      <formula>LEFT(E337,LEN("Not Functioning"))="Not Functioning"</formula>
    </cfRule>
    <cfRule type="containsText" dxfId="9483" priority="358" operator="containsText" text="Functioning">
      <formula>NOT(ISERROR(SEARCH("Functioning",E337)))</formula>
    </cfRule>
  </conditionalFormatting>
  <conditionalFormatting sqref="E376">
    <cfRule type="beginsWith" dxfId="9482" priority="353" stopIfTrue="1" operator="beginsWith" text="Functioning At Risk">
      <formula>LEFT(E376,LEN("Functioning At Risk"))="Functioning At Risk"</formula>
    </cfRule>
    <cfRule type="beginsWith" dxfId="9481" priority="354" stopIfTrue="1" operator="beginsWith" text="Not Functioning">
      <formula>LEFT(E376,LEN("Not Functioning"))="Not Functioning"</formula>
    </cfRule>
    <cfRule type="containsText" dxfId="9480" priority="355" operator="containsText" text="Functioning">
      <formula>NOT(ISERROR(SEARCH("Functioning",E376)))</formula>
    </cfRule>
  </conditionalFormatting>
  <conditionalFormatting sqref="E377">
    <cfRule type="beginsWith" dxfId="9479" priority="350" stopIfTrue="1" operator="beginsWith" text="Functioning At Risk">
      <formula>LEFT(E377,LEN("Functioning At Risk"))="Functioning At Risk"</formula>
    </cfRule>
    <cfRule type="beginsWith" dxfId="9478" priority="351" stopIfTrue="1" operator="beginsWith" text="Not Functioning">
      <formula>LEFT(E377,LEN("Not Functioning"))="Not Functioning"</formula>
    </cfRule>
    <cfRule type="containsText" dxfId="9477" priority="352" operator="containsText" text="Functioning">
      <formula>NOT(ISERROR(SEARCH("Functioning",E377)))</formula>
    </cfRule>
  </conditionalFormatting>
  <conditionalFormatting sqref="E416">
    <cfRule type="beginsWith" dxfId="9476" priority="347" stopIfTrue="1" operator="beginsWith" text="Functioning At Risk">
      <formula>LEFT(E416,LEN("Functioning At Risk"))="Functioning At Risk"</formula>
    </cfRule>
    <cfRule type="beginsWith" dxfId="9475" priority="348" stopIfTrue="1" operator="beginsWith" text="Not Functioning">
      <formula>LEFT(E416,LEN("Not Functioning"))="Not Functioning"</formula>
    </cfRule>
    <cfRule type="containsText" dxfId="9474" priority="349" operator="containsText" text="Functioning">
      <formula>NOT(ISERROR(SEARCH("Functioning",E416)))</formula>
    </cfRule>
  </conditionalFormatting>
  <conditionalFormatting sqref="E417">
    <cfRule type="beginsWith" dxfId="9473" priority="344" stopIfTrue="1" operator="beginsWith" text="Functioning At Risk">
      <formula>LEFT(E417,LEN("Functioning At Risk"))="Functioning At Risk"</formula>
    </cfRule>
    <cfRule type="beginsWith" dxfId="9472" priority="345" stopIfTrue="1" operator="beginsWith" text="Not Functioning">
      <formula>LEFT(E417,LEN("Not Functioning"))="Not Functioning"</formula>
    </cfRule>
    <cfRule type="containsText" dxfId="9471" priority="346" operator="containsText" text="Functioning">
      <formula>NOT(ISERROR(SEARCH("Functioning",E417)))</formula>
    </cfRule>
  </conditionalFormatting>
  <conditionalFormatting sqref="F28 F5:F6 F13:F16">
    <cfRule type="beginsWith" dxfId="9470" priority="341" stopIfTrue="1" operator="beginsWith" text="Functioning At Risk">
      <formula>LEFT(F5,LEN("Functioning At Risk"))="Functioning At Risk"</formula>
    </cfRule>
    <cfRule type="beginsWith" dxfId="9469" priority="342" stopIfTrue="1" operator="beginsWith" text="Not Functioning">
      <formula>LEFT(F5,LEN("Not Functioning"))="Not Functioning"</formula>
    </cfRule>
    <cfRule type="containsText" dxfId="9468" priority="343" operator="containsText" text="Functioning">
      <formula>NOT(ISERROR(SEARCH("Functioning",F5)))</formula>
    </cfRule>
  </conditionalFormatting>
  <conditionalFormatting sqref="F17:F18">
    <cfRule type="beginsWith" dxfId="9467" priority="338" stopIfTrue="1" operator="beginsWith" text="Functioning At Risk">
      <formula>LEFT(F17,LEN("Functioning At Risk"))="Functioning At Risk"</formula>
    </cfRule>
    <cfRule type="beginsWith" dxfId="9466" priority="339" stopIfTrue="1" operator="beginsWith" text="Not Functioning">
      <formula>LEFT(F17,LEN("Not Functioning"))="Not Functioning"</formula>
    </cfRule>
    <cfRule type="containsText" dxfId="9465" priority="340" operator="containsText" text="Functioning">
      <formula>NOT(ISERROR(SEARCH("Functioning",F17)))</formula>
    </cfRule>
  </conditionalFormatting>
  <conditionalFormatting sqref="F37:F38">
    <cfRule type="beginsWith" dxfId="9464" priority="335" stopIfTrue="1" operator="beginsWith" text="Functioning At Risk">
      <formula>LEFT(F37,LEN("Functioning At Risk"))="Functioning At Risk"</formula>
    </cfRule>
    <cfRule type="beginsWith" dxfId="9463" priority="336" stopIfTrue="1" operator="beginsWith" text="Not Functioning">
      <formula>LEFT(F37,LEN("Not Functioning"))="Not Functioning"</formula>
    </cfRule>
    <cfRule type="containsText" dxfId="9462" priority="337" operator="containsText" text="Functioning">
      <formula>NOT(ISERROR(SEARCH("Functioning",F37)))</formula>
    </cfRule>
  </conditionalFormatting>
  <conditionalFormatting sqref="F33:F36">
    <cfRule type="beginsWith" dxfId="9461" priority="332" stopIfTrue="1" operator="beginsWith" text="Functioning At Risk">
      <formula>LEFT(F33,LEN("Functioning At Risk"))="Functioning At Risk"</formula>
    </cfRule>
    <cfRule type="beginsWith" dxfId="9460" priority="333" stopIfTrue="1" operator="beginsWith" text="Not Functioning">
      <formula>LEFT(F33,LEN("Not Functioning"))="Not Functioning"</formula>
    </cfRule>
    <cfRule type="containsText" dxfId="9459" priority="334" operator="containsText" text="Functioning">
      <formula>NOT(ISERROR(SEARCH("Functioning",F33)))</formula>
    </cfRule>
  </conditionalFormatting>
  <conditionalFormatting sqref="F21">
    <cfRule type="beginsWith" dxfId="9458" priority="329" stopIfTrue="1" operator="beginsWith" text="Functioning At Risk">
      <formula>LEFT(F21,LEN("Functioning At Risk"))="Functioning At Risk"</formula>
    </cfRule>
    <cfRule type="beginsWith" dxfId="9457" priority="330" stopIfTrue="1" operator="beginsWith" text="Not Functioning">
      <formula>LEFT(F21,LEN("Not Functioning"))="Not Functioning"</formula>
    </cfRule>
    <cfRule type="containsText" dxfId="9456" priority="331" operator="containsText" text="Functioning">
      <formula>NOT(ISERROR(SEARCH("Functioning",F21)))</formula>
    </cfRule>
  </conditionalFormatting>
  <conditionalFormatting sqref="F7:F8">
    <cfRule type="beginsWith" dxfId="9455" priority="326" stopIfTrue="1" operator="beginsWith" text="Functioning At Risk">
      <formula>LEFT(F7,LEN("Functioning At Risk"))="Functioning At Risk"</formula>
    </cfRule>
    <cfRule type="beginsWith" dxfId="9454" priority="327" stopIfTrue="1" operator="beginsWith" text="Not Functioning">
      <formula>LEFT(F7,LEN("Not Functioning"))="Not Functioning"</formula>
    </cfRule>
    <cfRule type="containsText" dxfId="9453" priority="328" operator="containsText" text="Functioning">
      <formula>NOT(ISERROR(SEARCH("Functioning",F7)))</formula>
    </cfRule>
  </conditionalFormatting>
  <conditionalFormatting sqref="F10">
    <cfRule type="beginsWith" dxfId="9452" priority="323" stopIfTrue="1" operator="beginsWith" text="Functioning At Risk">
      <formula>LEFT(F10,LEN("Functioning At Risk"))="Functioning At Risk"</formula>
    </cfRule>
    <cfRule type="beginsWith" dxfId="9451" priority="324" stopIfTrue="1" operator="beginsWith" text="Not Functioning">
      <formula>LEFT(F10,LEN("Not Functioning"))="Not Functioning"</formula>
    </cfRule>
    <cfRule type="containsText" dxfId="9450" priority="325" operator="containsText" text="Functioning">
      <formula>NOT(ISERROR(SEARCH("Functioning",F10)))</formula>
    </cfRule>
  </conditionalFormatting>
  <conditionalFormatting sqref="F25">
    <cfRule type="beginsWith" dxfId="9449" priority="320" stopIfTrue="1" operator="beginsWith" text="Functioning At Risk">
      <formula>LEFT(F25,LEN("Functioning At Risk"))="Functioning At Risk"</formula>
    </cfRule>
    <cfRule type="beginsWith" dxfId="9448" priority="321" stopIfTrue="1" operator="beginsWith" text="Not Functioning">
      <formula>LEFT(F25,LEN("Not Functioning"))="Not Functioning"</formula>
    </cfRule>
    <cfRule type="containsText" dxfId="9447" priority="322" operator="containsText" text="Functioning">
      <formula>NOT(ISERROR(SEARCH("Functioning",F25)))</formula>
    </cfRule>
  </conditionalFormatting>
  <conditionalFormatting sqref="F22">
    <cfRule type="beginsWith" dxfId="9446" priority="317" stopIfTrue="1" operator="beginsWith" text="Functioning At Risk">
      <formula>LEFT(F22,LEN("Functioning At Risk"))="Functioning At Risk"</formula>
    </cfRule>
    <cfRule type="beginsWith" dxfId="9445" priority="318" stopIfTrue="1" operator="beginsWith" text="Not Functioning">
      <formula>LEFT(F22,LEN("Not Functioning"))="Not Functioning"</formula>
    </cfRule>
    <cfRule type="containsText" dxfId="9444" priority="319" operator="containsText" text="Functioning">
      <formula>NOT(ISERROR(SEARCH("Functioning",F22)))</formula>
    </cfRule>
  </conditionalFormatting>
  <conditionalFormatting sqref="F67 F44:F45 F52:F55">
    <cfRule type="beginsWith" dxfId="9443" priority="314" stopIfTrue="1" operator="beginsWith" text="Functioning At Risk">
      <formula>LEFT(F44,LEN("Functioning At Risk"))="Functioning At Risk"</formula>
    </cfRule>
    <cfRule type="beginsWith" dxfId="9442" priority="315" stopIfTrue="1" operator="beginsWith" text="Not Functioning">
      <formula>LEFT(F44,LEN("Not Functioning"))="Not Functioning"</formula>
    </cfRule>
    <cfRule type="containsText" dxfId="9441" priority="316" operator="containsText" text="Functioning">
      <formula>NOT(ISERROR(SEARCH("Functioning",F44)))</formula>
    </cfRule>
  </conditionalFormatting>
  <conditionalFormatting sqref="F56:F57">
    <cfRule type="beginsWith" dxfId="9440" priority="311" stopIfTrue="1" operator="beginsWith" text="Functioning At Risk">
      <formula>LEFT(F56,LEN("Functioning At Risk"))="Functioning At Risk"</formula>
    </cfRule>
    <cfRule type="beginsWith" dxfId="9439" priority="312" stopIfTrue="1" operator="beginsWith" text="Not Functioning">
      <formula>LEFT(F56,LEN("Not Functioning"))="Not Functioning"</formula>
    </cfRule>
    <cfRule type="containsText" dxfId="9438" priority="313" operator="containsText" text="Functioning">
      <formula>NOT(ISERROR(SEARCH("Functioning",F56)))</formula>
    </cfRule>
  </conditionalFormatting>
  <conditionalFormatting sqref="F76:F77">
    <cfRule type="beginsWith" dxfId="9437" priority="308" stopIfTrue="1" operator="beginsWith" text="Functioning At Risk">
      <formula>LEFT(F76,LEN("Functioning At Risk"))="Functioning At Risk"</formula>
    </cfRule>
    <cfRule type="beginsWith" dxfId="9436" priority="309" stopIfTrue="1" operator="beginsWith" text="Not Functioning">
      <formula>LEFT(F76,LEN("Not Functioning"))="Not Functioning"</formula>
    </cfRule>
    <cfRule type="containsText" dxfId="9435" priority="310" operator="containsText" text="Functioning">
      <formula>NOT(ISERROR(SEARCH("Functioning",F76)))</formula>
    </cfRule>
  </conditionalFormatting>
  <conditionalFormatting sqref="F72:F75">
    <cfRule type="beginsWith" dxfId="9434" priority="305" stopIfTrue="1" operator="beginsWith" text="Functioning At Risk">
      <formula>LEFT(F72,LEN("Functioning At Risk"))="Functioning At Risk"</formula>
    </cfRule>
    <cfRule type="beginsWith" dxfId="9433" priority="306" stopIfTrue="1" operator="beginsWith" text="Not Functioning">
      <formula>LEFT(F72,LEN("Not Functioning"))="Not Functioning"</formula>
    </cfRule>
    <cfRule type="containsText" dxfId="9432" priority="307" operator="containsText" text="Functioning">
      <formula>NOT(ISERROR(SEARCH("Functioning",F72)))</formula>
    </cfRule>
  </conditionalFormatting>
  <conditionalFormatting sqref="F60">
    <cfRule type="beginsWith" dxfId="9431" priority="302" stopIfTrue="1" operator="beginsWith" text="Functioning At Risk">
      <formula>LEFT(F60,LEN("Functioning At Risk"))="Functioning At Risk"</formula>
    </cfRule>
    <cfRule type="beginsWith" dxfId="9430" priority="303" stopIfTrue="1" operator="beginsWith" text="Not Functioning">
      <formula>LEFT(F60,LEN("Not Functioning"))="Not Functioning"</formula>
    </cfRule>
    <cfRule type="containsText" dxfId="9429" priority="304" operator="containsText" text="Functioning">
      <formula>NOT(ISERROR(SEARCH("Functioning",F60)))</formula>
    </cfRule>
  </conditionalFormatting>
  <conditionalFormatting sqref="F46:F47">
    <cfRule type="beginsWith" dxfId="9428" priority="299" stopIfTrue="1" operator="beginsWith" text="Functioning At Risk">
      <formula>LEFT(F46,LEN("Functioning At Risk"))="Functioning At Risk"</formula>
    </cfRule>
    <cfRule type="beginsWith" dxfId="9427" priority="300" stopIfTrue="1" operator="beginsWith" text="Not Functioning">
      <formula>LEFT(F46,LEN("Not Functioning"))="Not Functioning"</formula>
    </cfRule>
    <cfRule type="containsText" dxfId="9426" priority="301" operator="containsText" text="Functioning">
      <formula>NOT(ISERROR(SEARCH("Functioning",F46)))</formula>
    </cfRule>
  </conditionalFormatting>
  <conditionalFormatting sqref="F49">
    <cfRule type="beginsWith" dxfId="9425" priority="296" stopIfTrue="1" operator="beginsWith" text="Functioning At Risk">
      <formula>LEFT(F49,LEN("Functioning At Risk"))="Functioning At Risk"</formula>
    </cfRule>
    <cfRule type="beginsWith" dxfId="9424" priority="297" stopIfTrue="1" operator="beginsWith" text="Not Functioning">
      <formula>LEFT(F49,LEN("Not Functioning"))="Not Functioning"</formula>
    </cfRule>
    <cfRule type="containsText" dxfId="9423" priority="298" operator="containsText" text="Functioning">
      <formula>NOT(ISERROR(SEARCH("Functioning",F49)))</formula>
    </cfRule>
  </conditionalFormatting>
  <conditionalFormatting sqref="F64">
    <cfRule type="beginsWith" dxfId="9422" priority="293" stopIfTrue="1" operator="beginsWith" text="Functioning At Risk">
      <formula>LEFT(F64,LEN("Functioning At Risk"))="Functioning At Risk"</formula>
    </cfRule>
    <cfRule type="beginsWith" dxfId="9421" priority="294" stopIfTrue="1" operator="beginsWith" text="Not Functioning">
      <formula>LEFT(F64,LEN("Not Functioning"))="Not Functioning"</formula>
    </cfRule>
    <cfRule type="containsText" dxfId="9420" priority="295" operator="containsText" text="Functioning">
      <formula>NOT(ISERROR(SEARCH("Functioning",F64)))</formula>
    </cfRule>
  </conditionalFormatting>
  <conditionalFormatting sqref="F61">
    <cfRule type="beginsWith" dxfId="9419" priority="290" stopIfTrue="1" operator="beginsWith" text="Functioning At Risk">
      <formula>LEFT(F61,LEN("Functioning At Risk"))="Functioning At Risk"</formula>
    </cfRule>
    <cfRule type="beginsWith" dxfId="9418" priority="291" stopIfTrue="1" operator="beginsWith" text="Not Functioning">
      <formula>LEFT(F61,LEN("Not Functioning"))="Not Functioning"</formula>
    </cfRule>
    <cfRule type="containsText" dxfId="9417" priority="292" operator="containsText" text="Functioning">
      <formula>NOT(ISERROR(SEARCH("Functioning",F61)))</formula>
    </cfRule>
  </conditionalFormatting>
  <conditionalFormatting sqref="F106 F83:F84 F91:F94">
    <cfRule type="beginsWith" dxfId="9416" priority="287" stopIfTrue="1" operator="beginsWith" text="Functioning At Risk">
      <formula>LEFT(F83,LEN("Functioning At Risk"))="Functioning At Risk"</formula>
    </cfRule>
    <cfRule type="beginsWith" dxfId="9415" priority="288" stopIfTrue="1" operator="beginsWith" text="Not Functioning">
      <formula>LEFT(F83,LEN("Not Functioning"))="Not Functioning"</formula>
    </cfRule>
    <cfRule type="containsText" dxfId="9414" priority="289" operator="containsText" text="Functioning">
      <formula>NOT(ISERROR(SEARCH("Functioning",F83)))</formula>
    </cfRule>
  </conditionalFormatting>
  <conditionalFormatting sqref="F95:F96">
    <cfRule type="beginsWith" dxfId="9413" priority="284" stopIfTrue="1" operator="beginsWith" text="Functioning At Risk">
      <formula>LEFT(F95,LEN("Functioning At Risk"))="Functioning At Risk"</formula>
    </cfRule>
    <cfRule type="beginsWith" dxfId="9412" priority="285" stopIfTrue="1" operator="beginsWith" text="Not Functioning">
      <formula>LEFT(F95,LEN("Not Functioning"))="Not Functioning"</formula>
    </cfRule>
    <cfRule type="containsText" dxfId="9411" priority="286" operator="containsText" text="Functioning">
      <formula>NOT(ISERROR(SEARCH("Functioning",F95)))</formula>
    </cfRule>
  </conditionalFormatting>
  <conditionalFormatting sqref="F115:F116">
    <cfRule type="beginsWith" dxfId="9410" priority="281" stopIfTrue="1" operator="beginsWith" text="Functioning At Risk">
      <formula>LEFT(F115,LEN("Functioning At Risk"))="Functioning At Risk"</formula>
    </cfRule>
    <cfRule type="beginsWith" dxfId="9409" priority="282" stopIfTrue="1" operator="beginsWith" text="Not Functioning">
      <formula>LEFT(F115,LEN("Not Functioning"))="Not Functioning"</formula>
    </cfRule>
    <cfRule type="containsText" dxfId="9408" priority="283" operator="containsText" text="Functioning">
      <formula>NOT(ISERROR(SEARCH("Functioning",F115)))</formula>
    </cfRule>
  </conditionalFormatting>
  <conditionalFormatting sqref="F111:F114">
    <cfRule type="beginsWith" dxfId="9407" priority="278" stopIfTrue="1" operator="beginsWith" text="Functioning At Risk">
      <formula>LEFT(F111,LEN("Functioning At Risk"))="Functioning At Risk"</formula>
    </cfRule>
    <cfRule type="beginsWith" dxfId="9406" priority="279" stopIfTrue="1" operator="beginsWith" text="Not Functioning">
      <formula>LEFT(F111,LEN("Not Functioning"))="Not Functioning"</formula>
    </cfRule>
    <cfRule type="containsText" dxfId="9405" priority="280" operator="containsText" text="Functioning">
      <formula>NOT(ISERROR(SEARCH("Functioning",F111)))</formula>
    </cfRule>
  </conditionalFormatting>
  <conditionalFormatting sqref="F99">
    <cfRule type="beginsWith" dxfId="9404" priority="275" stopIfTrue="1" operator="beginsWith" text="Functioning At Risk">
      <formula>LEFT(F99,LEN("Functioning At Risk"))="Functioning At Risk"</formula>
    </cfRule>
    <cfRule type="beginsWith" dxfId="9403" priority="276" stopIfTrue="1" operator="beginsWith" text="Not Functioning">
      <formula>LEFT(F99,LEN("Not Functioning"))="Not Functioning"</formula>
    </cfRule>
    <cfRule type="containsText" dxfId="9402" priority="277" operator="containsText" text="Functioning">
      <formula>NOT(ISERROR(SEARCH("Functioning",F99)))</formula>
    </cfRule>
  </conditionalFormatting>
  <conditionalFormatting sqref="F85:F86">
    <cfRule type="beginsWith" dxfId="9401" priority="272" stopIfTrue="1" operator="beginsWith" text="Functioning At Risk">
      <formula>LEFT(F85,LEN("Functioning At Risk"))="Functioning At Risk"</formula>
    </cfRule>
    <cfRule type="beginsWith" dxfId="9400" priority="273" stopIfTrue="1" operator="beginsWith" text="Not Functioning">
      <formula>LEFT(F85,LEN("Not Functioning"))="Not Functioning"</formula>
    </cfRule>
    <cfRule type="containsText" dxfId="9399" priority="274" operator="containsText" text="Functioning">
      <formula>NOT(ISERROR(SEARCH("Functioning",F85)))</formula>
    </cfRule>
  </conditionalFormatting>
  <conditionalFormatting sqref="F88">
    <cfRule type="beginsWith" dxfId="9398" priority="269" stopIfTrue="1" operator="beginsWith" text="Functioning At Risk">
      <formula>LEFT(F88,LEN("Functioning At Risk"))="Functioning At Risk"</formula>
    </cfRule>
    <cfRule type="beginsWith" dxfId="9397" priority="270" stopIfTrue="1" operator="beginsWith" text="Not Functioning">
      <formula>LEFT(F88,LEN("Not Functioning"))="Not Functioning"</formula>
    </cfRule>
    <cfRule type="containsText" dxfId="9396" priority="271" operator="containsText" text="Functioning">
      <formula>NOT(ISERROR(SEARCH("Functioning",F88)))</formula>
    </cfRule>
  </conditionalFormatting>
  <conditionalFormatting sqref="F103">
    <cfRule type="beginsWith" dxfId="9395" priority="266" stopIfTrue="1" operator="beginsWith" text="Functioning At Risk">
      <formula>LEFT(F103,LEN("Functioning At Risk"))="Functioning At Risk"</formula>
    </cfRule>
    <cfRule type="beginsWith" dxfId="9394" priority="267" stopIfTrue="1" operator="beginsWith" text="Not Functioning">
      <formula>LEFT(F103,LEN("Not Functioning"))="Not Functioning"</formula>
    </cfRule>
    <cfRule type="containsText" dxfId="9393" priority="268" operator="containsText" text="Functioning">
      <formula>NOT(ISERROR(SEARCH("Functioning",F103)))</formula>
    </cfRule>
  </conditionalFormatting>
  <conditionalFormatting sqref="F100">
    <cfRule type="beginsWith" dxfId="9392" priority="263" stopIfTrue="1" operator="beginsWith" text="Functioning At Risk">
      <formula>LEFT(F100,LEN("Functioning At Risk"))="Functioning At Risk"</formula>
    </cfRule>
    <cfRule type="beginsWith" dxfId="9391" priority="264" stopIfTrue="1" operator="beginsWith" text="Not Functioning">
      <formula>LEFT(F100,LEN("Not Functioning"))="Not Functioning"</formula>
    </cfRule>
    <cfRule type="containsText" dxfId="9390" priority="265" operator="containsText" text="Functioning">
      <formula>NOT(ISERROR(SEARCH("Functioning",F100)))</formula>
    </cfRule>
  </conditionalFormatting>
  <conditionalFormatting sqref="F145 F122:F123 F130:F133">
    <cfRule type="beginsWith" dxfId="9389" priority="260" stopIfTrue="1" operator="beginsWith" text="Functioning At Risk">
      <formula>LEFT(F122,LEN("Functioning At Risk"))="Functioning At Risk"</formula>
    </cfRule>
    <cfRule type="beginsWith" dxfId="9388" priority="261" stopIfTrue="1" operator="beginsWith" text="Not Functioning">
      <formula>LEFT(F122,LEN("Not Functioning"))="Not Functioning"</formula>
    </cfRule>
    <cfRule type="containsText" dxfId="9387" priority="262" operator="containsText" text="Functioning">
      <formula>NOT(ISERROR(SEARCH("Functioning",F122)))</formula>
    </cfRule>
  </conditionalFormatting>
  <conditionalFormatting sqref="F134:F135">
    <cfRule type="beginsWith" dxfId="9386" priority="257" stopIfTrue="1" operator="beginsWith" text="Functioning At Risk">
      <formula>LEFT(F134,LEN("Functioning At Risk"))="Functioning At Risk"</formula>
    </cfRule>
    <cfRule type="beginsWith" dxfId="9385" priority="258" stopIfTrue="1" operator="beginsWith" text="Not Functioning">
      <formula>LEFT(F134,LEN("Not Functioning"))="Not Functioning"</formula>
    </cfRule>
    <cfRule type="containsText" dxfId="9384" priority="259" operator="containsText" text="Functioning">
      <formula>NOT(ISERROR(SEARCH("Functioning",F134)))</formula>
    </cfRule>
  </conditionalFormatting>
  <conditionalFormatting sqref="F154:F155">
    <cfRule type="beginsWith" dxfId="9383" priority="254" stopIfTrue="1" operator="beginsWith" text="Functioning At Risk">
      <formula>LEFT(F154,LEN("Functioning At Risk"))="Functioning At Risk"</formula>
    </cfRule>
    <cfRule type="beginsWith" dxfId="9382" priority="255" stopIfTrue="1" operator="beginsWith" text="Not Functioning">
      <formula>LEFT(F154,LEN("Not Functioning"))="Not Functioning"</formula>
    </cfRule>
    <cfRule type="containsText" dxfId="9381" priority="256" operator="containsText" text="Functioning">
      <formula>NOT(ISERROR(SEARCH("Functioning",F154)))</formula>
    </cfRule>
  </conditionalFormatting>
  <conditionalFormatting sqref="F150:F153">
    <cfRule type="beginsWith" dxfId="9380" priority="251" stopIfTrue="1" operator="beginsWith" text="Functioning At Risk">
      <formula>LEFT(F150,LEN("Functioning At Risk"))="Functioning At Risk"</formula>
    </cfRule>
    <cfRule type="beginsWith" dxfId="9379" priority="252" stopIfTrue="1" operator="beginsWith" text="Not Functioning">
      <formula>LEFT(F150,LEN("Not Functioning"))="Not Functioning"</formula>
    </cfRule>
    <cfRule type="containsText" dxfId="9378" priority="253" operator="containsText" text="Functioning">
      <formula>NOT(ISERROR(SEARCH("Functioning",F150)))</formula>
    </cfRule>
  </conditionalFormatting>
  <conditionalFormatting sqref="F138">
    <cfRule type="beginsWith" dxfId="9377" priority="248" stopIfTrue="1" operator="beginsWith" text="Functioning At Risk">
      <formula>LEFT(F138,LEN("Functioning At Risk"))="Functioning At Risk"</formula>
    </cfRule>
    <cfRule type="beginsWith" dxfId="9376" priority="249" stopIfTrue="1" operator="beginsWith" text="Not Functioning">
      <formula>LEFT(F138,LEN("Not Functioning"))="Not Functioning"</formula>
    </cfRule>
    <cfRule type="containsText" dxfId="9375" priority="250" operator="containsText" text="Functioning">
      <formula>NOT(ISERROR(SEARCH("Functioning",F138)))</formula>
    </cfRule>
  </conditionalFormatting>
  <conditionalFormatting sqref="F124:F125">
    <cfRule type="beginsWith" dxfId="9374" priority="245" stopIfTrue="1" operator="beginsWith" text="Functioning At Risk">
      <formula>LEFT(F124,LEN("Functioning At Risk"))="Functioning At Risk"</formula>
    </cfRule>
    <cfRule type="beginsWith" dxfId="9373" priority="246" stopIfTrue="1" operator="beginsWith" text="Not Functioning">
      <formula>LEFT(F124,LEN("Not Functioning"))="Not Functioning"</formula>
    </cfRule>
    <cfRule type="containsText" dxfId="9372" priority="247" operator="containsText" text="Functioning">
      <formula>NOT(ISERROR(SEARCH("Functioning",F124)))</formula>
    </cfRule>
  </conditionalFormatting>
  <conditionalFormatting sqref="F127">
    <cfRule type="beginsWith" dxfId="9371" priority="242" stopIfTrue="1" operator="beginsWith" text="Functioning At Risk">
      <formula>LEFT(F127,LEN("Functioning At Risk"))="Functioning At Risk"</formula>
    </cfRule>
    <cfRule type="beginsWith" dxfId="9370" priority="243" stopIfTrue="1" operator="beginsWith" text="Not Functioning">
      <formula>LEFT(F127,LEN("Not Functioning"))="Not Functioning"</formula>
    </cfRule>
    <cfRule type="containsText" dxfId="9369" priority="244" operator="containsText" text="Functioning">
      <formula>NOT(ISERROR(SEARCH("Functioning",F127)))</formula>
    </cfRule>
  </conditionalFormatting>
  <conditionalFormatting sqref="F142">
    <cfRule type="beginsWith" dxfId="9368" priority="239" stopIfTrue="1" operator="beginsWith" text="Functioning At Risk">
      <formula>LEFT(F142,LEN("Functioning At Risk"))="Functioning At Risk"</formula>
    </cfRule>
    <cfRule type="beginsWith" dxfId="9367" priority="240" stopIfTrue="1" operator="beginsWith" text="Not Functioning">
      <formula>LEFT(F142,LEN("Not Functioning"))="Not Functioning"</formula>
    </cfRule>
    <cfRule type="containsText" dxfId="9366" priority="241" operator="containsText" text="Functioning">
      <formula>NOT(ISERROR(SEARCH("Functioning",F142)))</formula>
    </cfRule>
  </conditionalFormatting>
  <conditionalFormatting sqref="F139">
    <cfRule type="beginsWith" dxfId="9365" priority="236" stopIfTrue="1" operator="beginsWith" text="Functioning At Risk">
      <formula>LEFT(F139,LEN("Functioning At Risk"))="Functioning At Risk"</formula>
    </cfRule>
    <cfRule type="beginsWith" dxfId="9364" priority="237" stopIfTrue="1" operator="beginsWith" text="Not Functioning">
      <formula>LEFT(F139,LEN("Not Functioning"))="Not Functioning"</formula>
    </cfRule>
    <cfRule type="containsText" dxfId="9363" priority="238" operator="containsText" text="Functioning">
      <formula>NOT(ISERROR(SEARCH("Functioning",F139)))</formula>
    </cfRule>
  </conditionalFormatting>
  <conditionalFormatting sqref="F184 F161:F162 F169:F172">
    <cfRule type="beginsWith" dxfId="9362" priority="233" stopIfTrue="1" operator="beginsWith" text="Functioning At Risk">
      <formula>LEFT(F161,LEN("Functioning At Risk"))="Functioning At Risk"</formula>
    </cfRule>
    <cfRule type="beginsWith" dxfId="9361" priority="234" stopIfTrue="1" operator="beginsWith" text="Not Functioning">
      <formula>LEFT(F161,LEN("Not Functioning"))="Not Functioning"</formula>
    </cfRule>
    <cfRule type="containsText" dxfId="9360" priority="235" operator="containsText" text="Functioning">
      <formula>NOT(ISERROR(SEARCH("Functioning",F161)))</formula>
    </cfRule>
  </conditionalFormatting>
  <conditionalFormatting sqref="F173:F174">
    <cfRule type="beginsWith" dxfId="9359" priority="230" stopIfTrue="1" operator="beginsWith" text="Functioning At Risk">
      <formula>LEFT(F173,LEN("Functioning At Risk"))="Functioning At Risk"</formula>
    </cfRule>
    <cfRule type="beginsWith" dxfId="9358" priority="231" stopIfTrue="1" operator="beginsWith" text="Not Functioning">
      <formula>LEFT(F173,LEN("Not Functioning"))="Not Functioning"</formula>
    </cfRule>
    <cfRule type="containsText" dxfId="9357" priority="232" operator="containsText" text="Functioning">
      <formula>NOT(ISERROR(SEARCH("Functioning",F173)))</formula>
    </cfRule>
  </conditionalFormatting>
  <conditionalFormatting sqref="F193:F194">
    <cfRule type="beginsWith" dxfId="9356" priority="227" stopIfTrue="1" operator="beginsWith" text="Functioning At Risk">
      <formula>LEFT(F193,LEN("Functioning At Risk"))="Functioning At Risk"</formula>
    </cfRule>
    <cfRule type="beginsWith" dxfId="9355" priority="228" stopIfTrue="1" operator="beginsWith" text="Not Functioning">
      <formula>LEFT(F193,LEN("Not Functioning"))="Not Functioning"</formula>
    </cfRule>
    <cfRule type="containsText" dxfId="9354" priority="229" operator="containsText" text="Functioning">
      <formula>NOT(ISERROR(SEARCH("Functioning",F193)))</formula>
    </cfRule>
  </conditionalFormatting>
  <conditionalFormatting sqref="F189:F192">
    <cfRule type="beginsWith" dxfId="9353" priority="224" stopIfTrue="1" operator="beginsWith" text="Functioning At Risk">
      <formula>LEFT(F189,LEN("Functioning At Risk"))="Functioning At Risk"</formula>
    </cfRule>
    <cfRule type="beginsWith" dxfId="9352" priority="225" stopIfTrue="1" operator="beginsWith" text="Not Functioning">
      <formula>LEFT(F189,LEN("Not Functioning"))="Not Functioning"</formula>
    </cfRule>
    <cfRule type="containsText" dxfId="9351" priority="226" operator="containsText" text="Functioning">
      <formula>NOT(ISERROR(SEARCH("Functioning",F189)))</formula>
    </cfRule>
  </conditionalFormatting>
  <conditionalFormatting sqref="F177">
    <cfRule type="beginsWith" dxfId="9350" priority="221" stopIfTrue="1" operator="beginsWith" text="Functioning At Risk">
      <formula>LEFT(F177,LEN("Functioning At Risk"))="Functioning At Risk"</formula>
    </cfRule>
    <cfRule type="beginsWith" dxfId="9349" priority="222" stopIfTrue="1" operator="beginsWith" text="Not Functioning">
      <formula>LEFT(F177,LEN("Not Functioning"))="Not Functioning"</formula>
    </cfRule>
    <cfRule type="containsText" dxfId="9348" priority="223" operator="containsText" text="Functioning">
      <formula>NOT(ISERROR(SEARCH("Functioning",F177)))</formula>
    </cfRule>
  </conditionalFormatting>
  <conditionalFormatting sqref="F163:F164">
    <cfRule type="beginsWith" dxfId="9347" priority="218" stopIfTrue="1" operator="beginsWith" text="Functioning At Risk">
      <formula>LEFT(F163,LEN("Functioning At Risk"))="Functioning At Risk"</formula>
    </cfRule>
    <cfRule type="beginsWith" dxfId="9346" priority="219" stopIfTrue="1" operator="beginsWith" text="Not Functioning">
      <formula>LEFT(F163,LEN("Not Functioning"))="Not Functioning"</formula>
    </cfRule>
    <cfRule type="containsText" dxfId="9345" priority="220" operator="containsText" text="Functioning">
      <formula>NOT(ISERROR(SEARCH("Functioning",F163)))</formula>
    </cfRule>
  </conditionalFormatting>
  <conditionalFormatting sqref="F166">
    <cfRule type="beginsWith" dxfId="9344" priority="215" stopIfTrue="1" operator="beginsWith" text="Functioning At Risk">
      <formula>LEFT(F166,LEN("Functioning At Risk"))="Functioning At Risk"</formula>
    </cfRule>
    <cfRule type="beginsWith" dxfId="9343" priority="216" stopIfTrue="1" operator="beginsWith" text="Not Functioning">
      <formula>LEFT(F166,LEN("Not Functioning"))="Not Functioning"</formula>
    </cfRule>
    <cfRule type="containsText" dxfId="9342" priority="217" operator="containsText" text="Functioning">
      <formula>NOT(ISERROR(SEARCH("Functioning",F166)))</formula>
    </cfRule>
  </conditionalFormatting>
  <conditionalFormatting sqref="F181">
    <cfRule type="beginsWith" dxfId="9341" priority="212" stopIfTrue="1" operator="beginsWith" text="Functioning At Risk">
      <formula>LEFT(F181,LEN("Functioning At Risk"))="Functioning At Risk"</formula>
    </cfRule>
    <cfRule type="beginsWith" dxfId="9340" priority="213" stopIfTrue="1" operator="beginsWith" text="Not Functioning">
      <formula>LEFT(F181,LEN("Not Functioning"))="Not Functioning"</formula>
    </cfRule>
    <cfRule type="containsText" dxfId="9339" priority="214" operator="containsText" text="Functioning">
      <formula>NOT(ISERROR(SEARCH("Functioning",F181)))</formula>
    </cfRule>
  </conditionalFormatting>
  <conditionalFormatting sqref="F178">
    <cfRule type="beginsWith" dxfId="9338" priority="209" stopIfTrue="1" operator="beginsWith" text="Functioning At Risk">
      <formula>LEFT(F178,LEN("Functioning At Risk"))="Functioning At Risk"</formula>
    </cfRule>
    <cfRule type="beginsWith" dxfId="9337" priority="210" stopIfTrue="1" operator="beginsWith" text="Not Functioning">
      <formula>LEFT(F178,LEN("Not Functioning"))="Not Functioning"</formula>
    </cfRule>
    <cfRule type="containsText" dxfId="9336" priority="211" operator="containsText" text="Functioning">
      <formula>NOT(ISERROR(SEARCH("Functioning",F178)))</formula>
    </cfRule>
  </conditionalFormatting>
  <conditionalFormatting sqref="F223 F200:F201 F208:F211">
    <cfRule type="beginsWith" dxfId="9335" priority="206" stopIfTrue="1" operator="beginsWith" text="Functioning At Risk">
      <formula>LEFT(F200,LEN("Functioning At Risk"))="Functioning At Risk"</formula>
    </cfRule>
    <cfRule type="beginsWith" dxfId="9334" priority="207" stopIfTrue="1" operator="beginsWith" text="Not Functioning">
      <formula>LEFT(F200,LEN("Not Functioning"))="Not Functioning"</formula>
    </cfRule>
    <cfRule type="containsText" dxfId="9333" priority="208" operator="containsText" text="Functioning">
      <formula>NOT(ISERROR(SEARCH("Functioning",F200)))</formula>
    </cfRule>
  </conditionalFormatting>
  <conditionalFormatting sqref="F212:F213">
    <cfRule type="beginsWith" dxfId="9332" priority="203" stopIfTrue="1" operator="beginsWith" text="Functioning At Risk">
      <formula>LEFT(F212,LEN("Functioning At Risk"))="Functioning At Risk"</formula>
    </cfRule>
    <cfRule type="beginsWith" dxfId="9331" priority="204" stopIfTrue="1" operator="beginsWith" text="Not Functioning">
      <formula>LEFT(F212,LEN("Not Functioning"))="Not Functioning"</formula>
    </cfRule>
    <cfRule type="containsText" dxfId="9330" priority="205" operator="containsText" text="Functioning">
      <formula>NOT(ISERROR(SEARCH("Functioning",F212)))</formula>
    </cfRule>
  </conditionalFormatting>
  <conditionalFormatting sqref="F232:F233">
    <cfRule type="beginsWith" dxfId="9329" priority="200" stopIfTrue="1" operator="beginsWith" text="Functioning At Risk">
      <formula>LEFT(F232,LEN("Functioning At Risk"))="Functioning At Risk"</formula>
    </cfRule>
    <cfRule type="beginsWith" dxfId="9328" priority="201" stopIfTrue="1" operator="beginsWith" text="Not Functioning">
      <formula>LEFT(F232,LEN("Not Functioning"))="Not Functioning"</formula>
    </cfRule>
    <cfRule type="containsText" dxfId="9327" priority="202" operator="containsText" text="Functioning">
      <formula>NOT(ISERROR(SEARCH("Functioning",F232)))</formula>
    </cfRule>
  </conditionalFormatting>
  <conditionalFormatting sqref="F228:F231">
    <cfRule type="beginsWith" dxfId="9326" priority="197" stopIfTrue="1" operator="beginsWith" text="Functioning At Risk">
      <formula>LEFT(F228,LEN("Functioning At Risk"))="Functioning At Risk"</formula>
    </cfRule>
    <cfRule type="beginsWith" dxfId="9325" priority="198" stopIfTrue="1" operator="beginsWith" text="Not Functioning">
      <formula>LEFT(F228,LEN("Not Functioning"))="Not Functioning"</formula>
    </cfRule>
    <cfRule type="containsText" dxfId="9324" priority="199" operator="containsText" text="Functioning">
      <formula>NOT(ISERROR(SEARCH("Functioning",F228)))</formula>
    </cfRule>
  </conditionalFormatting>
  <conditionalFormatting sqref="F216">
    <cfRule type="beginsWith" dxfId="9323" priority="194" stopIfTrue="1" operator="beginsWith" text="Functioning At Risk">
      <formula>LEFT(F216,LEN("Functioning At Risk"))="Functioning At Risk"</formula>
    </cfRule>
    <cfRule type="beginsWith" dxfId="9322" priority="195" stopIfTrue="1" operator="beginsWith" text="Not Functioning">
      <formula>LEFT(F216,LEN("Not Functioning"))="Not Functioning"</formula>
    </cfRule>
    <cfRule type="containsText" dxfId="9321" priority="196" operator="containsText" text="Functioning">
      <formula>NOT(ISERROR(SEARCH("Functioning",F216)))</formula>
    </cfRule>
  </conditionalFormatting>
  <conditionalFormatting sqref="F202:F203">
    <cfRule type="beginsWith" dxfId="9320" priority="191" stopIfTrue="1" operator="beginsWith" text="Functioning At Risk">
      <formula>LEFT(F202,LEN("Functioning At Risk"))="Functioning At Risk"</formula>
    </cfRule>
    <cfRule type="beginsWith" dxfId="9319" priority="192" stopIfTrue="1" operator="beginsWith" text="Not Functioning">
      <formula>LEFT(F202,LEN("Not Functioning"))="Not Functioning"</formula>
    </cfRule>
    <cfRule type="containsText" dxfId="9318" priority="193" operator="containsText" text="Functioning">
      <formula>NOT(ISERROR(SEARCH("Functioning",F202)))</formula>
    </cfRule>
  </conditionalFormatting>
  <conditionalFormatting sqref="F205">
    <cfRule type="beginsWith" dxfId="9317" priority="188" stopIfTrue="1" operator="beginsWith" text="Functioning At Risk">
      <formula>LEFT(F205,LEN("Functioning At Risk"))="Functioning At Risk"</formula>
    </cfRule>
    <cfRule type="beginsWith" dxfId="9316" priority="189" stopIfTrue="1" operator="beginsWith" text="Not Functioning">
      <formula>LEFT(F205,LEN("Not Functioning"))="Not Functioning"</formula>
    </cfRule>
    <cfRule type="containsText" dxfId="9315" priority="190" operator="containsText" text="Functioning">
      <formula>NOT(ISERROR(SEARCH("Functioning",F205)))</formula>
    </cfRule>
  </conditionalFormatting>
  <conditionalFormatting sqref="F220">
    <cfRule type="beginsWith" dxfId="9314" priority="185" stopIfTrue="1" operator="beginsWith" text="Functioning At Risk">
      <formula>LEFT(F220,LEN("Functioning At Risk"))="Functioning At Risk"</formula>
    </cfRule>
    <cfRule type="beginsWith" dxfId="9313" priority="186" stopIfTrue="1" operator="beginsWith" text="Not Functioning">
      <formula>LEFT(F220,LEN("Not Functioning"))="Not Functioning"</formula>
    </cfRule>
    <cfRule type="containsText" dxfId="9312" priority="187" operator="containsText" text="Functioning">
      <formula>NOT(ISERROR(SEARCH("Functioning",F220)))</formula>
    </cfRule>
  </conditionalFormatting>
  <conditionalFormatting sqref="F217">
    <cfRule type="beginsWith" dxfId="9311" priority="182" stopIfTrue="1" operator="beginsWith" text="Functioning At Risk">
      <formula>LEFT(F217,LEN("Functioning At Risk"))="Functioning At Risk"</formula>
    </cfRule>
    <cfRule type="beginsWith" dxfId="9310" priority="183" stopIfTrue="1" operator="beginsWith" text="Not Functioning">
      <formula>LEFT(F217,LEN("Not Functioning"))="Not Functioning"</formula>
    </cfRule>
    <cfRule type="containsText" dxfId="9309" priority="184" operator="containsText" text="Functioning">
      <formula>NOT(ISERROR(SEARCH("Functioning",F217)))</formula>
    </cfRule>
  </conditionalFormatting>
  <conditionalFormatting sqref="F263 F240:F241 F248:F251">
    <cfRule type="beginsWith" dxfId="9308" priority="179" stopIfTrue="1" operator="beginsWith" text="Functioning At Risk">
      <formula>LEFT(F240,LEN("Functioning At Risk"))="Functioning At Risk"</formula>
    </cfRule>
    <cfRule type="beginsWith" dxfId="9307" priority="180" stopIfTrue="1" operator="beginsWith" text="Not Functioning">
      <formula>LEFT(F240,LEN("Not Functioning"))="Not Functioning"</formula>
    </cfRule>
    <cfRule type="containsText" dxfId="9306" priority="181" operator="containsText" text="Functioning">
      <formula>NOT(ISERROR(SEARCH("Functioning",F240)))</formula>
    </cfRule>
  </conditionalFormatting>
  <conditionalFormatting sqref="F252:F253">
    <cfRule type="beginsWith" dxfId="9305" priority="176" stopIfTrue="1" operator="beginsWith" text="Functioning At Risk">
      <formula>LEFT(F252,LEN("Functioning At Risk"))="Functioning At Risk"</formula>
    </cfRule>
    <cfRule type="beginsWith" dxfId="9304" priority="177" stopIfTrue="1" operator="beginsWith" text="Not Functioning">
      <formula>LEFT(F252,LEN("Not Functioning"))="Not Functioning"</formula>
    </cfRule>
    <cfRule type="containsText" dxfId="9303" priority="178" operator="containsText" text="Functioning">
      <formula>NOT(ISERROR(SEARCH("Functioning",F252)))</formula>
    </cfRule>
  </conditionalFormatting>
  <conditionalFormatting sqref="F272:F273">
    <cfRule type="beginsWith" dxfId="9302" priority="173" stopIfTrue="1" operator="beginsWith" text="Functioning At Risk">
      <formula>LEFT(F272,LEN("Functioning At Risk"))="Functioning At Risk"</formula>
    </cfRule>
    <cfRule type="beginsWith" dxfId="9301" priority="174" stopIfTrue="1" operator="beginsWith" text="Not Functioning">
      <formula>LEFT(F272,LEN("Not Functioning"))="Not Functioning"</formula>
    </cfRule>
    <cfRule type="containsText" dxfId="9300" priority="175" operator="containsText" text="Functioning">
      <formula>NOT(ISERROR(SEARCH("Functioning",F272)))</formula>
    </cfRule>
  </conditionalFormatting>
  <conditionalFormatting sqref="F268:F271">
    <cfRule type="beginsWith" dxfId="9299" priority="170" stopIfTrue="1" operator="beginsWith" text="Functioning At Risk">
      <formula>LEFT(F268,LEN("Functioning At Risk"))="Functioning At Risk"</formula>
    </cfRule>
    <cfRule type="beginsWith" dxfId="9298" priority="171" stopIfTrue="1" operator="beginsWith" text="Not Functioning">
      <formula>LEFT(F268,LEN("Not Functioning"))="Not Functioning"</formula>
    </cfRule>
    <cfRule type="containsText" dxfId="9297" priority="172" operator="containsText" text="Functioning">
      <formula>NOT(ISERROR(SEARCH("Functioning",F268)))</formula>
    </cfRule>
  </conditionalFormatting>
  <conditionalFormatting sqref="F256">
    <cfRule type="beginsWith" dxfId="9296" priority="167" stopIfTrue="1" operator="beginsWith" text="Functioning At Risk">
      <formula>LEFT(F256,LEN("Functioning At Risk"))="Functioning At Risk"</formula>
    </cfRule>
    <cfRule type="beginsWith" dxfId="9295" priority="168" stopIfTrue="1" operator="beginsWith" text="Not Functioning">
      <formula>LEFT(F256,LEN("Not Functioning"))="Not Functioning"</formula>
    </cfRule>
    <cfRule type="containsText" dxfId="9294" priority="169" operator="containsText" text="Functioning">
      <formula>NOT(ISERROR(SEARCH("Functioning",F256)))</formula>
    </cfRule>
  </conditionalFormatting>
  <conditionalFormatting sqref="F242:F243">
    <cfRule type="beginsWith" dxfId="9293" priority="164" stopIfTrue="1" operator="beginsWith" text="Functioning At Risk">
      <formula>LEFT(F242,LEN("Functioning At Risk"))="Functioning At Risk"</formula>
    </cfRule>
    <cfRule type="beginsWith" dxfId="9292" priority="165" stopIfTrue="1" operator="beginsWith" text="Not Functioning">
      <formula>LEFT(F242,LEN("Not Functioning"))="Not Functioning"</formula>
    </cfRule>
    <cfRule type="containsText" dxfId="9291" priority="166" operator="containsText" text="Functioning">
      <formula>NOT(ISERROR(SEARCH("Functioning",F242)))</formula>
    </cfRule>
  </conditionalFormatting>
  <conditionalFormatting sqref="F245">
    <cfRule type="beginsWith" dxfId="9290" priority="161" stopIfTrue="1" operator="beginsWith" text="Functioning At Risk">
      <formula>LEFT(F245,LEN("Functioning At Risk"))="Functioning At Risk"</formula>
    </cfRule>
    <cfRule type="beginsWith" dxfId="9289" priority="162" stopIfTrue="1" operator="beginsWith" text="Not Functioning">
      <formula>LEFT(F245,LEN("Not Functioning"))="Not Functioning"</formula>
    </cfRule>
    <cfRule type="containsText" dxfId="9288" priority="163" operator="containsText" text="Functioning">
      <formula>NOT(ISERROR(SEARCH("Functioning",F245)))</formula>
    </cfRule>
  </conditionalFormatting>
  <conditionalFormatting sqref="F260">
    <cfRule type="beginsWith" dxfId="9287" priority="158" stopIfTrue="1" operator="beginsWith" text="Functioning At Risk">
      <formula>LEFT(F260,LEN("Functioning At Risk"))="Functioning At Risk"</formula>
    </cfRule>
    <cfRule type="beginsWith" dxfId="9286" priority="159" stopIfTrue="1" operator="beginsWith" text="Not Functioning">
      <formula>LEFT(F260,LEN("Not Functioning"))="Not Functioning"</formula>
    </cfRule>
    <cfRule type="containsText" dxfId="9285" priority="160" operator="containsText" text="Functioning">
      <formula>NOT(ISERROR(SEARCH("Functioning",F260)))</formula>
    </cfRule>
  </conditionalFormatting>
  <conditionalFormatting sqref="F257">
    <cfRule type="beginsWith" dxfId="9284" priority="155" stopIfTrue="1" operator="beginsWith" text="Functioning At Risk">
      <formula>LEFT(F257,LEN("Functioning At Risk"))="Functioning At Risk"</formula>
    </cfRule>
    <cfRule type="beginsWith" dxfId="9283" priority="156" stopIfTrue="1" operator="beginsWith" text="Not Functioning">
      <formula>LEFT(F257,LEN("Not Functioning"))="Not Functioning"</formula>
    </cfRule>
    <cfRule type="containsText" dxfId="9282" priority="157" operator="containsText" text="Functioning">
      <formula>NOT(ISERROR(SEARCH("Functioning",F257)))</formula>
    </cfRule>
  </conditionalFormatting>
  <conditionalFormatting sqref="F303 F280:F281 F288:F291">
    <cfRule type="beginsWith" dxfId="9281" priority="152" stopIfTrue="1" operator="beginsWith" text="Functioning At Risk">
      <formula>LEFT(F280,LEN("Functioning At Risk"))="Functioning At Risk"</formula>
    </cfRule>
    <cfRule type="beginsWith" dxfId="9280" priority="153" stopIfTrue="1" operator="beginsWith" text="Not Functioning">
      <formula>LEFT(F280,LEN("Not Functioning"))="Not Functioning"</formula>
    </cfRule>
    <cfRule type="containsText" dxfId="9279" priority="154" operator="containsText" text="Functioning">
      <formula>NOT(ISERROR(SEARCH("Functioning",F280)))</formula>
    </cfRule>
  </conditionalFormatting>
  <conditionalFormatting sqref="F292:F293">
    <cfRule type="beginsWith" dxfId="9278" priority="149" stopIfTrue="1" operator="beginsWith" text="Functioning At Risk">
      <formula>LEFT(F292,LEN("Functioning At Risk"))="Functioning At Risk"</formula>
    </cfRule>
    <cfRule type="beginsWith" dxfId="9277" priority="150" stopIfTrue="1" operator="beginsWith" text="Not Functioning">
      <formula>LEFT(F292,LEN("Not Functioning"))="Not Functioning"</formula>
    </cfRule>
    <cfRule type="containsText" dxfId="9276" priority="151" operator="containsText" text="Functioning">
      <formula>NOT(ISERROR(SEARCH("Functioning",F292)))</formula>
    </cfRule>
  </conditionalFormatting>
  <conditionalFormatting sqref="F312:F313">
    <cfRule type="beginsWith" dxfId="9275" priority="146" stopIfTrue="1" operator="beginsWith" text="Functioning At Risk">
      <formula>LEFT(F312,LEN("Functioning At Risk"))="Functioning At Risk"</formula>
    </cfRule>
    <cfRule type="beginsWith" dxfId="9274" priority="147" stopIfTrue="1" operator="beginsWith" text="Not Functioning">
      <formula>LEFT(F312,LEN("Not Functioning"))="Not Functioning"</formula>
    </cfRule>
    <cfRule type="containsText" dxfId="9273" priority="148" operator="containsText" text="Functioning">
      <formula>NOT(ISERROR(SEARCH("Functioning",F312)))</formula>
    </cfRule>
  </conditionalFormatting>
  <conditionalFormatting sqref="F308:F311">
    <cfRule type="beginsWith" dxfId="9272" priority="143" stopIfTrue="1" operator="beginsWith" text="Functioning At Risk">
      <formula>LEFT(F308,LEN("Functioning At Risk"))="Functioning At Risk"</formula>
    </cfRule>
    <cfRule type="beginsWith" dxfId="9271" priority="144" stopIfTrue="1" operator="beginsWith" text="Not Functioning">
      <formula>LEFT(F308,LEN("Not Functioning"))="Not Functioning"</formula>
    </cfRule>
    <cfRule type="containsText" dxfId="9270" priority="145" operator="containsText" text="Functioning">
      <formula>NOT(ISERROR(SEARCH("Functioning",F308)))</formula>
    </cfRule>
  </conditionalFormatting>
  <conditionalFormatting sqref="F296">
    <cfRule type="beginsWith" dxfId="9269" priority="140" stopIfTrue="1" operator="beginsWith" text="Functioning At Risk">
      <formula>LEFT(F296,LEN("Functioning At Risk"))="Functioning At Risk"</formula>
    </cfRule>
    <cfRule type="beginsWith" dxfId="9268" priority="141" stopIfTrue="1" operator="beginsWith" text="Not Functioning">
      <formula>LEFT(F296,LEN("Not Functioning"))="Not Functioning"</formula>
    </cfRule>
    <cfRule type="containsText" dxfId="9267" priority="142" operator="containsText" text="Functioning">
      <formula>NOT(ISERROR(SEARCH("Functioning",F296)))</formula>
    </cfRule>
  </conditionalFormatting>
  <conditionalFormatting sqref="F282:F283">
    <cfRule type="beginsWith" dxfId="9266" priority="137" stopIfTrue="1" operator="beginsWith" text="Functioning At Risk">
      <formula>LEFT(F282,LEN("Functioning At Risk"))="Functioning At Risk"</formula>
    </cfRule>
    <cfRule type="beginsWith" dxfId="9265" priority="138" stopIfTrue="1" operator="beginsWith" text="Not Functioning">
      <formula>LEFT(F282,LEN("Not Functioning"))="Not Functioning"</formula>
    </cfRule>
    <cfRule type="containsText" dxfId="9264" priority="139" operator="containsText" text="Functioning">
      <formula>NOT(ISERROR(SEARCH("Functioning",F282)))</formula>
    </cfRule>
  </conditionalFormatting>
  <conditionalFormatting sqref="F285">
    <cfRule type="beginsWith" dxfId="9263" priority="134" stopIfTrue="1" operator="beginsWith" text="Functioning At Risk">
      <formula>LEFT(F285,LEN("Functioning At Risk"))="Functioning At Risk"</formula>
    </cfRule>
    <cfRule type="beginsWith" dxfId="9262" priority="135" stopIfTrue="1" operator="beginsWith" text="Not Functioning">
      <formula>LEFT(F285,LEN("Not Functioning"))="Not Functioning"</formula>
    </cfRule>
    <cfRule type="containsText" dxfId="9261" priority="136" operator="containsText" text="Functioning">
      <formula>NOT(ISERROR(SEARCH("Functioning",F285)))</formula>
    </cfRule>
  </conditionalFormatting>
  <conditionalFormatting sqref="F300">
    <cfRule type="beginsWith" dxfId="9260" priority="131" stopIfTrue="1" operator="beginsWith" text="Functioning At Risk">
      <formula>LEFT(F300,LEN("Functioning At Risk"))="Functioning At Risk"</formula>
    </cfRule>
    <cfRule type="beginsWith" dxfId="9259" priority="132" stopIfTrue="1" operator="beginsWith" text="Not Functioning">
      <formula>LEFT(F300,LEN("Not Functioning"))="Not Functioning"</formula>
    </cfRule>
    <cfRule type="containsText" dxfId="9258" priority="133" operator="containsText" text="Functioning">
      <formula>NOT(ISERROR(SEARCH("Functioning",F300)))</formula>
    </cfRule>
  </conditionalFormatting>
  <conditionalFormatting sqref="F297">
    <cfRule type="beginsWith" dxfId="9257" priority="128" stopIfTrue="1" operator="beginsWith" text="Functioning At Risk">
      <formula>LEFT(F297,LEN("Functioning At Risk"))="Functioning At Risk"</formula>
    </cfRule>
    <cfRule type="beginsWith" dxfId="9256" priority="129" stopIfTrue="1" operator="beginsWith" text="Not Functioning">
      <formula>LEFT(F297,LEN("Not Functioning"))="Not Functioning"</formula>
    </cfRule>
    <cfRule type="containsText" dxfId="9255" priority="130" operator="containsText" text="Functioning">
      <formula>NOT(ISERROR(SEARCH("Functioning",F297)))</formula>
    </cfRule>
  </conditionalFormatting>
  <conditionalFormatting sqref="F343 F320:F321 F328:F331">
    <cfRule type="beginsWith" dxfId="9254" priority="125" stopIfTrue="1" operator="beginsWith" text="Functioning At Risk">
      <formula>LEFT(F320,LEN("Functioning At Risk"))="Functioning At Risk"</formula>
    </cfRule>
    <cfRule type="beginsWith" dxfId="9253" priority="126" stopIfTrue="1" operator="beginsWith" text="Not Functioning">
      <formula>LEFT(F320,LEN("Not Functioning"))="Not Functioning"</formula>
    </cfRule>
    <cfRule type="containsText" dxfId="9252" priority="127" operator="containsText" text="Functioning">
      <formula>NOT(ISERROR(SEARCH("Functioning",F320)))</formula>
    </cfRule>
  </conditionalFormatting>
  <conditionalFormatting sqref="F332:F333">
    <cfRule type="beginsWith" dxfId="9251" priority="122" stopIfTrue="1" operator="beginsWith" text="Functioning At Risk">
      <formula>LEFT(F332,LEN("Functioning At Risk"))="Functioning At Risk"</formula>
    </cfRule>
    <cfRule type="beginsWith" dxfId="9250" priority="123" stopIfTrue="1" operator="beginsWith" text="Not Functioning">
      <formula>LEFT(F332,LEN("Not Functioning"))="Not Functioning"</formula>
    </cfRule>
    <cfRule type="containsText" dxfId="9249" priority="124" operator="containsText" text="Functioning">
      <formula>NOT(ISERROR(SEARCH("Functioning",F332)))</formula>
    </cfRule>
  </conditionalFormatting>
  <conditionalFormatting sqref="F352:F353">
    <cfRule type="beginsWith" dxfId="9248" priority="119" stopIfTrue="1" operator="beginsWith" text="Functioning At Risk">
      <formula>LEFT(F352,LEN("Functioning At Risk"))="Functioning At Risk"</formula>
    </cfRule>
    <cfRule type="beginsWith" dxfId="9247" priority="120" stopIfTrue="1" operator="beginsWith" text="Not Functioning">
      <formula>LEFT(F352,LEN("Not Functioning"))="Not Functioning"</formula>
    </cfRule>
    <cfRule type="containsText" dxfId="9246" priority="121" operator="containsText" text="Functioning">
      <formula>NOT(ISERROR(SEARCH("Functioning",F352)))</formula>
    </cfRule>
  </conditionalFormatting>
  <conditionalFormatting sqref="F348:F351">
    <cfRule type="beginsWith" dxfId="9245" priority="116" stopIfTrue="1" operator="beginsWith" text="Functioning At Risk">
      <formula>LEFT(F348,LEN("Functioning At Risk"))="Functioning At Risk"</formula>
    </cfRule>
    <cfRule type="beginsWith" dxfId="9244" priority="117" stopIfTrue="1" operator="beginsWith" text="Not Functioning">
      <formula>LEFT(F348,LEN("Not Functioning"))="Not Functioning"</formula>
    </cfRule>
    <cfRule type="containsText" dxfId="9243" priority="118" operator="containsText" text="Functioning">
      <formula>NOT(ISERROR(SEARCH("Functioning",F348)))</formula>
    </cfRule>
  </conditionalFormatting>
  <conditionalFormatting sqref="F336">
    <cfRule type="beginsWith" dxfId="9242" priority="113" stopIfTrue="1" operator="beginsWith" text="Functioning At Risk">
      <formula>LEFT(F336,LEN("Functioning At Risk"))="Functioning At Risk"</formula>
    </cfRule>
    <cfRule type="beginsWith" dxfId="9241" priority="114" stopIfTrue="1" operator="beginsWith" text="Not Functioning">
      <formula>LEFT(F336,LEN("Not Functioning"))="Not Functioning"</formula>
    </cfRule>
    <cfRule type="containsText" dxfId="9240" priority="115" operator="containsText" text="Functioning">
      <formula>NOT(ISERROR(SEARCH("Functioning",F336)))</formula>
    </cfRule>
  </conditionalFormatting>
  <conditionalFormatting sqref="F322:F323">
    <cfRule type="beginsWith" dxfId="9239" priority="110" stopIfTrue="1" operator="beginsWith" text="Functioning At Risk">
      <formula>LEFT(F322,LEN("Functioning At Risk"))="Functioning At Risk"</formula>
    </cfRule>
    <cfRule type="beginsWith" dxfId="9238" priority="111" stopIfTrue="1" operator="beginsWith" text="Not Functioning">
      <formula>LEFT(F322,LEN("Not Functioning"))="Not Functioning"</formula>
    </cfRule>
    <cfRule type="containsText" dxfId="9237" priority="112" operator="containsText" text="Functioning">
      <formula>NOT(ISERROR(SEARCH("Functioning",F322)))</formula>
    </cfRule>
  </conditionalFormatting>
  <conditionalFormatting sqref="F325">
    <cfRule type="beginsWith" dxfId="9236" priority="107" stopIfTrue="1" operator="beginsWith" text="Functioning At Risk">
      <formula>LEFT(F325,LEN("Functioning At Risk"))="Functioning At Risk"</formula>
    </cfRule>
    <cfRule type="beginsWith" dxfId="9235" priority="108" stopIfTrue="1" operator="beginsWith" text="Not Functioning">
      <formula>LEFT(F325,LEN("Not Functioning"))="Not Functioning"</formula>
    </cfRule>
    <cfRule type="containsText" dxfId="9234" priority="109" operator="containsText" text="Functioning">
      <formula>NOT(ISERROR(SEARCH("Functioning",F325)))</formula>
    </cfRule>
  </conditionalFormatting>
  <conditionalFormatting sqref="F340">
    <cfRule type="beginsWith" dxfId="9233" priority="104" stopIfTrue="1" operator="beginsWith" text="Functioning At Risk">
      <formula>LEFT(F340,LEN("Functioning At Risk"))="Functioning At Risk"</formula>
    </cfRule>
    <cfRule type="beginsWith" dxfId="9232" priority="105" stopIfTrue="1" operator="beginsWith" text="Not Functioning">
      <formula>LEFT(F340,LEN("Not Functioning"))="Not Functioning"</formula>
    </cfRule>
    <cfRule type="containsText" dxfId="9231" priority="106" operator="containsText" text="Functioning">
      <formula>NOT(ISERROR(SEARCH("Functioning",F340)))</formula>
    </cfRule>
  </conditionalFormatting>
  <conditionalFormatting sqref="F337">
    <cfRule type="beginsWith" dxfId="9230" priority="101" stopIfTrue="1" operator="beginsWith" text="Functioning At Risk">
      <formula>LEFT(F337,LEN("Functioning At Risk"))="Functioning At Risk"</formula>
    </cfRule>
    <cfRule type="beginsWith" dxfId="9229" priority="102" stopIfTrue="1" operator="beginsWith" text="Not Functioning">
      <formula>LEFT(F337,LEN("Not Functioning"))="Not Functioning"</formula>
    </cfRule>
    <cfRule type="containsText" dxfId="9228" priority="103" operator="containsText" text="Functioning">
      <formula>NOT(ISERROR(SEARCH("Functioning",F337)))</formula>
    </cfRule>
  </conditionalFormatting>
  <conditionalFormatting sqref="F383 F360:F361 F368:F371">
    <cfRule type="beginsWith" dxfId="9227" priority="98" stopIfTrue="1" operator="beginsWith" text="Functioning At Risk">
      <formula>LEFT(F360,LEN("Functioning At Risk"))="Functioning At Risk"</formula>
    </cfRule>
    <cfRule type="beginsWith" dxfId="9226" priority="99" stopIfTrue="1" operator="beginsWith" text="Not Functioning">
      <formula>LEFT(F360,LEN("Not Functioning"))="Not Functioning"</formula>
    </cfRule>
    <cfRule type="containsText" dxfId="9225" priority="100" operator="containsText" text="Functioning">
      <formula>NOT(ISERROR(SEARCH("Functioning",F360)))</formula>
    </cfRule>
  </conditionalFormatting>
  <conditionalFormatting sqref="F372:F373">
    <cfRule type="beginsWith" dxfId="9224" priority="95" stopIfTrue="1" operator="beginsWith" text="Functioning At Risk">
      <formula>LEFT(F372,LEN("Functioning At Risk"))="Functioning At Risk"</formula>
    </cfRule>
    <cfRule type="beginsWith" dxfId="9223" priority="96" stopIfTrue="1" operator="beginsWith" text="Not Functioning">
      <formula>LEFT(F372,LEN("Not Functioning"))="Not Functioning"</formula>
    </cfRule>
    <cfRule type="containsText" dxfId="9222" priority="97" operator="containsText" text="Functioning">
      <formula>NOT(ISERROR(SEARCH("Functioning",F372)))</formula>
    </cfRule>
  </conditionalFormatting>
  <conditionalFormatting sqref="F392:F393">
    <cfRule type="beginsWith" dxfId="9221" priority="92" stopIfTrue="1" operator="beginsWith" text="Functioning At Risk">
      <formula>LEFT(F392,LEN("Functioning At Risk"))="Functioning At Risk"</formula>
    </cfRule>
    <cfRule type="beginsWith" dxfId="9220" priority="93" stopIfTrue="1" operator="beginsWith" text="Not Functioning">
      <formula>LEFT(F392,LEN("Not Functioning"))="Not Functioning"</formula>
    </cfRule>
    <cfRule type="containsText" dxfId="9219" priority="94" operator="containsText" text="Functioning">
      <formula>NOT(ISERROR(SEARCH("Functioning",F392)))</formula>
    </cfRule>
  </conditionalFormatting>
  <conditionalFormatting sqref="F388:F391">
    <cfRule type="beginsWith" dxfId="9218" priority="89" stopIfTrue="1" operator="beginsWith" text="Functioning At Risk">
      <formula>LEFT(F388,LEN("Functioning At Risk"))="Functioning At Risk"</formula>
    </cfRule>
    <cfRule type="beginsWith" dxfId="9217" priority="90" stopIfTrue="1" operator="beginsWith" text="Not Functioning">
      <formula>LEFT(F388,LEN("Not Functioning"))="Not Functioning"</formula>
    </cfRule>
    <cfRule type="containsText" dxfId="9216" priority="91" operator="containsText" text="Functioning">
      <formula>NOT(ISERROR(SEARCH("Functioning",F388)))</formula>
    </cfRule>
  </conditionalFormatting>
  <conditionalFormatting sqref="F376">
    <cfRule type="beginsWith" dxfId="9215" priority="86" stopIfTrue="1" operator="beginsWith" text="Functioning At Risk">
      <formula>LEFT(F376,LEN("Functioning At Risk"))="Functioning At Risk"</formula>
    </cfRule>
    <cfRule type="beginsWith" dxfId="9214" priority="87" stopIfTrue="1" operator="beginsWith" text="Not Functioning">
      <formula>LEFT(F376,LEN("Not Functioning"))="Not Functioning"</formula>
    </cfRule>
    <cfRule type="containsText" dxfId="9213" priority="88" operator="containsText" text="Functioning">
      <formula>NOT(ISERROR(SEARCH("Functioning",F376)))</formula>
    </cfRule>
  </conditionalFormatting>
  <conditionalFormatting sqref="F362:F363">
    <cfRule type="beginsWith" dxfId="9212" priority="83" stopIfTrue="1" operator="beginsWith" text="Functioning At Risk">
      <formula>LEFT(F362,LEN("Functioning At Risk"))="Functioning At Risk"</formula>
    </cfRule>
    <cfRule type="beginsWith" dxfId="9211" priority="84" stopIfTrue="1" operator="beginsWith" text="Not Functioning">
      <formula>LEFT(F362,LEN("Not Functioning"))="Not Functioning"</formula>
    </cfRule>
    <cfRule type="containsText" dxfId="9210" priority="85" operator="containsText" text="Functioning">
      <formula>NOT(ISERROR(SEARCH("Functioning",F362)))</formula>
    </cfRule>
  </conditionalFormatting>
  <conditionalFormatting sqref="F365">
    <cfRule type="beginsWith" dxfId="9209" priority="80" stopIfTrue="1" operator="beginsWith" text="Functioning At Risk">
      <formula>LEFT(F365,LEN("Functioning At Risk"))="Functioning At Risk"</formula>
    </cfRule>
    <cfRule type="beginsWith" dxfId="9208" priority="81" stopIfTrue="1" operator="beginsWith" text="Not Functioning">
      <formula>LEFT(F365,LEN("Not Functioning"))="Not Functioning"</formula>
    </cfRule>
    <cfRule type="containsText" dxfId="9207" priority="82" operator="containsText" text="Functioning">
      <formula>NOT(ISERROR(SEARCH("Functioning",F365)))</formula>
    </cfRule>
  </conditionalFormatting>
  <conditionalFormatting sqref="F380">
    <cfRule type="beginsWith" dxfId="9206" priority="77" stopIfTrue="1" operator="beginsWith" text="Functioning At Risk">
      <formula>LEFT(F380,LEN("Functioning At Risk"))="Functioning At Risk"</formula>
    </cfRule>
    <cfRule type="beginsWith" dxfId="9205" priority="78" stopIfTrue="1" operator="beginsWith" text="Not Functioning">
      <formula>LEFT(F380,LEN("Not Functioning"))="Not Functioning"</formula>
    </cfRule>
    <cfRule type="containsText" dxfId="9204" priority="79" operator="containsText" text="Functioning">
      <formula>NOT(ISERROR(SEARCH("Functioning",F380)))</formula>
    </cfRule>
  </conditionalFormatting>
  <conditionalFormatting sqref="F377">
    <cfRule type="beginsWith" dxfId="9203" priority="74" stopIfTrue="1" operator="beginsWith" text="Functioning At Risk">
      <formula>LEFT(F377,LEN("Functioning At Risk"))="Functioning At Risk"</formula>
    </cfRule>
    <cfRule type="beginsWith" dxfId="9202" priority="75" stopIfTrue="1" operator="beginsWith" text="Not Functioning">
      <formula>LEFT(F377,LEN("Not Functioning"))="Not Functioning"</formula>
    </cfRule>
    <cfRule type="containsText" dxfId="9201" priority="76" operator="containsText" text="Functioning">
      <formula>NOT(ISERROR(SEARCH("Functioning",F377)))</formula>
    </cfRule>
  </conditionalFormatting>
  <conditionalFormatting sqref="F423 F400:F401 F408:F411">
    <cfRule type="beginsWith" dxfId="9200" priority="71" stopIfTrue="1" operator="beginsWith" text="Functioning At Risk">
      <formula>LEFT(F400,LEN("Functioning At Risk"))="Functioning At Risk"</formula>
    </cfRule>
    <cfRule type="beginsWith" dxfId="9199" priority="72" stopIfTrue="1" operator="beginsWith" text="Not Functioning">
      <formula>LEFT(F400,LEN("Not Functioning"))="Not Functioning"</formula>
    </cfRule>
    <cfRule type="containsText" dxfId="9198" priority="73" operator="containsText" text="Functioning">
      <formula>NOT(ISERROR(SEARCH("Functioning",F400)))</formula>
    </cfRule>
  </conditionalFormatting>
  <conditionalFormatting sqref="F412:F413">
    <cfRule type="beginsWith" dxfId="9197" priority="68" stopIfTrue="1" operator="beginsWith" text="Functioning At Risk">
      <formula>LEFT(F412,LEN("Functioning At Risk"))="Functioning At Risk"</formula>
    </cfRule>
    <cfRule type="beginsWith" dxfId="9196" priority="69" stopIfTrue="1" operator="beginsWith" text="Not Functioning">
      <formula>LEFT(F412,LEN("Not Functioning"))="Not Functioning"</formula>
    </cfRule>
    <cfRule type="containsText" dxfId="9195" priority="70" operator="containsText" text="Functioning">
      <formula>NOT(ISERROR(SEARCH("Functioning",F412)))</formula>
    </cfRule>
  </conditionalFormatting>
  <conditionalFormatting sqref="F432:F433">
    <cfRule type="beginsWith" dxfId="9194" priority="65" stopIfTrue="1" operator="beginsWith" text="Functioning At Risk">
      <formula>LEFT(F432,LEN("Functioning At Risk"))="Functioning At Risk"</formula>
    </cfRule>
    <cfRule type="beginsWith" dxfId="9193" priority="66" stopIfTrue="1" operator="beginsWith" text="Not Functioning">
      <formula>LEFT(F432,LEN("Not Functioning"))="Not Functioning"</formula>
    </cfRule>
    <cfRule type="containsText" dxfId="9192" priority="67" operator="containsText" text="Functioning">
      <formula>NOT(ISERROR(SEARCH("Functioning",F432)))</formula>
    </cfRule>
  </conditionalFormatting>
  <conditionalFormatting sqref="F428:F431">
    <cfRule type="beginsWith" dxfId="9191" priority="62" stopIfTrue="1" operator="beginsWith" text="Functioning At Risk">
      <formula>LEFT(F428,LEN("Functioning At Risk"))="Functioning At Risk"</formula>
    </cfRule>
    <cfRule type="beginsWith" dxfId="9190" priority="63" stopIfTrue="1" operator="beginsWith" text="Not Functioning">
      <formula>LEFT(F428,LEN("Not Functioning"))="Not Functioning"</formula>
    </cfRule>
    <cfRule type="containsText" dxfId="9189" priority="64" operator="containsText" text="Functioning">
      <formula>NOT(ISERROR(SEARCH("Functioning",F428)))</formula>
    </cfRule>
  </conditionalFormatting>
  <conditionalFormatting sqref="F416">
    <cfRule type="beginsWith" dxfId="9188" priority="59" stopIfTrue="1" operator="beginsWith" text="Functioning At Risk">
      <formula>LEFT(F416,LEN("Functioning At Risk"))="Functioning At Risk"</formula>
    </cfRule>
    <cfRule type="beginsWith" dxfId="9187" priority="60" stopIfTrue="1" operator="beginsWith" text="Not Functioning">
      <formula>LEFT(F416,LEN("Not Functioning"))="Not Functioning"</formula>
    </cfRule>
    <cfRule type="containsText" dxfId="9186" priority="61" operator="containsText" text="Functioning">
      <formula>NOT(ISERROR(SEARCH("Functioning",F416)))</formula>
    </cfRule>
  </conditionalFormatting>
  <conditionalFormatting sqref="F402:F403">
    <cfRule type="beginsWith" dxfId="9185" priority="56" stopIfTrue="1" operator="beginsWith" text="Functioning At Risk">
      <formula>LEFT(F402,LEN("Functioning At Risk"))="Functioning At Risk"</formula>
    </cfRule>
    <cfRule type="beginsWith" dxfId="9184" priority="57" stopIfTrue="1" operator="beginsWith" text="Not Functioning">
      <formula>LEFT(F402,LEN("Not Functioning"))="Not Functioning"</formula>
    </cfRule>
    <cfRule type="containsText" dxfId="9183" priority="58" operator="containsText" text="Functioning">
      <formula>NOT(ISERROR(SEARCH("Functioning",F402)))</formula>
    </cfRule>
  </conditionalFormatting>
  <conditionalFormatting sqref="F405">
    <cfRule type="beginsWith" dxfId="9182" priority="53" stopIfTrue="1" operator="beginsWith" text="Functioning At Risk">
      <formula>LEFT(F405,LEN("Functioning At Risk"))="Functioning At Risk"</formula>
    </cfRule>
    <cfRule type="beginsWith" dxfId="9181" priority="54" stopIfTrue="1" operator="beginsWith" text="Not Functioning">
      <formula>LEFT(F405,LEN("Not Functioning"))="Not Functioning"</formula>
    </cfRule>
    <cfRule type="containsText" dxfId="9180" priority="55" operator="containsText" text="Functioning">
      <formula>NOT(ISERROR(SEARCH("Functioning",F405)))</formula>
    </cfRule>
  </conditionalFormatting>
  <conditionalFormatting sqref="F420">
    <cfRule type="beginsWith" dxfId="9179" priority="50" stopIfTrue="1" operator="beginsWith" text="Functioning At Risk">
      <formula>LEFT(F420,LEN("Functioning At Risk"))="Functioning At Risk"</formula>
    </cfRule>
    <cfRule type="beginsWith" dxfId="9178" priority="51" stopIfTrue="1" operator="beginsWith" text="Not Functioning">
      <formula>LEFT(F420,LEN("Not Functioning"))="Not Functioning"</formula>
    </cfRule>
    <cfRule type="containsText" dxfId="9177" priority="52" operator="containsText" text="Functioning">
      <formula>NOT(ISERROR(SEARCH("Functioning",F420)))</formula>
    </cfRule>
  </conditionalFormatting>
  <conditionalFormatting sqref="F417">
    <cfRule type="beginsWith" dxfId="9176" priority="47" stopIfTrue="1" operator="beginsWith" text="Functioning At Risk">
      <formula>LEFT(F417,LEN("Functioning At Risk"))="Functioning At Risk"</formula>
    </cfRule>
    <cfRule type="beginsWith" dxfId="9175" priority="48" stopIfTrue="1" operator="beginsWith" text="Not Functioning">
      <formula>LEFT(F417,LEN("Not Functioning"))="Not Functioning"</formula>
    </cfRule>
    <cfRule type="containsText" dxfId="9174" priority="49" operator="containsText" text="Functioning">
      <formula>NOT(ISERROR(SEARCH("Functioning",F417)))</formula>
    </cfRule>
  </conditionalFormatting>
  <conditionalFormatting sqref="E83:E84">
    <cfRule type="beginsWith" dxfId="9173" priority="44" stopIfTrue="1" operator="beginsWith" text="Functioning At Risk">
      <formula>LEFT(E83,LEN("Functioning At Risk"))="Functioning At Risk"</formula>
    </cfRule>
    <cfRule type="beginsWith" dxfId="9172" priority="45" stopIfTrue="1" operator="beginsWith" text="Not Functioning">
      <formula>LEFT(E83,LEN("Not Functioning"))="Not Functioning"</formula>
    </cfRule>
    <cfRule type="containsText" dxfId="9171" priority="46" operator="containsText" text="Functioning">
      <formula>NOT(ISERROR(SEARCH("Functioning",E83)))</formula>
    </cfRule>
  </conditionalFormatting>
  <conditionalFormatting sqref="E88">
    <cfRule type="beginsWith" dxfId="9170" priority="41" stopIfTrue="1" operator="beginsWith" text="Functioning At Risk">
      <formula>LEFT(E88,LEN("Functioning At Risk"))="Functioning At Risk"</formula>
    </cfRule>
    <cfRule type="beginsWith" dxfId="9169" priority="42" stopIfTrue="1" operator="beginsWith" text="Not Functioning">
      <formula>LEFT(E88,LEN("Not Functioning"))="Not Functioning"</formula>
    </cfRule>
    <cfRule type="containsText" dxfId="9168" priority="43" operator="containsText" text="Functioning">
      <formula>NOT(ISERROR(SEARCH("Functioning",E88)))</formula>
    </cfRule>
  </conditionalFormatting>
  <conditionalFormatting sqref="E87">
    <cfRule type="beginsWith" dxfId="9167" priority="38" stopIfTrue="1" operator="beginsWith" text="Functioning At Risk">
      <formula>LEFT(E87,LEN("Functioning At Risk"))="Functioning At Risk"</formula>
    </cfRule>
    <cfRule type="beginsWith" dxfId="9166" priority="39" stopIfTrue="1" operator="beginsWith" text="Not Functioning">
      <formula>LEFT(E87,LEN("Not Functioning"))="Not Functioning"</formula>
    </cfRule>
    <cfRule type="containsText" dxfId="9165" priority="40" operator="containsText" text="Functioning">
      <formula>NOT(ISERROR(SEARCH("Functioning",E87)))</formula>
    </cfRule>
  </conditionalFormatting>
  <conditionalFormatting sqref="E87">
    <cfRule type="expression" dxfId="9164" priority="37" stopIfTrue="1">
      <formula>ISBLANK($B$13)</formula>
    </cfRule>
  </conditionalFormatting>
  <conditionalFormatting sqref="E89:E90">
    <cfRule type="beginsWith" dxfId="9163" priority="34" stopIfTrue="1" operator="beginsWith" text="Functioning At Risk">
      <formula>LEFT(E89,LEN("Functioning At Risk"))="Functioning At Risk"</formula>
    </cfRule>
    <cfRule type="beginsWith" dxfId="9162" priority="35" stopIfTrue="1" operator="beginsWith" text="Not Functioning">
      <formula>LEFT(E89,LEN("Not Functioning"))="Not Functioning"</formula>
    </cfRule>
    <cfRule type="containsText" dxfId="9161" priority="36" operator="containsText" text="Functioning">
      <formula>NOT(ISERROR(SEARCH("Functioning",E89)))</formula>
    </cfRule>
  </conditionalFormatting>
  <conditionalFormatting sqref="E91:E93">
    <cfRule type="beginsWith" dxfId="9160" priority="31" stopIfTrue="1" operator="beginsWith" text="Functioning At Risk">
      <formula>LEFT(E91,LEN("Functioning At Risk"))="Functioning At Risk"</formula>
    </cfRule>
    <cfRule type="beginsWith" dxfId="9159" priority="32" stopIfTrue="1" operator="beginsWith" text="Not Functioning">
      <formula>LEFT(E91,LEN("Not Functioning"))="Not Functioning"</formula>
    </cfRule>
    <cfRule type="containsText" dxfId="9158" priority="33" operator="containsText" text="Functioning">
      <formula>NOT(ISERROR(SEARCH("Functioning",E91)))</formula>
    </cfRule>
  </conditionalFormatting>
  <conditionalFormatting sqref="E95:E96">
    <cfRule type="beginsWith" dxfId="9157" priority="28" stopIfTrue="1" operator="beginsWith" text="Functioning At Risk">
      <formula>LEFT(E95,LEN("Functioning At Risk"))="Functioning At Risk"</formula>
    </cfRule>
    <cfRule type="beginsWith" dxfId="9156" priority="29" stopIfTrue="1" operator="beginsWith" text="Not Functioning">
      <formula>LEFT(E95,LEN("Not Functioning"))="Not Functioning"</formula>
    </cfRule>
    <cfRule type="containsText" dxfId="9155" priority="30" operator="containsText" text="Functioning">
      <formula>NOT(ISERROR(SEARCH("Functioning",E95)))</formula>
    </cfRule>
  </conditionalFormatting>
  <conditionalFormatting sqref="E85:E86">
    <cfRule type="beginsWith" dxfId="9154" priority="24" stopIfTrue="1" operator="beginsWith" text="Functioning At Risk">
      <formula>LEFT(E85,LEN("Functioning At Risk"))="Functioning At Risk"</formula>
    </cfRule>
    <cfRule type="beginsWith" dxfId="9153" priority="25" stopIfTrue="1" operator="beginsWith" text="Not Functioning">
      <formula>LEFT(E85,LEN("Not Functioning"))="Not Functioning"</formula>
    </cfRule>
    <cfRule type="containsText" dxfId="9152" priority="26" operator="containsText" text="Functioning">
      <formula>NOT(ISERROR(SEARCH("Functioning",E85)))</formula>
    </cfRule>
  </conditionalFormatting>
  <conditionalFormatting sqref="E122:E123">
    <cfRule type="beginsWith" dxfId="9151" priority="21" stopIfTrue="1" operator="beginsWith" text="Functioning At Risk">
      <formula>LEFT(E122,LEN("Functioning At Risk"))="Functioning At Risk"</formula>
    </cfRule>
    <cfRule type="beginsWith" dxfId="9150" priority="22" stopIfTrue="1" operator="beginsWith" text="Not Functioning">
      <formula>LEFT(E122,LEN("Not Functioning"))="Not Functioning"</formula>
    </cfRule>
    <cfRule type="containsText" dxfId="9149" priority="23" operator="containsText" text="Functioning">
      <formula>NOT(ISERROR(SEARCH("Functioning",E122)))</formula>
    </cfRule>
  </conditionalFormatting>
  <conditionalFormatting sqref="E127">
    <cfRule type="beginsWith" dxfId="9148" priority="18" stopIfTrue="1" operator="beginsWith" text="Functioning At Risk">
      <formula>LEFT(E127,LEN("Functioning At Risk"))="Functioning At Risk"</formula>
    </cfRule>
    <cfRule type="beginsWith" dxfId="9147" priority="19" stopIfTrue="1" operator="beginsWith" text="Not Functioning">
      <formula>LEFT(E127,LEN("Not Functioning"))="Not Functioning"</formula>
    </cfRule>
    <cfRule type="containsText" dxfId="9146" priority="20" operator="containsText" text="Functioning">
      <formula>NOT(ISERROR(SEARCH("Functioning",E127)))</formula>
    </cfRule>
  </conditionalFormatting>
  <conditionalFormatting sqref="E126">
    <cfRule type="beginsWith" dxfId="9145" priority="15" stopIfTrue="1" operator="beginsWith" text="Functioning At Risk">
      <formula>LEFT(E126,LEN("Functioning At Risk"))="Functioning At Risk"</formula>
    </cfRule>
    <cfRule type="beginsWith" dxfId="9144" priority="16" stopIfTrue="1" operator="beginsWith" text="Not Functioning">
      <formula>LEFT(E126,LEN("Not Functioning"))="Not Functioning"</formula>
    </cfRule>
    <cfRule type="containsText" dxfId="9143" priority="17" operator="containsText" text="Functioning">
      <formula>NOT(ISERROR(SEARCH("Functioning",E126)))</formula>
    </cfRule>
  </conditionalFormatting>
  <conditionalFormatting sqref="E126">
    <cfRule type="expression" dxfId="9142" priority="14" stopIfTrue="1">
      <formula>ISBLANK($B$13)</formula>
    </cfRule>
  </conditionalFormatting>
  <conditionalFormatting sqref="E128:E129">
    <cfRule type="beginsWith" dxfId="9141" priority="11" stopIfTrue="1" operator="beginsWith" text="Functioning At Risk">
      <formula>LEFT(E128,LEN("Functioning At Risk"))="Functioning At Risk"</formula>
    </cfRule>
    <cfRule type="beginsWith" dxfId="9140" priority="12" stopIfTrue="1" operator="beginsWith" text="Not Functioning">
      <formula>LEFT(E128,LEN("Not Functioning"))="Not Functioning"</formula>
    </cfRule>
    <cfRule type="containsText" dxfId="9139" priority="13" operator="containsText" text="Functioning">
      <formula>NOT(ISERROR(SEARCH("Functioning",E128)))</formula>
    </cfRule>
  </conditionalFormatting>
  <conditionalFormatting sqref="E130:E132">
    <cfRule type="beginsWith" dxfId="9138" priority="8" stopIfTrue="1" operator="beginsWith" text="Functioning At Risk">
      <formula>LEFT(E130,LEN("Functioning At Risk"))="Functioning At Risk"</formula>
    </cfRule>
    <cfRule type="beginsWith" dxfId="9137" priority="9" stopIfTrue="1" operator="beginsWith" text="Not Functioning">
      <formula>LEFT(E130,LEN("Not Functioning"))="Not Functioning"</formula>
    </cfRule>
    <cfRule type="containsText" dxfId="9136" priority="10" operator="containsText" text="Functioning">
      <formula>NOT(ISERROR(SEARCH("Functioning",E130)))</formula>
    </cfRule>
  </conditionalFormatting>
  <conditionalFormatting sqref="E134:E135">
    <cfRule type="beginsWith" dxfId="9135" priority="5" stopIfTrue="1" operator="beginsWith" text="Functioning At Risk">
      <formula>LEFT(E134,LEN("Functioning At Risk"))="Functioning At Risk"</formula>
    </cfRule>
    <cfRule type="beginsWith" dxfId="9134" priority="6" stopIfTrue="1" operator="beginsWith" text="Not Functioning">
      <formula>LEFT(E134,LEN("Not Functioning"))="Not Functioning"</formula>
    </cfRule>
    <cfRule type="containsText" dxfId="9133" priority="7" operator="containsText" text="Functioning">
      <formula>NOT(ISERROR(SEARCH("Functioning",E134)))</formula>
    </cfRule>
  </conditionalFormatting>
  <conditionalFormatting sqref="E124:E125">
    <cfRule type="beginsWith" dxfId="9132" priority="1" stopIfTrue="1" operator="beginsWith" text="Functioning At Risk">
      <formula>LEFT(E124,LEN("Functioning At Risk"))="Functioning At Risk"</formula>
    </cfRule>
    <cfRule type="beginsWith" dxfId="9131" priority="2" stopIfTrue="1" operator="beginsWith" text="Not Functioning">
      <formula>LEFT(E124,LEN("Not Functioning"))="Not Functioning"</formula>
    </cfRule>
    <cfRule type="containsText" dxfId="9130" priority="3" operator="containsText" text="Functioning">
      <formula>NOT(ISERROR(SEARCH("Functioning",E124)))</formula>
    </cfRule>
  </conditionalFormatting>
  <dataValidations count="11">
    <dataValidation allowBlank="1" showErrorMessage="1" prompt="Select catchment conditon level from the completed catchment assessment form. " sqref="E358:E359 E3:E4 E42:E43 E81:E82 E120:E121 E159:E160 E198:E199 E238:E239 E278:E279 E318:E319 E398:E399"/>
    <dataValidation type="decimal" allowBlank="1" showInputMessage="1" showErrorMessage="1" sqref="E208:E211 E248:E251 E328:E331 E368:E371 E13:E16 E52:E55 E91:E94 E130:E133 E169:E172 E288:E291 E408:E411">
      <formula1>0</formula1>
      <formula2>5280</formula2>
    </dataValidation>
    <dataValidation allowBlank="1" showInputMessage="1" showErrorMessage="1" prompt="This measurement method should be used in combination with either Erosion Rate or Dominant BEHI/NBS." sqref="E366 E50 E406 E89 E128 E167 E206 E246 E286 E326 E11"/>
    <dataValidation allowBlank="1" showInputMessage="1" showErrorMessage="1" prompt="The user should input a value for either BEHI/NBS or Erosion Rate, not both. " sqref="E364 E48 E404 E87 E126 E165 E204 E244 E284 E324 E9"/>
    <dataValidation type="list" allowBlank="1" showInputMessage="1" showErrorMessage="1" prompt="Select the dominant BEHI/NBS.  _x000a_If erosion rate was measured select blank. The user should only input a value for either BEHI/NBS or Erosion Rate, not both. " sqref="E365 E49 E405 E88 E127 E166 E205 E245 E285 E325 E10">
      <formula1>BEHI.NBS</formula1>
    </dataValidation>
    <dataValidation allowBlank="1" showErrorMessage="1" sqref="E23 E338 E378 E62 E101 E140 E179 E218 E258 E298 E418 E407 E367 E327 E287 E247 E207 E168 E129 E90 E51 E12"/>
    <dataValidation allowBlank="1" showErrorMessage="1" prompt="The user can only input a value for either leaf litter processing rate or shredders for organic matter, not both. " sqref="E30 E385 E69 E108 E147 E186 E225 E265 E305 E345 E425"/>
    <dataValidation type="decimal" allowBlank="1" showErrorMessage="1" prompt="The user should input a value for either basal area or density, not both. " sqref="E332:E335 E292:E295 E252:E255 E212:E215 E173:E176 E134:E137 E95:E98 E17:E20 E412:E415 E372:E375 E56:E59">
      <formula1>0</formula1>
      <formula2>5280</formula2>
    </dataValidation>
    <dataValidation allowBlank="1" showErrorMessage="1" prompt="The user should input a value for either basal area or density, not both. " sqref="E296:E297 E256:E257 E216:E217 E177:E178 E138:E139 E99:E100 E60:E61 E21:E22 E376:E377 E336:E337 E416:E417"/>
    <dataValidation allowBlank="1" showInputMessage="1" showErrorMessage="1" prompt="The user should not input values for all 4 measurement methods. If the user is not using TMI, then the remaining 3 measurement methods should be used together." sqref="E33:E36 E72:E75 E111:E114 E150:E153 E189:E192 E228:E231 E268:E271 E308:E311 E348:E351 E388:E391 E428:E431"/>
    <dataValidation allowBlank="1" showInputMessage="1" showErrorMessage="1" prompt="The user should only input a value for either LWDI or # Pieces, not both. " sqref="E7:E8 E46:E47 E85:E86 E124:E125 E163:E164 E202:E203 E242:E243 E282:E283 E322:E323 E362:E363 E402:E403"/>
  </dataValidations>
  <pageMargins left="0.25" right="0.25" top="0.75" bottom="0.75" header="0.3" footer="0.3"/>
  <pageSetup paperSize="3" fitToWidth="0" fitToHeight="0" orientation="landscape" r:id="rId1"/>
  <headerFooter>
    <oddHeader>&amp;C&amp;"-,Bold"TN SQT v1.0
Monitoring Data Spreadsheet Reach 1</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ignoredErrors>
    <ignoredError sqref="G30" formula="1"/>
  </ignoredErrors>
  <extLst>
    <ext xmlns:x14="http://schemas.microsoft.com/office/spreadsheetml/2009/9/main" uri="{78C0D931-6437-407d-A8EE-F0AAD7539E65}">
      <x14:conditionalFormattings>
        <x14:conditionalFormatting xmlns:xm="http://schemas.microsoft.com/office/excel/2006/main">
          <x14:cfRule type="expression" priority="1058" id="{ED6674BC-EDB6-471A-A279-31166388B363}">
            <xm:f>'Quantification Tool R1'!$B$18="Ephemeral"</xm:f>
            <x14:dxf>
              <fill>
                <patternFill patternType="darkDown"/>
              </fill>
            </x14:dxf>
          </x14:cfRule>
          <xm:sqref>E5:E6 E23:E38 E44:E45 E62:E77 E101:E116 E140:E155 E161:E162 E179:E194 E200:E201 E218:E233 E240:E241 E258:E273 E280:E281 E298:E313 E320:E321 E338:E353 E360:E361 E378:E393 E400:E401 E418:E433</xm:sqref>
        </x14:conditionalFormatting>
        <x14:conditionalFormatting xmlns:xm="http://schemas.microsoft.com/office/excel/2006/main">
          <x14:cfRule type="expression" priority="27" id="{E7295BC8-D85C-4FC3-AE83-F09678D54AE3}">
            <xm:f>'Quantification Tool R1'!$B$18="Ephemeral"</xm:f>
            <x14:dxf>
              <fill>
                <patternFill patternType="darkDown"/>
              </fill>
            </x14:dxf>
          </x14:cfRule>
          <xm:sqref>E83:E84</xm:sqref>
        </x14:conditionalFormatting>
        <x14:conditionalFormatting xmlns:xm="http://schemas.microsoft.com/office/excel/2006/main">
          <x14:cfRule type="expression" priority="4" id="{72F6C67A-4CD6-4249-8C3F-D230D737D862}">
            <xm:f>'Quantification Tool R1'!$B$18="Ephemeral"</xm:f>
            <x14:dxf>
              <fill>
                <patternFill patternType="darkDown"/>
              </fill>
            </x14:dxf>
          </x14:cfRule>
          <xm:sqref>E122:E123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5"/>
  <sheetViews>
    <sheetView zoomScale="70" zoomScaleNormal="70" zoomScaleSheetLayoutView="85" workbookViewId="0">
      <selection activeCell="C5" sqref="C5:O19"/>
    </sheetView>
  </sheetViews>
  <sheetFormatPr defaultRowHeight="14.4" x14ac:dyDescent="0.3"/>
  <cols>
    <col min="1" max="1" width="19.6640625" bestFit="1" customWidth="1"/>
    <col min="2" max="2" width="28" customWidth="1"/>
    <col min="3" max="3" width="14.6640625" customWidth="1"/>
    <col min="4" max="4" width="14.33203125" customWidth="1"/>
    <col min="5" max="5" width="10.33203125" style="14" customWidth="1"/>
    <col min="6" max="15" width="10.6640625" style="14" customWidth="1"/>
  </cols>
  <sheetData>
    <row r="2" spans="1:15" ht="21" x14ac:dyDescent="0.3">
      <c r="A2" s="625" t="s">
        <v>118</v>
      </c>
      <c r="B2" s="626"/>
      <c r="C2" s="626"/>
      <c r="D2" s="626"/>
      <c r="E2" s="626"/>
      <c r="F2" s="626"/>
      <c r="G2" s="626"/>
      <c r="H2" s="626"/>
      <c r="I2" s="626"/>
      <c r="J2" s="626"/>
      <c r="K2" s="626"/>
      <c r="L2" s="626"/>
      <c r="M2" s="626"/>
      <c r="N2" s="626"/>
      <c r="O2" s="627"/>
    </row>
    <row r="3" spans="1:15" ht="18" x14ac:dyDescent="0.3">
      <c r="A3" s="648" t="s">
        <v>1</v>
      </c>
      <c r="B3" s="648" t="s">
        <v>2</v>
      </c>
      <c r="C3" s="653" t="s">
        <v>66</v>
      </c>
      <c r="D3" s="653" t="s">
        <v>67</v>
      </c>
      <c r="E3" s="648" t="s">
        <v>132</v>
      </c>
      <c r="F3" s="650" t="s">
        <v>135</v>
      </c>
      <c r="G3" s="651"/>
      <c r="H3" s="651"/>
      <c r="I3" s="651"/>
      <c r="J3" s="651"/>
      <c r="K3" s="651"/>
      <c r="L3" s="651"/>
      <c r="M3" s="651"/>
      <c r="N3" s="651"/>
      <c r="O3" s="652"/>
    </row>
    <row r="4" spans="1:15" s="14" customFormat="1" ht="18" x14ac:dyDescent="0.3">
      <c r="A4" s="649"/>
      <c r="B4" s="649"/>
      <c r="C4" s="654"/>
      <c r="D4" s="654"/>
      <c r="E4" s="649"/>
      <c r="F4" s="156">
        <f>IF('Monitoring Data R1'!B40="",#N/A,'Monitoring Data R1'!B40)</f>
        <v>2</v>
      </c>
      <c r="G4" s="156">
        <f>IF('Monitoring Data R1'!B79="",#N/A,'Monitoring Data R1'!B79)</f>
        <v>3</v>
      </c>
      <c r="H4" s="156">
        <f>IF('Monitoring Data R1'!B118="",#N/A,'Monitoring Data R1'!B118)</f>
        <v>5</v>
      </c>
      <c r="I4" s="156" t="e">
        <f>IF('Monitoring Data R1'!B157="",#N/A,'Monitoring Data R1'!B157)</f>
        <v>#N/A</v>
      </c>
      <c r="J4" s="156" t="e">
        <f>IF('Monitoring Data R1'!B196="",#N/A,'Monitoring Data R1'!B196)</f>
        <v>#N/A</v>
      </c>
      <c r="K4" s="156" t="e">
        <f>IF('Monitoring Data R1'!B236="",#N/A,'Monitoring Data R1'!B236)</f>
        <v>#N/A</v>
      </c>
      <c r="L4" s="156" t="e">
        <f>IF('Monitoring Data R1'!B276="",#N/A,'Monitoring Data R1'!B276)</f>
        <v>#N/A</v>
      </c>
      <c r="M4" s="156" t="e">
        <f>IF('Monitoring Data R1'!B316="",#N/A,'Monitoring Data R1'!B316)</f>
        <v>#N/A</v>
      </c>
      <c r="N4" s="156" t="e">
        <f>IF('Monitoring Data R1'!B356="",#N/A,'Monitoring Data R1'!B356)</f>
        <v>#N/A</v>
      </c>
      <c r="O4" s="156" t="e">
        <f>IF('Monitoring Data R1'!B396="",#N/A,'Monitoring Data R1'!B396)</f>
        <v>#N/A</v>
      </c>
    </row>
    <row r="5" spans="1:15" ht="15.6" x14ac:dyDescent="0.3">
      <c r="A5" s="540" t="s">
        <v>60</v>
      </c>
      <c r="B5" s="75" t="s">
        <v>86</v>
      </c>
      <c r="C5" s="149">
        <f>'Quantification Tool R1'!C26</f>
        <v>0.53</v>
      </c>
      <c r="D5" s="149">
        <f>'Quantification Tool R1'!D26</f>
        <v>0.53</v>
      </c>
      <c r="E5" s="48" t="str">
        <f>'Monitoring Data R1'!G3</f>
        <v/>
      </c>
      <c r="F5" s="48" t="str">
        <f>'Monitoring Data R1'!G42</f>
        <v/>
      </c>
      <c r="G5" s="48" t="str">
        <f>'Monitoring Data R1'!G81</f>
        <v/>
      </c>
      <c r="H5" s="48" t="str">
        <f>'Monitoring Data R1'!G120</f>
        <v/>
      </c>
      <c r="I5" s="48" t="str">
        <f>'Monitoring Data R1'!G159</f>
        <v/>
      </c>
      <c r="J5" s="48" t="str">
        <f>'Monitoring Data R1'!G198</f>
        <v/>
      </c>
      <c r="K5" s="48" t="str">
        <f>'Monitoring Data R1'!G238</f>
        <v/>
      </c>
      <c r="L5" s="48" t="str">
        <f>'Monitoring Data R1'!G278</f>
        <v/>
      </c>
      <c r="M5" s="48" t="str">
        <f>'Monitoring Data R1'!G318</f>
        <v/>
      </c>
      <c r="N5" s="48" t="str">
        <f>'Monitoring Data R1'!G358</f>
        <v/>
      </c>
      <c r="O5" s="48" t="str">
        <f>'Monitoring Data R1'!G398</f>
        <v/>
      </c>
    </row>
    <row r="6" spans="1:15" ht="15.6" x14ac:dyDescent="0.3">
      <c r="A6" s="541"/>
      <c r="B6" s="75" t="s">
        <v>128</v>
      </c>
      <c r="C6" s="149">
        <f>'Quantification Tool R1'!C27</f>
        <v>0.4</v>
      </c>
      <c r="D6" s="149">
        <f>'Quantification Tool R1'!D27</f>
        <v>0.89</v>
      </c>
      <c r="E6" s="48" t="str">
        <f>'Monitoring Data R1'!G4</f>
        <v/>
      </c>
      <c r="F6" s="48" t="str">
        <f>'Monitoring Data R1'!G43</f>
        <v/>
      </c>
      <c r="G6" s="48" t="str">
        <f>'Monitoring Data R1'!G82</f>
        <v/>
      </c>
      <c r="H6" s="48" t="str">
        <f>'Monitoring Data R1'!G121</f>
        <v/>
      </c>
      <c r="I6" s="48" t="str">
        <f>'Monitoring Data R1'!G160</f>
        <v/>
      </c>
      <c r="J6" s="48" t="str">
        <f>'Monitoring Data R1'!G199</f>
        <v/>
      </c>
      <c r="K6" s="48" t="str">
        <f>'Monitoring Data R1'!G239</f>
        <v/>
      </c>
      <c r="L6" s="48" t="str">
        <f>'Monitoring Data R1'!G279</f>
        <v/>
      </c>
      <c r="M6" s="48" t="str">
        <f>'Monitoring Data R1'!G319</f>
        <v/>
      </c>
      <c r="N6" s="48" t="str">
        <f>'Monitoring Data R1'!G359</f>
        <v/>
      </c>
      <c r="O6" s="48" t="str">
        <f>'Monitoring Data R1'!G399</f>
        <v/>
      </c>
    </row>
    <row r="7" spans="1:15" ht="15.6" x14ac:dyDescent="0.3">
      <c r="A7" s="76" t="s">
        <v>6</v>
      </c>
      <c r="B7" s="76" t="s">
        <v>7</v>
      </c>
      <c r="C7" s="149">
        <f>'Quantification Tool R1'!C28</f>
        <v>0.40500000000000003</v>
      </c>
      <c r="D7" s="149">
        <f>'Quantification Tool R1'!D28</f>
        <v>1</v>
      </c>
      <c r="E7" s="48" t="str">
        <f>'Monitoring Data R1'!G5</f>
        <v/>
      </c>
      <c r="F7" s="48" t="str">
        <f>'Monitoring Data R1'!G44</f>
        <v/>
      </c>
      <c r="G7" s="48" t="str">
        <f>'Monitoring Data R1'!G83</f>
        <v/>
      </c>
      <c r="H7" s="48" t="str">
        <f>'Monitoring Data R1'!G122</f>
        <v/>
      </c>
      <c r="I7" s="48" t="str">
        <f>'Monitoring Data R1'!G161</f>
        <v/>
      </c>
      <c r="J7" s="48" t="str">
        <f>'Monitoring Data R1'!G200</f>
        <v/>
      </c>
      <c r="K7" s="48" t="str">
        <f>'Monitoring Data R1'!G240</f>
        <v/>
      </c>
      <c r="L7" s="48" t="str">
        <f>'Monitoring Data R1'!G280</f>
        <v/>
      </c>
      <c r="M7" s="48" t="str">
        <f>'Monitoring Data R1'!G320</f>
        <v/>
      </c>
      <c r="N7" s="48" t="str">
        <f>'Monitoring Data R1'!G360</f>
        <v/>
      </c>
      <c r="O7" s="48" t="str">
        <f>'Monitoring Data R1'!G400</f>
        <v/>
      </c>
    </row>
    <row r="8" spans="1:15" ht="15.6" x14ac:dyDescent="0.3">
      <c r="A8" s="526" t="s">
        <v>26</v>
      </c>
      <c r="B8" s="77" t="s">
        <v>27</v>
      </c>
      <c r="C8" s="149">
        <f>'Quantification Tool R1'!C29</f>
        <v>0</v>
      </c>
      <c r="D8" s="149">
        <f>'Quantification Tool R1'!D29</f>
        <v>0.96</v>
      </c>
      <c r="E8" s="48" t="str">
        <f>'Monitoring Data R1'!G7</f>
        <v/>
      </c>
      <c r="F8" s="48" t="str">
        <f>'Monitoring Data R1'!G46</f>
        <v/>
      </c>
      <c r="G8" s="48" t="str">
        <f>'Monitoring Data R1'!G85</f>
        <v/>
      </c>
      <c r="H8" s="48" t="str">
        <f>'Monitoring Data R1'!G124</f>
        <v/>
      </c>
      <c r="I8" s="48" t="str">
        <f>'Monitoring Data R1'!G163</f>
        <v/>
      </c>
      <c r="J8" s="48" t="str">
        <f>'Monitoring Data R1'!G202</f>
        <v/>
      </c>
      <c r="K8" s="48" t="str">
        <f>'Monitoring Data R1'!G242</f>
        <v/>
      </c>
      <c r="L8" s="48" t="str">
        <f>'Monitoring Data R1'!G282</f>
        <v/>
      </c>
      <c r="M8" s="48" t="str">
        <f>'Monitoring Data R1'!G322</f>
        <v/>
      </c>
      <c r="N8" s="48" t="str">
        <f>'Monitoring Data R1'!G362</f>
        <v/>
      </c>
      <c r="O8" s="48" t="str">
        <f>'Monitoring Data R1'!G402</f>
        <v/>
      </c>
    </row>
    <row r="9" spans="1:15" ht="15.6" x14ac:dyDescent="0.3">
      <c r="A9" s="520"/>
      <c r="B9" s="77" t="s">
        <v>395</v>
      </c>
      <c r="C9" s="149">
        <f>'Quantification Tool R1'!C30</f>
        <v>0.42</v>
      </c>
      <c r="D9" s="149">
        <f>'Quantification Tool R1'!D30</f>
        <v>1</v>
      </c>
      <c r="E9" s="48" t="str">
        <f>'Monitoring Data R1'!G9</f>
        <v/>
      </c>
      <c r="F9" s="48" t="str">
        <f>'Monitoring Data R1'!G48</f>
        <v/>
      </c>
      <c r="G9" s="48" t="str">
        <f>'Monitoring Data R1'!G87</f>
        <v/>
      </c>
      <c r="H9" s="48" t="str">
        <f>'Monitoring Data R1'!G126</f>
        <v/>
      </c>
      <c r="I9" s="48" t="str">
        <f>'Monitoring Data R1'!G165</f>
        <v/>
      </c>
      <c r="J9" s="48" t="str">
        <f>'Monitoring Data R1'!G204</f>
        <v/>
      </c>
      <c r="K9" s="48" t="str">
        <f>'Monitoring Data R1'!G244</f>
        <v/>
      </c>
      <c r="L9" s="48" t="str">
        <f>'Monitoring Data R1'!G284</f>
        <v/>
      </c>
      <c r="M9" s="48" t="str">
        <f>'Monitoring Data R1'!G324</f>
        <v/>
      </c>
      <c r="N9" s="48" t="str">
        <f>'Monitoring Data R1'!G364</f>
        <v/>
      </c>
      <c r="O9" s="48" t="str">
        <f>'Monitoring Data R1'!G404</f>
        <v/>
      </c>
    </row>
    <row r="10" spans="1:15" ht="15.6" x14ac:dyDescent="0.3">
      <c r="A10" s="520"/>
      <c r="B10" s="77" t="s">
        <v>50</v>
      </c>
      <c r="C10" s="149">
        <f>'Quantification Tool R1'!C31</f>
        <v>0.22</v>
      </c>
      <c r="D10" s="149">
        <f>'Quantification Tool R1'!D31</f>
        <v>0.86</v>
      </c>
      <c r="E10" s="48" t="str">
        <f>'Monitoring Data R1'!G13</f>
        <v/>
      </c>
      <c r="F10" s="48" t="str">
        <f>'Monitoring Data R1'!G52</f>
        <v/>
      </c>
      <c r="G10" s="48" t="str">
        <f>'Monitoring Data R1'!G91</f>
        <v/>
      </c>
      <c r="H10" s="48" t="str">
        <f>'Monitoring Data R1'!G130</f>
        <v/>
      </c>
      <c r="I10" s="48" t="str">
        <f>'Monitoring Data R1'!G169</f>
        <v/>
      </c>
      <c r="J10" s="48" t="str">
        <f>'Monitoring Data R1'!G208</f>
        <v/>
      </c>
      <c r="K10" s="48" t="str">
        <f>'Monitoring Data R1'!G248</f>
        <v/>
      </c>
      <c r="L10" s="48" t="str">
        <f>'Monitoring Data R1'!G288</f>
        <v/>
      </c>
      <c r="M10" s="48" t="str">
        <f>'Monitoring Data R1'!G328</f>
        <v/>
      </c>
      <c r="N10" s="48" t="str">
        <f>'Monitoring Data R1'!G368</f>
        <v/>
      </c>
      <c r="O10" s="48" t="str">
        <f>'Monitoring Data R1'!G408</f>
        <v/>
      </c>
    </row>
    <row r="11" spans="1:15" ht="15.6" x14ac:dyDescent="0.3">
      <c r="A11" s="520"/>
      <c r="B11" s="77" t="s">
        <v>108</v>
      </c>
      <c r="C11" s="149" t="str">
        <f>'Quantification Tool R1'!C32</f>
        <v/>
      </c>
      <c r="D11" s="149" t="str">
        <f>'Quantification Tool R1'!D32</f>
        <v/>
      </c>
      <c r="E11" s="48" t="str">
        <f>'Monitoring Data R1'!G23</f>
        <v/>
      </c>
      <c r="F11" s="48" t="str">
        <f>'Monitoring Data R1'!G62</f>
        <v/>
      </c>
      <c r="G11" s="48" t="str">
        <f>'Monitoring Data R1'!G101</f>
        <v/>
      </c>
      <c r="H11" s="48" t="str">
        <f>'Monitoring Data R1'!G140</f>
        <v/>
      </c>
      <c r="I11" s="48" t="str">
        <f>'Monitoring Data R1'!G179</f>
        <v/>
      </c>
      <c r="J11" s="48" t="str">
        <f>'Monitoring Data R1'!G218</f>
        <v/>
      </c>
      <c r="K11" s="48" t="str">
        <f>'Monitoring Data R1'!G258</f>
        <v/>
      </c>
      <c r="L11" s="48" t="str">
        <f>'Monitoring Data R1'!G298</f>
        <v/>
      </c>
      <c r="M11" s="48" t="str">
        <f>'Monitoring Data R1'!G338</f>
        <v/>
      </c>
      <c r="N11" s="48" t="str">
        <f>'Monitoring Data R1'!G378</f>
        <v/>
      </c>
      <c r="O11" s="48" t="str">
        <f>'Monitoring Data R1'!G418</f>
        <v/>
      </c>
    </row>
    <row r="12" spans="1:15" ht="15.6" x14ac:dyDescent="0.3">
      <c r="A12" s="520"/>
      <c r="B12" s="77" t="s">
        <v>51</v>
      </c>
      <c r="C12" s="149">
        <f>'Quantification Tool R1'!C33</f>
        <v>0.16</v>
      </c>
      <c r="D12" s="149">
        <f>'Quantification Tool R1'!D33</f>
        <v>1</v>
      </c>
      <c r="E12" s="48" t="str">
        <f>'Monitoring Data R1'!G24</f>
        <v/>
      </c>
      <c r="F12" s="48" t="str">
        <f>'Monitoring Data R1'!G63</f>
        <v/>
      </c>
      <c r="G12" s="48" t="str">
        <f>'Monitoring Data R1'!G102</f>
        <v/>
      </c>
      <c r="H12" s="48" t="str">
        <f>'Monitoring Data R1'!G141</f>
        <v/>
      </c>
      <c r="I12" s="48" t="str">
        <f>'Monitoring Data R1'!G180</f>
        <v/>
      </c>
      <c r="J12" s="48" t="str">
        <f>'Monitoring Data R1'!G219</f>
        <v/>
      </c>
      <c r="K12" s="48" t="str">
        <f>'Monitoring Data R1'!G259</f>
        <v/>
      </c>
      <c r="L12" s="48" t="str">
        <f>'Monitoring Data R1'!G299</f>
        <v/>
      </c>
      <c r="M12" s="48" t="str">
        <f>'Monitoring Data R1'!G339</f>
        <v/>
      </c>
      <c r="N12" s="48" t="str">
        <f>'Monitoring Data R1'!G379</f>
        <v/>
      </c>
      <c r="O12" s="48" t="str">
        <f>'Monitoring Data R1'!G419</f>
        <v/>
      </c>
    </row>
    <row r="13" spans="1:15" ht="15.6" x14ac:dyDescent="0.3">
      <c r="A13" s="521"/>
      <c r="B13" s="77" t="s">
        <v>55</v>
      </c>
      <c r="C13" s="149">
        <f>'Quantification Tool R1'!C34</f>
        <v>0</v>
      </c>
      <c r="D13" s="149">
        <f>'Quantification Tool R1'!D34</f>
        <v>1</v>
      </c>
      <c r="E13" s="48" t="str">
        <f>'Monitoring Data R1'!G28</f>
        <v/>
      </c>
      <c r="F13" s="48" t="str">
        <f>'Monitoring Data R1'!G67</f>
        <v/>
      </c>
      <c r="G13" s="48" t="str">
        <f>'Monitoring Data R1'!G106</f>
        <v/>
      </c>
      <c r="H13" s="48" t="str">
        <f>'Monitoring Data R1'!G145</f>
        <v/>
      </c>
      <c r="I13" s="48" t="str">
        <f>'Monitoring Data R1'!G184</f>
        <v/>
      </c>
      <c r="J13" s="48" t="str">
        <f>'Monitoring Data R1'!G223</f>
        <v/>
      </c>
      <c r="K13" s="48" t="str">
        <f>'Monitoring Data R1'!G263</f>
        <v/>
      </c>
      <c r="L13" s="48" t="str">
        <f>'Monitoring Data R1'!G303</f>
        <v/>
      </c>
      <c r="M13" s="48" t="str">
        <f>'Monitoring Data R1'!G343</f>
        <v/>
      </c>
      <c r="N13" s="48" t="str">
        <f>'Monitoring Data R1'!G383</f>
        <v/>
      </c>
      <c r="O13" s="48" t="str">
        <f>'Monitoring Data R1'!G423</f>
        <v/>
      </c>
    </row>
    <row r="14" spans="1:15" ht="15.6" x14ac:dyDescent="0.3">
      <c r="A14" s="537" t="s">
        <v>58</v>
      </c>
      <c r="B14" s="67" t="s">
        <v>88</v>
      </c>
      <c r="C14" s="149" t="str">
        <f>'Quantification Tool R1'!C35</f>
        <v/>
      </c>
      <c r="D14" s="149" t="str">
        <f>'Quantification Tool R1'!D35</f>
        <v/>
      </c>
      <c r="E14" s="48" t="str">
        <f>'Monitoring Data R1'!G29</f>
        <v/>
      </c>
      <c r="F14" s="48" t="str">
        <f>'Monitoring Data R1'!G68</f>
        <v/>
      </c>
      <c r="G14" s="48" t="str">
        <f>'Monitoring Data R1'!G107</f>
        <v/>
      </c>
      <c r="H14" s="48" t="str">
        <f>'Monitoring Data R1'!G146</f>
        <v/>
      </c>
      <c r="I14" s="48" t="str">
        <f>'Monitoring Data R1'!G185</f>
        <v/>
      </c>
      <c r="J14" s="48" t="str">
        <f>'Monitoring Data R1'!G224</f>
        <v/>
      </c>
      <c r="K14" s="48" t="str">
        <f>'Monitoring Data R1'!G264</f>
        <v/>
      </c>
      <c r="L14" s="48" t="str">
        <f>'Monitoring Data R1'!G304</f>
        <v/>
      </c>
      <c r="M14" s="48" t="str">
        <f>'Monitoring Data R1'!G344</f>
        <v/>
      </c>
      <c r="N14" s="48" t="str">
        <f>'Monitoring Data R1'!G384</f>
        <v/>
      </c>
      <c r="O14" s="48" t="str">
        <f>'Monitoring Data R1'!G424</f>
        <v/>
      </c>
    </row>
    <row r="15" spans="1:15" ht="15.6" x14ac:dyDescent="0.3">
      <c r="A15" s="538"/>
      <c r="B15" s="289" t="s">
        <v>362</v>
      </c>
      <c r="C15" s="149" t="str">
        <f>'Quantification Tool R1'!C36</f>
        <v/>
      </c>
      <c r="D15" s="149" t="str">
        <f>'Quantification Tool R1'!D36</f>
        <v/>
      </c>
      <c r="E15" s="48" t="str">
        <f>'Monitoring Data R1'!G30</f>
        <v/>
      </c>
      <c r="F15" s="48" t="str">
        <f>'Monitoring Data R1'!G69</f>
        <v/>
      </c>
      <c r="G15" s="48" t="str">
        <f>'Monitoring Data R1'!G108</f>
        <v/>
      </c>
      <c r="H15" s="48" t="str">
        <f>'Monitoring Data R1'!G147</f>
        <v/>
      </c>
      <c r="I15" s="48" t="str">
        <f>'Monitoring Data R1'!G186</f>
        <v/>
      </c>
      <c r="J15" s="48" t="str">
        <f>'Monitoring Data R1'!G225</f>
        <v/>
      </c>
      <c r="K15" s="48" t="str">
        <f>'Monitoring Data R1'!G265</f>
        <v/>
      </c>
      <c r="L15" s="48" t="str">
        <f>'Monitoring Data R1'!G305</f>
        <v/>
      </c>
      <c r="M15" s="48" t="str">
        <f>'Monitoring Data R1'!G345</f>
        <v/>
      </c>
      <c r="N15" s="48" t="str">
        <f>'Monitoring Data R1'!G385</f>
        <v/>
      </c>
      <c r="O15" s="48" t="str">
        <f>'Monitoring Data R1'!G425</f>
        <v/>
      </c>
    </row>
    <row r="16" spans="1:15" ht="15.6" x14ac:dyDescent="0.3">
      <c r="A16" s="538"/>
      <c r="B16" s="67" t="s">
        <v>81</v>
      </c>
      <c r="C16" s="149" t="str">
        <f>'Quantification Tool R1'!C37</f>
        <v/>
      </c>
      <c r="D16" s="149" t="str">
        <f>'Quantification Tool R1'!D37</f>
        <v/>
      </c>
      <c r="E16" s="48" t="str">
        <f>'Monitoring Data R1'!G31</f>
        <v/>
      </c>
      <c r="F16" s="48" t="str">
        <f>'Monitoring Data R1'!G70</f>
        <v/>
      </c>
      <c r="G16" s="48" t="str">
        <f>'Monitoring Data R1'!G109</f>
        <v/>
      </c>
      <c r="H16" s="48" t="str">
        <f>'Monitoring Data R1'!G148</f>
        <v/>
      </c>
      <c r="I16" s="48" t="str">
        <f>'Monitoring Data R1'!G187</f>
        <v/>
      </c>
      <c r="J16" s="48" t="str">
        <f>'Monitoring Data R1'!G226</f>
        <v/>
      </c>
      <c r="K16" s="48" t="str">
        <f>'Monitoring Data R1'!G266</f>
        <v/>
      </c>
      <c r="L16" s="48" t="str">
        <f>'Monitoring Data R1'!G306</f>
        <v/>
      </c>
      <c r="M16" s="48" t="str">
        <f>'Monitoring Data R1'!G346</f>
        <v/>
      </c>
      <c r="N16" s="48" t="str">
        <f>'Monitoring Data R1'!G386</f>
        <v/>
      </c>
      <c r="O16" s="48" t="str">
        <f>'Monitoring Data R1'!G426</f>
        <v/>
      </c>
    </row>
    <row r="17" spans="1:21" ht="15.6" x14ac:dyDescent="0.3">
      <c r="A17" s="539"/>
      <c r="B17" s="235" t="s">
        <v>82</v>
      </c>
      <c r="C17" s="149" t="str">
        <f>'Quantification Tool R1'!C38</f>
        <v/>
      </c>
      <c r="D17" s="149" t="str">
        <f>'Quantification Tool R1'!D38</f>
        <v/>
      </c>
      <c r="E17" s="48" t="str">
        <f>'Monitoring Data R1'!G32</f>
        <v/>
      </c>
      <c r="F17" s="48" t="str">
        <f>'Monitoring Data R1'!G71</f>
        <v/>
      </c>
      <c r="G17" s="48" t="str">
        <f>'Monitoring Data R1'!G110</f>
        <v/>
      </c>
      <c r="H17" s="48" t="str">
        <f>'Monitoring Data R1'!G149</f>
        <v/>
      </c>
      <c r="I17" s="48" t="str">
        <f>'Monitoring Data R1'!G188</f>
        <v/>
      </c>
      <c r="J17" s="48" t="str">
        <f>'Monitoring Data R1'!G227</f>
        <v/>
      </c>
      <c r="K17" s="48" t="str">
        <f>'Monitoring Data R1'!G267</f>
        <v/>
      </c>
      <c r="L17" s="48" t="str">
        <f>'Monitoring Data R1'!G307</f>
        <v/>
      </c>
      <c r="M17" s="48" t="str">
        <f>'Monitoring Data R1'!G347</f>
        <v/>
      </c>
      <c r="N17" s="48" t="str">
        <f>'Monitoring Data R1'!G387</f>
        <v/>
      </c>
      <c r="O17" s="48" t="str">
        <f>'Monitoring Data R1'!G427</f>
        <v/>
      </c>
    </row>
    <row r="18" spans="1:21" ht="15.6" x14ac:dyDescent="0.3">
      <c r="A18" s="550" t="s">
        <v>59</v>
      </c>
      <c r="B18" s="78" t="s">
        <v>340</v>
      </c>
      <c r="C18" s="149" t="str">
        <f>'Quantification Tool R1'!C39</f>
        <v/>
      </c>
      <c r="D18" s="149" t="str">
        <f>'Quantification Tool R1'!D39</f>
        <v/>
      </c>
      <c r="E18" s="48" t="str">
        <f>'Monitoring Data R1'!G33</f>
        <v/>
      </c>
      <c r="F18" s="48" t="str">
        <f>'Monitoring Data R1'!G72</f>
        <v/>
      </c>
      <c r="G18" s="48" t="str">
        <f>'Monitoring Data R1'!G111</f>
        <v/>
      </c>
      <c r="H18" s="48" t="str">
        <f>'Monitoring Data R1'!G150</f>
        <v/>
      </c>
      <c r="I18" s="48" t="str">
        <f>'Monitoring Data R1'!G189</f>
        <v/>
      </c>
      <c r="J18" s="48" t="str">
        <f>'Monitoring Data R1'!G228</f>
        <v/>
      </c>
      <c r="K18" s="48" t="str">
        <f>'Monitoring Data R1'!G268</f>
        <v/>
      </c>
      <c r="L18" s="48" t="str">
        <f>'Monitoring Data R1'!G308</f>
        <v/>
      </c>
      <c r="M18" s="48" t="str">
        <f>'Monitoring Data R1'!G348</f>
        <v/>
      </c>
      <c r="N18" s="48" t="str">
        <f>'Monitoring Data R1'!G388</f>
        <v/>
      </c>
      <c r="O18" s="48" t="str">
        <f>'Monitoring Data R1'!G428</f>
        <v/>
      </c>
    </row>
    <row r="19" spans="1:21" ht="15.6" x14ac:dyDescent="0.3">
      <c r="A19" s="551"/>
      <c r="B19" s="78" t="s">
        <v>74</v>
      </c>
      <c r="C19" s="149" t="str">
        <f>'Quantification Tool R1'!C40</f>
        <v/>
      </c>
      <c r="D19" s="149" t="str">
        <f>'Quantification Tool R1'!D40</f>
        <v/>
      </c>
      <c r="E19" s="48" t="str">
        <f>'Monitoring Data R1'!G37</f>
        <v/>
      </c>
      <c r="F19" s="48" t="str">
        <f>'Monitoring Data R1'!G76</f>
        <v/>
      </c>
      <c r="G19" s="48" t="str">
        <f>'Monitoring Data R1'!G115</f>
        <v/>
      </c>
      <c r="H19" s="48" t="str">
        <f>'Monitoring Data R1'!G154</f>
        <v/>
      </c>
      <c r="I19" s="48" t="str">
        <f>'Monitoring Data R1'!G193</f>
        <v/>
      </c>
      <c r="J19" s="48" t="str">
        <f>'Monitoring Data R1'!G232</f>
        <v/>
      </c>
      <c r="K19" s="48" t="str">
        <f>'Monitoring Data R1'!G272</f>
        <v/>
      </c>
      <c r="L19" s="48" t="str">
        <f>'Monitoring Data R1'!G312</f>
        <v/>
      </c>
      <c r="M19" s="48" t="str">
        <f>'Monitoring Data R1'!G352</f>
        <v/>
      </c>
      <c r="N19" s="48" t="str">
        <f>'Monitoring Data R1'!G392</f>
        <v/>
      </c>
      <c r="O19" s="48" t="str">
        <f>'Monitoring Data R1'!G432</f>
        <v/>
      </c>
    </row>
    <row r="22" spans="1:21" ht="21" x14ac:dyDescent="0.3">
      <c r="A22" s="625" t="s">
        <v>102</v>
      </c>
      <c r="B22" s="626"/>
      <c r="C22" s="626"/>
      <c r="D22" s="626"/>
      <c r="E22" s="626"/>
      <c r="F22" s="626"/>
      <c r="G22" s="626"/>
      <c r="H22" s="626"/>
      <c r="I22" s="626"/>
      <c r="J22" s="626"/>
      <c r="K22" s="626"/>
      <c r="L22" s="626"/>
      <c r="M22" s="626"/>
      <c r="N22" s="626"/>
      <c r="O22" s="627"/>
    </row>
    <row r="23" spans="1:21" ht="14.4" customHeight="1" x14ac:dyDescent="0.3">
      <c r="A23" s="655" t="s">
        <v>103</v>
      </c>
      <c r="B23" s="656"/>
      <c r="C23" s="646" t="s">
        <v>104</v>
      </c>
      <c r="D23" s="646" t="s">
        <v>105</v>
      </c>
      <c r="E23" s="648" t="s">
        <v>132</v>
      </c>
      <c r="F23" s="650" t="s">
        <v>135</v>
      </c>
      <c r="G23" s="651"/>
      <c r="H23" s="651"/>
      <c r="I23" s="651"/>
      <c r="J23" s="651"/>
      <c r="K23" s="651"/>
      <c r="L23" s="651"/>
      <c r="M23" s="651"/>
      <c r="N23" s="651"/>
      <c r="O23" s="652"/>
      <c r="P23" s="141"/>
      <c r="Q23" s="141"/>
      <c r="R23" s="14"/>
      <c r="S23" s="14"/>
      <c r="T23" s="14"/>
      <c r="U23" s="14"/>
    </row>
    <row r="24" spans="1:21" s="14" customFormat="1" ht="14.4" customHeight="1" x14ac:dyDescent="0.3">
      <c r="A24" s="657"/>
      <c r="B24" s="658"/>
      <c r="C24" s="647"/>
      <c r="D24" s="647"/>
      <c r="E24" s="649"/>
      <c r="F24" s="155">
        <f t="shared" ref="F24:O24" si="0">F4</f>
        <v>2</v>
      </c>
      <c r="G24" s="155">
        <f t="shared" si="0"/>
        <v>3</v>
      </c>
      <c r="H24" s="155">
        <f t="shared" si="0"/>
        <v>5</v>
      </c>
      <c r="I24" s="155" t="e">
        <f t="shared" si="0"/>
        <v>#N/A</v>
      </c>
      <c r="J24" s="155" t="e">
        <f t="shared" si="0"/>
        <v>#N/A</v>
      </c>
      <c r="K24" s="155" t="e">
        <f t="shared" si="0"/>
        <v>#N/A</v>
      </c>
      <c r="L24" s="155" t="e">
        <f t="shared" si="0"/>
        <v>#N/A</v>
      </c>
      <c r="M24" s="155" t="e">
        <f t="shared" si="0"/>
        <v>#N/A</v>
      </c>
      <c r="N24" s="155" t="e">
        <f t="shared" si="0"/>
        <v>#N/A</v>
      </c>
      <c r="O24" s="155" t="e">
        <f t="shared" si="0"/>
        <v>#N/A</v>
      </c>
      <c r="P24" s="141"/>
      <c r="Q24" s="141"/>
    </row>
    <row r="25" spans="1:21" ht="14.4" customHeight="1" x14ac:dyDescent="0.3">
      <c r="A25" s="601" t="s">
        <v>60</v>
      </c>
      <c r="B25" s="601"/>
      <c r="C25" s="150">
        <f>'Quantification Tool R1'!H44</f>
        <v>0.47</v>
      </c>
      <c r="D25" s="150">
        <f>'Quantification Tool R1'!H84</f>
        <v>0.71</v>
      </c>
      <c r="E25" s="146" t="str">
        <f>'Monitoring Data R1'!H3</f>
        <v/>
      </c>
      <c r="F25" s="146" t="str">
        <f>'Monitoring Data R1'!H42</f>
        <v/>
      </c>
      <c r="G25" s="146" t="str">
        <f>'Monitoring Data R1'!H81</f>
        <v/>
      </c>
      <c r="H25" s="146" t="str">
        <f>'Monitoring Data R1'!H120</f>
        <v/>
      </c>
      <c r="I25" s="146" t="str">
        <f>'Monitoring Data R1'!H159</f>
        <v/>
      </c>
      <c r="J25" s="146" t="str">
        <f>'Monitoring Data R1'!H198</f>
        <v/>
      </c>
      <c r="K25" s="146" t="str">
        <f>'Monitoring Data R1'!H238</f>
        <v/>
      </c>
      <c r="L25" s="146" t="str">
        <f>'Monitoring Data R1'!H278</f>
        <v/>
      </c>
      <c r="M25" s="146" t="str">
        <f>'Monitoring Data R1'!H318</f>
        <v/>
      </c>
      <c r="N25" s="146" t="str">
        <f>'Monitoring Data R1'!H358</f>
        <v/>
      </c>
      <c r="O25" s="146" t="str">
        <f>'Monitoring Data R1'!H398</f>
        <v/>
      </c>
      <c r="P25" s="139"/>
      <c r="Q25" s="140"/>
      <c r="R25" s="138"/>
      <c r="S25" s="138"/>
      <c r="T25" s="14"/>
      <c r="U25" s="14"/>
    </row>
    <row r="26" spans="1:21" ht="14.4" customHeight="1" x14ac:dyDescent="0.3">
      <c r="A26" s="602" t="s">
        <v>6</v>
      </c>
      <c r="B26" s="602"/>
      <c r="C26" s="150">
        <f>'Quantification Tool R1'!H46</f>
        <v>0.41</v>
      </c>
      <c r="D26" s="150">
        <f>'Quantification Tool R1'!H86</f>
        <v>1</v>
      </c>
      <c r="E26" s="146" t="str">
        <f>'Monitoring Data R1'!H5</f>
        <v/>
      </c>
      <c r="F26" s="146" t="str">
        <f>'Monitoring Data R1'!H44</f>
        <v/>
      </c>
      <c r="G26" s="146" t="str">
        <f>'Monitoring Data R1'!H83</f>
        <v/>
      </c>
      <c r="H26" s="146" t="str">
        <f>'Monitoring Data R1'!H122</f>
        <v/>
      </c>
      <c r="I26" s="146" t="str">
        <f>'Monitoring Data R1'!H161</f>
        <v/>
      </c>
      <c r="J26" s="146" t="str">
        <f>'Monitoring Data R1'!H200</f>
        <v/>
      </c>
      <c r="K26" s="146" t="str">
        <f>'Monitoring Data R1'!H240</f>
        <v/>
      </c>
      <c r="L26" s="146" t="str">
        <f>'Monitoring Data R1'!H280</f>
        <v/>
      </c>
      <c r="M26" s="146" t="str">
        <f>'Monitoring Data R1'!H320</f>
        <v/>
      </c>
      <c r="N26" s="146" t="str">
        <f>'Monitoring Data R1'!H360</f>
        <v/>
      </c>
      <c r="O26" s="146" t="str">
        <f>'Monitoring Data R1'!H400</f>
        <v/>
      </c>
      <c r="P26" s="139"/>
      <c r="Q26" s="139"/>
      <c r="R26" s="138"/>
      <c r="S26" s="138"/>
      <c r="T26" s="14"/>
      <c r="U26" s="14"/>
    </row>
    <row r="27" spans="1:21" ht="14.4" customHeight="1" x14ac:dyDescent="0.3">
      <c r="A27" s="661" t="s">
        <v>26</v>
      </c>
      <c r="B27" s="661"/>
      <c r="C27" s="150">
        <f>'Quantification Tool R1'!H48</f>
        <v>0.16</v>
      </c>
      <c r="D27" s="150">
        <f>'Quantification Tool R1'!H88</f>
        <v>0.96</v>
      </c>
      <c r="E27" s="146" t="str">
        <f>'Monitoring Data R1'!H7</f>
        <v/>
      </c>
      <c r="F27" s="146" t="str">
        <f>'Monitoring Data R1'!H46</f>
        <v/>
      </c>
      <c r="G27" s="146" t="str">
        <f>'Monitoring Data R1'!H85</f>
        <v/>
      </c>
      <c r="H27" s="146" t="str">
        <f>'Monitoring Data R1'!H124</f>
        <v/>
      </c>
      <c r="I27" s="146" t="str">
        <f>'Monitoring Data R1'!H163</f>
        <v/>
      </c>
      <c r="J27" s="146" t="str">
        <f>'Monitoring Data R1'!H202</f>
        <v/>
      </c>
      <c r="K27" s="146" t="str">
        <f>'Monitoring Data R1'!H242</f>
        <v/>
      </c>
      <c r="L27" s="146" t="str">
        <f>'Monitoring Data R1'!H282</f>
        <v/>
      </c>
      <c r="M27" s="146" t="str">
        <f>'Monitoring Data R1'!H322</f>
        <v/>
      </c>
      <c r="N27" s="146" t="str">
        <f>'Monitoring Data R1'!H362</f>
        <v/>
      </c>
      <c r="O27" s="146" t="str">
        <f>'Monitoring Data R1'!H402</f>
        <v/>
      </c>
      <c r="P27" s="139"/>
      <c r="Q27" s="140"/>
      <c r="R27" s="138"/>
      <c r="S27" s="138"/>
      <c r="T27" s="14"/>
      <c r="U27" s="14"/>
    </row>
    <row r="28" spans="1:21" ht="18" x14ac:dyDescent="0.3">
      <c r="A28" s="662" t="s">
        <v>58</v>
      </c>
      <c r="B28" s="662"/>
      <c r="C28" s="150" t="str">
        <f>'Quantification Tool R1'!H70</f>
        <v/>
      </c>
      <c r="D28" s="150" t="str">
        <f>'Quantification Tool R1'!H110</f>
        <v/>
      </c>
      <c r="E28" s="146" t="str">
        <f>'Monitoring Data R1'!H29</f>
        <v/>
      </c>
      <c r="F28" s="146" t="str">
        <f>'Monitoring Data R1'!H68</f>
        <v/>
      </c>
      <c r="G28" s="146" t="str">
        <f>'Monitoring Data R1'!H107</f>
        <v/>
      </c>
      <c r="H28" s="146" t="str">
        <f>'Monitoring Data R1'!H146</f>
        <v/>
      </c>
      <c r="I28" s="146" t="str">
        <f>'Monitoring Data R1'!H185</f>
        <v/>
      </c>
      <c r="J28" s="146" t="str">
        <f>'Monitoring Data R1'!H224</f>
        <v/>
      </c>
      <c r="K28" s="146" t="str">
        <f>'Monitoring Data R1'!H264</f>
        <v/>
      </c>
      <c r="L28" s="146" t="str">
        <f>'Monitoring Data R1'!H304</f>
        <v/>
      </c>
      <c r="M28" s="146" t="str">
        <f>'Monitoring Data R1'!H344</f>
        <v/>
      </c>
      <c r="N28" s="146" t="str">
        <f>'Monitoring Data R1'!H384</f>
        <v/>
      </c>
      <c r="O28" s="146" t="str">
        <f>'Monitoring Data R1'!H424</f>
        <v/>
      </c>
      <c r="P28" s="139"/>
      <c r="Q28" s="140"/>
      <c r="R28" s="138"/>
      <c r="S28" s="138"/>
      <c r="T28" s="14"/>
      <c r="U28" s="14"/>
    </row>
    <row r="29" spans="1:21" ht="18" x14ac:dyDescent="0.3">
      <c r="A29" s="660" t="s">
        <v>59</v>
      </c>
      <c r="B29" s="660"/>
      <c r="C29" s="150" t="str">
        <f>'Quantification Tool R1'!H74</f>
        <v/>
      </c>
      <c r="D29" s="150" t="str">
        <f>'Quantification Tool R1'!H114</f>
        <v/>
      </c>
      <c r="E29" s="146" t="str">
        <f>'Monitoring Data R1'!H33</f>
        <v/>
      </c>
      <c r="F29" s="146" t="str">
        <f>'Monitoring Data R1'!H72</f>
        <v/>
      </c>
      <c r="G29" s="146" t="str">
        <f>'Monitoring Data R1'!H111</f>
        <v/>
      </c>
      <c r="H29" s="146" t="str">
        <f>'Monitoring Data R1'!H150</f>
        <v/>
      </c>
      <c r="I29" s="146" t="str">
        <f>'Monitoring Data R1'!H189</f>
        <v/>
      </c>
      <c r="J29" s="146" t="str">
        <f>'Monitoring Data R1'!H228</f>
        <v/>
      </c>
      <c r="K29" s="146" t="str">
        <f>'Monitoring Data R1'!H268</f>
        <v/>
      </c>
      <c r="L29" s="146" t="str">
        <f>'Monitoring Data R1'!H308</f>
        <v/>
      </c>
      <c r="M29" s="146" t="str">
        <f>'Monitoring Data R1'!H348</f>
        <v/>
      </c>
      <c r="N29" s="146" t="str">
        <f>'Monitoring Data R1'!H388</f>
        <v/>
      </c>
      <c r="O29" s="146" t="str">
        <f>'Monitoring Data R1'!H428</f>
        <v/>
      </c>
      <c r="P29" s="139"/>
      <c r="Q29" s="139"/>
      <c r="R29" s="138"/>
      <c r="S29" s="138"/>
      <c r="T29" s="14"/>
      <c r="U29" s="14"/>
    </row>
    <row r="30" spans="1:21" ht="18" x14ac:dyDescent="0.35">
      <c r="A30" s="659" t="s">
        <v>133</v>
      </c>
      <c r="B30" s="659"/>
      <c r="C30" s="151">
        <f>ROUND(0.2*SUM(C25:C29),2)</f>
        <v>0.21</v>
      </c>
      <c r="D30" s="151">
        <f>ROUND(0.2*SUM(D25:D29),2)</f>
        <v>0.53</v>
      </c>
      <c r="E30" s="147">
        <f t="shared" ref="E30" si="1">ROUND(0.2*SUM(E25:E29),2)</f>
        <v>0</v>
      </c>
      <c r="F30" s="142">
        <f>IF(F24="","",ROUND(0.2*SUM(F25:F29),2))</f>
        <v>0</v>
      </c>
      <c r="G30" s="142">
        <f>IF(G24="","",ROUND(0.2*SUM(G25:G29),2))</f>
        <v>0</v>
      </c>
      <c r="H30" s="142">
        <f>IF(H24="","",ROUND(0.2*SUM(H25:H29),2))</f>
        <v>0</v>
      </c>
      <c r="I30" s="142" t="e">
        <f t="shared" ref="I30:J30" si="2">IF(I24="","",ROUND(0.2*SUM(I25:I29),2))</f>
        <v>#N/A</v>
      </c>
      <c r="J30" s="142" t="e">
        <f t="shared" si="2"/>
        <v>#N/A</v>
      </c>
      <c r="K30" s="142" t="e">
        <f t="shared" ref="K30:O30" si="3">IF(K24="","",ROUND(0.2*SUM(K25:K29),2))</f>
        <v>#N/A</v>
      </c>
      <c r="L30" s="142" t="e">
        <f t="shared" si="3"/>
        <v>#N/A</v>
      </c>
      <c r="M30" s="142" t="e">
        <f t="shared" si="3"/>
        <v>#N/A</v>
      </c>
      <c r="N30" s="142" t="e">
        <f t="shared" si="3"/>
        <v>#N/A</v>
      </c>
      <c r="O30" s="142" t="e">
        <f t="shared" si="3"/>
        <v>#N/A</v>
      </c>
    </row>
    <row r="31" spans="1:21" ht="18" x14ac:dyDescent="0.35">
      <c r="A31" s="659" t="s">
        <v>134</v>
      </c>
      <c r="B31" s="659"/>
      <c r="C31" s="151">
        <f>ROUND(C30*'Quantification Tool R1'!B15,0)</f>
        <v>630</v>
      </c>
      <c r="D31" s="152">
        <f>ROUND(D30*'Quantification Tool R1'!$B$16,0)</f>
        <v>1855</v>
      </c>
      <c r="E31" s="145">
        <f>ROUND(E30*'Quantification Tool R1'!$B$16,0)</f>
        <v>0</v>
      </c>
      <c r="F31" s="153">
        <f>IFERROR(ROUND(F30*'Quantification Tool R1'!$B$16,0),"")</f>
        <v>0</v>
      </c>
      <c r="G31" s="153">
        <f>IFERROR(ROUND(G30*'Quantification Tool R1'!$B$16,0),"")</f>
        <v>0</v>
      </c>
      <c r="H31" s="153">
        <f>IFERROR(ROUND(H30*'Quantification Tool R1'!$B$16,0),"")</f>
        <v>0</v>
      </c>
      <c r="I31" s="153" t="str">
        <f>IFERROR(ROUND(I30*'Quantification Tool R1'!$B$16,0),"")</f>
        <v/>
      </c>
      <c r="J31" s="153" t="str">
        <f>IFERROR(ROUND(J30*'Quantification Tool R1'!$B$16,0),"")</f>
        <v/>
      </c>
      <c r="K31" s="145" t="str">
        <f>IFERROR(ROUND(K30*'Quantification Tool R1'!$B$16,0),"")</f>
        <v/>
      </c>
      <c r="L31" s="153" t="str">
        <f>IFERROR(ROUND(L30*'Quantification Tool R1'!$B$16,0),"")</f>
        <v/>
      </c>
      <c r="M31" s="153" t="str">
        <f>IFERROR(ROUND(M30*'Quantification Tool R1'!$B$16,0),"")</f>
        <v/>
      </c>
      <c r="N31" s="153" t="str">
        <f>IFERROR(ROUND(N30*'Quantification Tool R1'!$B$16,0),"")</f>
        <v/>
      </c>
      <c r="O31" s="153" t="str">
        <f>IFERROR(ROUND(O30*'Quantification Tool R1'!$B$16,0),"")</f>
        <v/>
      </c>
    </row>
    <row r="32" spans="1:21" ht="18" x14ac:dyDescent="0.35">
      <c r="C32" s="143"/>
    </row>
    <row r="34" spans="1:1" x14ac:dyDescent="0.3">
      <c r="A34" s="154" t="s">
        <v>136</v>
      </c>
    </row>
    <row r="35" spans="1:1" x14ac:dyDescent="0.3">
      <c r="A35" s="154">
        <f>IFERROR(O24,IFERROR(N24,IFERROR(M24,IFERROR(L24,IFERROR(K24,IFERROR(J24,IFERROR(I24,IFERROR(H24,IFERROR(G24,F24)))))))))</f>
        <v>5</v>
      </c>
    </row>
  </sheetData>
  <sheetProtection password="9A90" sheet="1" objects="1" scenarios="1" selectLockedCells="1"/>
  <mergeCells count="24">
    <mergeCell ref="A18:A19"/>
    <mergeCell ref="A31:B31"/>
    <mergeCell ref="A29:B29"/>
    <mergeCell ref="A30:B30"/>
    <mergeCell ref="A25:B25"/>
    <mergeCell ref="A26:B26"/>
    <mergeCell ref="A27:B27"/>
    <mergeCell ref="A28:B28"/>
    <mergeCell ref="C23:C24"/>
    <mergeCell ref="D23:D24"/>
    <mergeCell ref="E23:E24"/>
    <mergeCell ref="F23:O23"/>
    <mergeCell ref="A2:O2"/>
    <mergeCell ref="A22:O22"/>
    <mergeCell ref="A3:A4"/>
    <mergeCell ref="B3:B4"/>
    <mergeCell ref="C3:C4"/>
    <mergeCell ref="D3:D4"/>
    <mergeCell ref="E3:E4"/>
    <mergeCell ref="F3:O3"/>
    <mergeCell ref="A23:B24"/>
    <mergeCell ref="A5:A6"/>
    <mergeCell ref="A8:A13"/>
    <mergeCell ref="A14:A17"/>
  </mergeCells>
  <conditionalFormatting sqref="A18">
    <cfRule type="beginsWith" dxfId="9126" priority="101" stopIfTrue="1" operator="beginsWith" text="Functioning At Risk">
      <formula>LEFT(A18,LEN("Functioning At Risk"))="Functioning At Risk"</formula>
    </cfRule>
    <cfRule type="beginsWith" dxfId="9125" priority="102" stopIfTrue="1" operator="beginsWith" text="Not Functioning">
      <formula>LEFT(A18,LEN("Not Functioning"))="Not Functioning"</formula>
    </cfRule>
    <cfRule type="containsText" dxfId="9124" priority="103" operator="containsText" text="Functioning">
      <formula>NOT(ISERROR(SEARCH("Functioning",A18)))</formula>
    </cfRule>
  </conditionalFormatting>
  <conditionalFormatting sqref="B18">
    <cfRule type="beginsWith" dxfId="9123" priority="95" stopIfTrue="1" operator="beginsWith" text="Functioning At Risk">
      <formula>LEFT(B18,LEN("Functioning At Risk"))="Functioning At Risk"</formula>
    </cfRule>
    <cfRule type="beginsWith" dxfId="9122" priority="96" stopIfTrue="1" operator="beginsWith" text="Not Functioning">
      <formula>LEFT(B18,LEN("Not Functioning"))="Not Functioning"</formula>
    </cfRule>
    <cfRule type="containsText" dxfId="9121" priority="97" operator="containsText" text="Functioning">
      <formula>NOT(ISERROR(SEARCH("Functioning",B18)))</formula>
    </cfRule>
  </conditionalFormatting>
  <conditionalFormatting sqref="B19">
    <cfRule type="beginsWith" dxfId="9120" priority="92" stopIfTrue="1" operator="beginsWith" text="Functioning At Risk">
      <formula>LEFT(B19,LEN("Functioning At Risk"))="Functioning At Risk"</formula>
    </cfRule>
    <cfRule type="beginsWith" dxfId="9119" priority="93" stopIfTrue="1" operator="beginsWith" text="Not Functioning">
      <formula>LEFT(B19,LEN("Not Functioning"))="Not Functioning"</formula>
    </cfRule>
    <cfRule type="containsText" dxfId="9118" priority="94" operator="containsText" text="Functioning">
      <formula>NOT(ISERROR(SEARCH("Functioning",B19)))</formula>
    </cfRule>
  </conditionalFormatting>
  <conditionalFormatting sqref="A14">
    <cfRule type="beginsWith" dxfId="9117" priority="83" stopIfTrue="1" operator="beginsWith" text="Functioning At Risk">
      <formula>LEFT(A14,LEN("Functioning At Risk"))="Functioning At Risk"</formula>
    </cfRule>
    <cfRule type="beginsWith" dxfId="9116" priority="84" stopIfTrue="1" operator="beginsWith" text="Not Functioning">
      <formula>LEFT(A14,LEN("Not Functioning"))="Not Functioning"</formula>
    </cfRule>
    <cfRule type="containsText" dxfId="9115" priority="85" operator="containsText" text="Functioning">
      <formula>NOT(ISERROR(SEARCH("Functioning",A14)))</formula>
    </cfRule>
  </conditionalFormatting>
  <conditionalFormatting sqref="C25:O29 C5:O19">
    <cfRule type="cellIs" dxfId="9114" priority="98" operator="between">
      <formula>0</formula>
      <formula>0.299999</formula>
    </cfRule>
    <cfRule type="cellIs" dxfId="9113" priority="99" operator="between">
      <formula>0.6999999</formula>
      <formula>0.3</formula>
    </cfRule>
    <cfRule type="cellIs" dxfId="9112" priority="100" operator="between">
      <formula>0.7</formula>
      <formula>1</formula>
    </cfRule>
  </conditionalFormatting>
  <conditionalFormatting sqref="Q28:S28">
    <cfRule type="beginsWith" dxfId="9111" priority="23" stopIfTrue="1" operator="beginsWith" text="Functioning At Risk">
      <formula>LEFT(Q28,LEN("Functioning At Risk"))="Functioning At Risk"</formula>
    </cfRule>
    <cfRule type="beginsWith" dxfId="9110" priority="24" stopIfTrue="1" operator="beginsWith" text="Not Functioning">
      <formula>LEFT(Q28,LEN("Not Functioning"))="Not Functioning"</formula>
    </cfRule>
    <cfRule type="containsText" dxfId="9109" priority="25" operator="containsText" text="Functioning">
      <formula>NOT(ISERROR(SEARCH("Functioning",Q28)))</formula>
    </cfRule>
  </conditionalFormatting>
  <conditionalFormatting sqref="P28">
    <cfRule type="beginsWith" dxfId="9108" priority="20" stopIfTrue="1" operator="beginsWith" text="Functioning At Risk">
      <formula>LEFT(P28,LEN("Functioning At Risk"))="Functioning At Risk"</formula>
    </cfRule>
    <cfRule type="beginsWith" dxfId="9107" priority="21" stopIfTrue="1" operator="beginsWith" text="Not Functioning">
      <formula>LEFT(P28,LEN("Not Functioning"))="Not Functioning"</formula>
    </cfRule>
    <cfRule type="containsText" dxfId="9106" priority="22" operator="containsText" text="Functioning">
      <formula>NOT(ISERROR(SEARCH("Functioning",P28)))</formula>
    </cfRule>
  </conditionalFormatting>
  <conditionalFormatting sqref="P23:P24">
    <cfRule type="beginsWith" dxfId="9105" priority="56" stopIfTrue="1" operator="beginsWith" text="Functioning At Risk">
      <formula>LEFT(P23,LEN("Functioning At Risk"))="Functioning At Risk"</formula>
    </cfRule>
    <cfRule type="beginsWith" dxfId="9104" priority="57" stopIfTrue="1" operator="beginsWith" text="Not Functioning">
      <formula>LEFT(P23,LEN("Not Functioning"))="Not Functioning"</formula>
    </cfRule>
    <cfRule type="containsText" dxfId="9103" priority="58" operator="containsText" text="Functioning">
      <formula>NOT(ISERROR(SEARCH("Functioning",P23)))</formula>
    </cfRule>
  </conditionalFormatting>
  <conditionalFormatting sqref="A22">
    <cfRule type="beginsWith" dxfId="9102" priority="50" stopIfTrue="1" operator="beginsWith" text="Functioning At Risk">
      <formula>LEFT(A22,LEN("Functioning At Risk"))="Functioning At Risk"</formula>
    </cfRule>
    <cfRule type="beginsWith" dxfId="9101" priority="51" stopIfTrue="1" operator="beginsWith" text="Not Functioning">
      <formula>LEFT(A22,LEN("Not Functioning"))="Not Functioning"</formula>
    </cfRule>
    <cfRule type="containsText" dxfId="9100" priority="52" operator="containsText" text="Functioning">
      <formula>NOT(ISERROR(SEARCH("Functioning",A22)))</formula>
    </cfRule>
  </conditionalFormatting>
  <conditionalFormatting sqref="A28">
    <cfRule type="beginsWith" dxfId="9099" priority="47" stopIfTrue="1" operator="beginsWith" text="Functioning At Risk">
      <formula>LEFT(A28,LEN("Functioning At Risk"))="Functioning At Risk"</formula>
    </cfRule>
    <cfRule type="beginsWith" dxfId="9098" priority="48" stopIfTrue="1" operator="beginsWith" text="Not Functioning">
      <formula>LEFT(A28,LEN("Not Functioning"))="Not Functioning"</formula>
    </cfRule>
    <cfRule type="containsText" dxfId="9097" priority="49" operator="containsText" text="Functioning">
      <formula>NOT(ISERROR(SEARCH("Functioning",A28)))</formula>
    </cfRule>
  </conditionalFormatting>
  <conditionalFormatting sqref="A27">
    <cfRule type="beginsWith" dxfId="9096" priority="44" stopIfTrue="1" operator="beginsWith" text="Functioning At Risk">
      <formula>LEFT(A27,LEN("Functioning At Risk"))="Functioning At Risk"</formula>
    </cfRule>
    <cfRule type="beginsWith" dxfId="9095" priority="45" stopIfTrue="1" operator="beginsWith" text="Not Functioning">
      <formula>LEFT(A27,LEN("Not Functioning"))="Not Functioning"</formula>
    </cfRule>
    <cfRule type="containsText" dxfId="9094" priority="46" operator="containsText" text="Functioning">
      <formula>NOT(ISERROR(SEARCH("Functioning",A27)))</formula>
    </cfRule>
  </conditionalFormatting>
  <conditionalFormatting sqref="A26">
    <cfRule type="beginsWith" dxfId="9093" priority="41" stopIfTrue="1" operator="beginsWith" text="Functioning At Risk">
      <formula>LEFT(A26,LEN("Functioning At Risk"))="Functioning At Risk"</formula>
    </cfRule>
    <cfRule type="beginsWith" dxfId="9092" priority="42" stopIfTrue="1" operator="beginsWith" text="Not Functioning">
      <formula>LEFT(A26,LEN("Not Functioning"))="Not Functioning"</formula>
    </cfRule>
    <cfRule type="containsText" dxfId="9091" priority="43" operator="containsText" text="Functioning">
      <formula>NOT(ISERROR(SEARCH("Functioning",A26)))</formula>
    </cfRule>
  </conditionalFormatting>
  <conditionalFormatting sqref="A29">
    <cfRule type="beginsWith" dxfId="9090" priority="32" stopIfTrue="1" operator="beginsWith" text="Functioning At Risk">
      <formula>LEFT(A29,LEN("Functioning At Risk"))="Functioning At Risk"</formula>
    </cfRule>
    <cfRule type="beginsWith" dxfId="9089" priority="33" stopIfTrue="1" operator="beginsWith" text="Not Functioning">
      <formula>LEFT(A29,LEN("Not Functioning"))="Not Functioning"</formula>
    </cfRule>
    <cfRule type="containsText" dxfId="9088" priority="34" operator="containsText" text="Functioning">
      <formula>NOT(ISERROR(SEARCH("Functioning",A29)))</formula>
    </cfRule>
  </conditionalFormatting>
  <conditionalFormatting sqref="P29:S29 P26:S27">
    <cfRule type="beginsWith" dxfId="9087" priority="29" stopIfTrue="1" operator="beginsWith" text="Functioning At Risk">
      <formula>LEFT(P26,LEN("Functioning At Risk"))="Functioning At Risk"</formula>
    </cfRule>
    <cfRule type="beginsWith" dxfId="9086" priority="30" stopIfTrue="1" operator="beginsWith" text="Not Functioning">
      <formula>LEFT(P26,LEN("Not Functioning"))="Not Functioning"</formula>
    </cfRule>
    <cfRule type="containsText" dxfId="9085" priority="31" operator="containsText" text="Functioning">
      <formula>NOT(ISERROR(SEARCH("Functioning",P26)))</formula>
    </cfRule>
  </conditionalFormatting>
  <conditionalFormatting sqref="F4:O4">
    <cfRule type="containsErrors" dxfId="9084" priority="7">
      <formula>ISERROR(F4)</formula>
    </cfRule>
  </conditionalFormatting>
  <conditionalFormatting sqref="F24:O24">
    <cfRule type="containsErrors" dxfId="9083" priority="6">
      <formula>ISERROR(F24)</formula>
    </cfRule>
  </conditionalFormatting>
  <conditionalFormatting sqref="E30:O30">
    <cfRule type="containsErrors" dxfId="9082" priority="5">
      <formula>ISERROR(E30)</formula>
    </cfRule>
  </conditionalFormatting>
  <conditionalFormatting sqref="B16:B17 B14">
    <cfRule type="beginsWith" dxfId="9081" priority="2" stopIfTrue="1" operator="beginsWith" text="Functioning At Risk">
      <formula>LEFT(B14,LEN("Functioning At Risk"))="Functioning At Risk"</formula>
    </cfRule>
    <cfRule type="beginsWith" dxfId="9080" priority="3" stopIfTrue="1" operator="beginsWith" text="Not Functioning">
      <formula>LEFT(B14,LEN("Not Functioning"))="Not Functioning"</formula>
    </cfRule>
    <cfRule type="containsText" dxfId="9079" priority="4" operator="containsText" text="Functioning">
      <formula>NOT(ISERROR(SEARCH("Functioning",B14)))</formula>
    </cfRule>
  </conditionalFormatting>
  <pageMargins left="0.7" right="0.7" top="0.75" bottom="0.75" header="0.3" footer="0.3"/>
  <pageSetup paperSize="3" orientation="landscape" r:id="rId1"/>
  <headerFooter>
    <oddHeader>&amp;C&amp;"-,Bold"TN SQT v1.0
Data Summary Spreadsheet Reach 1</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96E145F8-CD3E-47EE-913A-D031FC666E76}">
            <xm:f>'Quantification Tool R1'!$B$18="Ephemeral"</xm:f>
            <x14:dxf>
              <fill>
                <patternFill patternType="darkDown"/>
              </fill>
            </x14:dxf>
          </x14:cfRule>
          <xm:sqref>C7:O7 C11:O19 C26:O26 C28:O29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1"/>
  <sheetViews>
    <sheetView zoomScale="70" zoomScaleNormal="70" zoomScalePageLayoutView="70" workbookViewId="0">
      <selection activeCell="B13" sqref="B13"/>
    </sheetView>
  </sheetViews>
  <sheetFormatPr defaultColWidth="9.109375" defaultRowHeight="14.4" x14ac:dyDescent="0.3"/>
  <cols>
    <col min="1" max="1" width="30.6640625" style="14" customWidth="1"/>
    <col min="2" max="2" width="30.88671875" style="14" customWidth="1"/>
    <col min="3" max="4" width="24" style="14" customWidth="1"/>
    <col min="5" max="5" width="21.6640625" style="14" customWidth="1"/>
    <col min="6" max="7" width="14" style="14" customWidth="1"/>
    <col min="8" max="9" width="13.109375" style="14" customWidth="1"/>
    <col min="10" max="10" width="9.6640625" style="14" customWidth="1"/>
    <col min="11" max="11" width="12.44140625" style="316" customWidth="1"/>
    <col min="12" max="12" width="18.5546875" style="14" customWidth="1"/>
    <col min="13" max="13" width="13.6640625" style="14" customWidth="1"/>
    <col min="14" max="16384" width="9.109375" style="14"/>
  </cols>
  <sheetData>
    <row r="1" spans="1:11" ht="21" x14ac:dyDescent="0.4">
      <c r="A1" s="612" t="s">
        <v>438</v>
      </c>
      <c r="B1" s="612"/>
      <c r="D1" s="544" t="s">
        <v>64</v>
      </c>
      <c r="E1" s="545"/>
      <c r="F1" s="545"/>
      <c r="G1" s="545"/>
      <c r="H1" s="545"/>
      <c r="I1" s="545"/>
      <c r="J1" s="546"/>
    </row>
    <row r="2" spans="1:11" ht="15.6" x14ac:dyDescent="0.3">
      <c r="A2" s="612"/>
      <c r="B2" s="612"/>
      <c r="D2" s="613" t="s">
        <v>65</v>
      </c>
      <c r="E2" s="614"/>
      <c r="F2" s="614"/>
      <c r="G2" s="614"/>
      <c r="H2" s="614"/>
      <c r="I2" s="614"/>
      <c r="J2" s="615"/>
    </row>
    <row r="3" spans="1:11" ht="15.75" customHeight="1" x14ac:dyDescent="0.3">
      <c r="A3" s="612"/>
      <c r="B3" s="612"/>
      <c r="D3" s="619" t="s">
        <v>138</v>
      </c>
      <c r="E3" s="620"/>
      <c r="F3" s="620"/>
      <c r="G3" s="620"/>
      <c r="H3" s="620"/>
      <c r="I3" s="620"/>
      <c r="J3" s="621"/>
    </row>
    <row r="4" spans="1:11" ht="15.6" x14ac:dyDescent="0.3">
      <c r="A4" s="42" t="s">
        <v>109</v>
      </c>
      <c r="B4" s="43"/>
      <c r="D4" s="622" t="s">
        <v>137</v>
      </c>
      <c r="E4" s="623"/>
      <c r="F4" s="623"/>
      <c r="G4" s="623"/>
      <c r="H4" s="623"/>
      <c r="I4" s="623"/>
      <c r="J4" s="624"/>
    </row>
    <row r="5" spans="1:11" ht="15.6" x14ac:dyDescent="0.3">
      <c r="A5" s="42" t="s">
        <v>100</v>
      </c>
      <c r="B5" s="43"/>
      <c r="D5" s="616" t="s">
        <v>390</v>
      </c>
      <c r="E5" s="617"/>
      <c r="F5" s="617"/>
      <c r="G5" s="617"/>
      <c r="H5" s="617"/>
      <c r="I5" s="617"/>
      <c r="J5" s="618"/>
    </row>
    <row r="6" spans="1:11" ht="15.6" x14ac:dyDescent="0.3">
      <c r="A6" s="335" t="s">
        <v>434</v>
      </c>
      <c r="B6" s="43"/>
      <c r="D6" s="362"/>
      <c r="E6" s="362"/>
      <c r="F6" s="362"/>
      <c r="G6" s="362"/>
      <c r="H6" s="362"/>
      <c r="I6" s="362"/>
      <c r="J6" s="362"/>
    </row>
    <row r="7" spans="1:11" ht="15.6" x14ac:dyDescent="0.3">
      <c r="A7" s="335" t="s">
        <v>435</v>
      </c>
      <c r="B7" s="43"/>
      <c r="D7" s="362"/>
      <c r="E7" s="362"/>
      <c r="F7" s="362"/>
      <c r="G7" s="362"/>
      <c r="H7" s="362"/>
      <c r="I7" s="362"/>
      <c r="J7" s="362"/>
    </row>
    <row r="8" spans="1:11" ht="15.6" x14ac:dyDescent="0.3">
      <c r="A8" s="335" t="s">
        <v>436</v>
      </c>
      <c r="B8" s="43"/>
      <c r="D8" s="362"/>
      <c r="E8" s="362"/>
      <c r="F8" s="362"/>
      <c r="G8" s="362"/>
      <c r="H8" s="362"/>
      <c r="I8" s="362"/>
      <c r="J8" s="362"/>
    </row>
    <row r="9" spans="1:11" ht="15.6" x14ac:dyDescent="0.3">
      <c r="A9" s="335" t="s">
        <v>437</v>
      </c>
      <c r="B9" s="43"/>
      <c r="D9" s="362"/>
      <c r="E9" s="362"/>
      <c r="F9" s="362"/>
      <c r="G9" s="362"/>
      <c r="H9" s="362"/>
      <c r="I9" s="362"/>
      <c r="J9" s="362"/>
    </row>
    <row r="10" spans="1:11" ht="16.2" thickBot="1" x14ac:dyDescent="0.35">
      <c r="A10" s="42" t="s">
        <v>101</v>
      </c>
      <c r="B10" s="336"/>
      <c r="C10" s="13"/>
    </row>
    <row r="11" spans="1:11" ht="19.95" customHeight="1" x14ac:dyDescent="0.4">
      <c r="A11" s="42" t="s">
        <v>329</v>
      </c>
      <c r="B11" s="336"/>
      <c r="C11" s="13"/>
      <c r="D11" s="544" t="s">
        <v>63</v>
      </c>
      <c r="E11" s="545"/>
      <c r="F11" s="546"/>
      <c r="H11" s="605" t="s">
        <v>400</v>
      </c>
      <c r="I11" s="606"/>
      <c r="J11" s="607"/>
      <c r="K11" s="318"/>
    </row>
    <row r="12" spans="1:11" ht="24" thickBot="1" x14ac:dyDescent="0.5">
      <c r="A12" s="42" t="s">
        <v>363</v>
      </c>
      <c r="B12" s="336"/>
      <c r="C12" s="40"/>
      <c r="D12" s="88" t="s">
        <v>116</v>
      </c>
      <c r="E12" s="89"/>
      <c r="F12" s="303" t="str">
        <f>IFERROR(ROUND(J45,2),"")</f>
        <v/>
      </c>
      <c r="G12" s="114"/>
      <c r="H12" s="332" t="str">
        <f>F20</f>
        <v/>
      </c>
      <c r="I12" s="608" t="s">
        <v>401</v>
      </c>
      <c r="J12" s="609"/>
      <c r="K12" s="319"/>
    </row>
    <row r="13" spans="1:11" ht="15.6" x14ac:dyDescent="0.3">
      <c r="A13" s="42" t="s">
        <v>17</v>
      </c>
      <c r="B13" s="43"/>
      <c r="C13" s="40"/>
      <c r="D13" s="90" t="s">
        <v>117</v>
      </c>
      <c r="E13" s="91"/>
      <c r="F13" s="303" t="str">
        <f>IFERROR(ROUND(J85,2),"")</f>
        <v/>
      </c>
      <c r="G13" s="117"/>
      <c r="H13" s="176"/>
      <c r="I13" s="21"/>
      <c r="J13" s="21"/>
      <c r="K13" s="319"/>
    </row>
    <row r="14" spans="1:11" ht="15.6" x14ac:dyDescent="0.3">
      <c r="A14" s="42" t="s">
        <v>85</v>
      </c>
      <c r="B14" s="336"/>
      <c r="C14" s="40"/>
      <c r="D14" s="603" t="s">
        <v>396</v>
      </c>
      <c r="E14" s="604"/>
      <c r="F14" s="113" t="str">
        <f>IFERROR(F13-F12,"")</f>
        <v/>
      </c>
      <c r="G14" s="117"/>
      <c r="H14" s="176"/>
      <c r="I14" s="21"/>
      <c r="J14" s="21"/>
      <c r="K14" s="319"/>
    </row>
    <row r="15" spans="1:11" ht="15.6" x14ac:dyDescent="0.3">
      <c r="A15" s="42" t="s">
        <v>341</v>
      </c>
      <c r="B15" s="43"/>
      <c r="C15" s="41"/>
      <c r="D15" s="88" t="s">
        <v>343</v>
      </c>
      <c r="E15" s="89"/>
      <c r="F15" s="46" t="str">
        <f>IF(B15="","",B15)</f>
        <v/>
      </c>
      <c r="G15" s="118"/>
      <c r="H15" s="178"/>
      <c r="I15" s="178"/>
      <c r="J15" s="178"/>
      <c r="K15" s="320"/>
    </row>
    <row r="16" spans="1:11" ht="15.6" x14ac:dyDescent="0.3">
      <c r="A16" s="42" t="s">
        <v>342</v>
      </c>
      <c r="B16" s="43"/>
      <c r="C16" s="40"/>
      <c r="D16" s="88" t="s">
        <v>344</v>
      </c>
      <c r="E16" s="89"/>
      <c r="F16" s="46" t="str">
        <f>IF(B16="","",B16)</f>
        <v/>
      </c>
      <c r="G16" s="117"/>
      <c r="H16" s="21"/>
      <c r="I16" s="21"/>
      <c r="J16" s="21"/>
      <c r="K16" s="321"/>
    </row>
    <row r="17" spans="1:12" ht="15.6" x14ac:dyDescent="0.3">
      <c r="A17" s="42" t="s">
        <v>209</v>
      </c>
      <c r="B17" s="43"/>
      <c r="C17" s="41"/>
      <c r="D17" s="80" t="s">
        <v>345</v>
      </c>
      <c r="E17" s="81"/>
      <c r="F17" s="46" t="str">
        <f>IFERROR(F16-F15,"")</f>
        <v/>
      </c>
      <c r="G17" s="117"/>
      <c r="H17" s="21"/>
      <c r="I17" s="21"/>
      <c r="J17" s="21"/>
      <c r="K17" s="321"/>
    </row>
    <row r="18" spans="1:12" ht="16.2" customHeight="1" x14ac:dyDescent="0.4">
      <c r="A18" s="42" t="s">
        <v>403</v>
      </c>
      <c r="B18" s="336"/>
      <c r="C18" s="41"/>
      <c r="D18" s="80" t="s">
        <v>397</v>
      </c>
      <c r="E18" s="81"/>
      <c r="F18" s="47" t="str">
        <f>IFERROR(F12*F15,"")</f>
        <v/>
      </c>
      <c r="G18" s="117"/>
      <c r="H18" s="114"/>
      <c r="I18" s="114"/>
      <c r="J18" s="114"/>
      <c r="K18" s="318"/>
    </row>
    <row r="19" spans="1:12" ht="16.2" thickBot="1" x14ac:dyDescent="0.35">
      <c r="A19" s="44" t="s">
        <v>119</v>
      </c>
      <c r="B19" s="336"/>
      <c r="C19" s="40"/>
      <c r="D19" s="92" t="s">
        <v>398</v>
      </c>
      <c r="E19" s="93"/>
      <c r="F19" s="328" t="str">
        <f>IFERROR(F16*F13,"")</f>
        <v/>
      </c>
      <c r="G19" s="116"/>
      <c r="H19" s="176"/>
      <c r="I19" s="21"/>
      <c r="J19" s="21"/>
      <c r="K19" s="319"/>
    </row>
    <row r="20" spans="1:12" ht="16.2" thickBot="1" x14ac:dyDescent="0.35">
      <c r="A20" s="181" t="s">
        <v>186</v>
      </c>
      <c r="B20" s="336"/>
      <c r="C20" s="41"/>
      <c r="D20" s="327" t="s">
        <v>399</v>
      </c>
      <c r="E20" s="329"/>
      <c r="F20" s="330" t="str">
        <f>IFERROR(F19-F18,"")</f>
        <v/>
      </c>
      <c r="G20" s="116"/>
      <c r="H20" s="176"/>
      <c r="I20" s="21"/>
      <c r="J20" s="21"/>
      <c r="K20" s="319"/>
    </row>
    <row r="21" spans="1:12" ht="15.6" x14ac:dyDescent="0.3">
      <c r="A21" s="42" t="s">
        <v>316</v>
      </c>
      <c r="B21" s="336"/>
      <c r="C21" s="41"/>
      <c r="G21" s="116"/>
      <c r="H21" s="118"/>
      <c r="I21" s="21"/>
      <c r="J21" s="21"/>
      <c r="K21" s="319"/>
    </row>
    <row r="22" spans="1:12" ht="23.4" x14ac:dyDescent="0.45">
      <c r="C22" s="41"/>
      <c r="D22" s="628" t="str">
        <f>IF(OR(C28="",C30="",C31="",C33="",D28="",D30="",D31="",D33=""),"WARNING: Sufficient data are not provided.","")</f>
        <v>WARNING: Sufficient data are not provided.</v>
      </c>
      <c r="E22" s="628"/>
      <c r="F22" s="628"/>
      <c r="G22" s="628"/>
      <c r="H22" s="628"/>
      <c r="I22" s="628"/>
      <c r="J22" s="628"/>
      <c r="K22" s="628"/>
      <c r="L22" s="21"/>
    </row>
    <row r="23" spans="1:12" ht="30.75" customHeight="1" x14ac:dyDescent="0.3">
      <c r="A23" s="625" t="s">
        <v>118</v>
      </c>
      <c r="B23" s="626"/>
      <c r="C23" s="626"/>
      <c r="D23" s="627"/>
      <c r="E23" s="120"/>
      <c r="F23" s="629" t="s">
        <v>102</v>
      </c>
      <c r="G23" s="629"/>
      <c r="H23" s="629"/>
      <c r="I23" s="629"/>
      <c r="J23" s="629"/>
      <c r="K23" s="629"/>
    </row>
    <row r="24" spans="1:12" ht="15" customHeight="1" x14ac:dyDescent="0.3">
      <c r="A24" s="532" t="s">
        <v>1</v>
      </c>
      <c r="B24" s="532" t="s">
        <v>2</v>
      </c>
      <c r="C24" s="642" t="s">
        <v>66</v>
      </c>
      <c r="D24" s="642" t="s">
        <v>67</v>
      </c>
      <c r="E24" s="121"/>
      <c r="F24" s="527" t="s">
        <v>103</v>
      </c>
      <c r="G24" s="527"/>
      <c r="H24" s="527" t="s">
        <v>104</v>
      </c>
      <c r="I24" s="527" t="s">
        <v>105</v>
      </c>
      <c r="J24" s="527" t="s">
        <v>106</v>
      </c>
      <c r="K24" s="527"/>
    </row>
    <row r="25" spans="1:12" ht="15" customHeight="1" x14ac:dyDescent="0.3">
      <c r="A25" s="533"/>
      <c r="B25" s="533"/>
      <c r="C25" s="643"/>
      <c r="D25" s="643"/>
      <c r="E25" s="121"/>
      <c r="F25" s="527"/>
      <c r="G25" s="527"/>
      <c r="H25" s="527"/>
      <c r="I25" s="527"/>
      <c r="J25" s="527"/>
      <c r="K25" s="527"/>
    </row>
    <row r="26" spans="1:12" ht="15.75" customHeight="1" x14ac:dyDescent="0.3">
      <c r="A26" s="540" t="s">
        <v>60</v>
      </c>
      <c r="B26" s="75" t="s">
        <v>86</v>
      </c>
      <c r="C26" s="48" t="str">
        <f>G45</f>
        <v/>
      </c>
      <c r="D26" s="48" t="str">
        <f>G85</f>
        <v/>
      </c>
      <c r="E26" s="122"/>
      <c r="F26" s="601" t="s">
        <v>60</v>
      </c>
      <c r="G26" s="601"/>
      <c r="H26" s="591" t="str">
        <f>H45</f>
        <v/>
      </c>
      <c r="I26" s="591" t="str">
        <f>H85</f>
        <v/>
      </c>
      <c r="J26" s="591" t="str">
        <f>IFERROR(ROUND(I26-H26,2),"")</f>
        <v/>
      </c>
      <c r="K26" s="591"/>
    </row>
    <row r="27" spans="1:12" ht="17.25" customHeight="1" x14ac:dyDescent="0.3">
      <c r="A27" s="571"/>
      <c r="B27" s="75" t="s">
        <v>128</v>
      </c>
      <c r="C27" s="48" t="str">
        <f>G46</f>
        <v/>
      </c>
      <c r="D27" s="48" t="str">
        <f>G86</f>
        <v/>
      </c>
      <c r="E27" s="122"/>
      <c r="F27" s="601"/>
      <c r="G27" s="601"/>
      <c r="H27" s="591"/>
      <c r="I27" s="591"/>
      <c r="J27" s="591"/>
      <c r="K27" s="591"/>
    </row>
    <row r="28" spans="1:12" ht="15.75" customHeight="1" x14ac:dyDescent="0.3">
      <c r="A28" s="76" t="s">
        <v>6</v>
      </c>
      <c r="B28" s="76" t="s">
        <v>7</v>
      </c>
      <c r="C28" s="48" t="str">
        <f>G47</f>
        <v/>
      </c>
      <c r="D28" s="48" t="str">
        <f>G87</f>
        <v/>
      </c>
      <c r="E28" s="122"/>
      <c r="F28" s="601"/>
      <c r="G28" s="601"/>
      <c r="H28" s="591"/>
      <c r="I28" s="591"/>
      <c r="J28" s="591"/>
      <c r="K28" s="591"/>
    </row>
    <row r="29" spans="1:12" ht="15.75" customHeight="1" x14ac:dyDescent="0.3">
      <c r="A29" s="526" t="s">
        <v>26</v>
      </c>
      <c r="B29" s="77" t="s">
        <v>27</v>
      </c>
      <c r="C29" s="48" t="str">
        <f>G49</f>
        <v/>
      </c>
      <c r="D29" s="48" t="str">
        <f>G89</f>
        <v/>
      </c>
      <c r="E29" s="122"/>
      <c r="F29" s="602" t="s">
        <v>6</v>
      </c>
      <c r="G29" s="602"/>
      <c r="H29" s="591" t="str">
        <f>H47</f>
        <v/>
      </c>
      <c r="I29" s="591" t="str">
        <f>H87</f>
        <v/>
      </c>
      <c r="J29" s="591" t="str">
        <f>IFERROR(ROUND(I29-H29,2),"")</f>
        <v/>
      </c>
      <c r="K29" s="591"/>
    </row>
    <row r="30" spans="1:12" ht="15.75" customHeight="1" x14ac:dyDescent="0.3">
      <c r="A30" s="520"/>
      <c r="B30" s="77" t="s">
        <v>395</v>
      </c>
      <c r="C30" s="48" t="str">
        <f>G51</f>
        <v/>
      </c>
      <c r="D30" s="48" t="str">
        <f>G91</f>
        <v/>
      </c>
      <c r="E30" s="122"/>
      <c r="F30" s="602"/>
      <c r="G30" s="602"/>
      <c r="H30" s="591"/>
      <c r="I30" s="591"/>
      <c r="J30" s="591"/>
      <c r="K30" s="591"/>
    </row>
    <row r="31" spans="1:12" ht="15.75" customHeight="1" x14ac:dyDescent="0.3">
      <c r="A31" s="520"/>
      <c r="B31" s="77" t="s">
        <v>50</v>
      </c>
      <c r="C31" s="48" t="str">
        <f>G55</f>
        <v/>
      </c>
      <c r="D31" s="48" t="str">
        <f>G95</f>
        <v/>
      </c>
      <c r="E31" s="122"/>
      <c r="F31" s="602"/>
      <c r="G31" s="602"/>
      <c r="H31" s="591"/>
      <c r="I31" s="591"/>
      <c r="J31" s="591"/>
      <c r="K31" s="591"/>
    </row>
    <row r="32" spans="1:12" ht="15.75" customHeight="1" x14ac:dyDescent="0.3">
      <c r="A32" s="520"/>
      <c r="B32" s="77" t="s">
        <v>107</v>
      </c>
      <c r="C32" s="48" t="str">
        <f>G65</f>
        <v/>
      </c>
      <c r="D32" s="48" t="str">
        <f>G105</f>
        <v/>
      </c>
      <c r="E32" s="122"/>
      <c r="F32" s="592" t="s">
        <v>26</v>
      </c>
      <c r="G32" s="593"/>
      <c r="H32" s="598" t="str">
        <f>H49</f>
        <v/>
      </c>
      <c r="I32" s="598" t="str">
        <f>H89</f>
        <v/>
      </c>
      <c r="J32" s="585" t="str">
        <f>IFERROR(ROUND(I32-H32,2),"")</f>
        <v/>
      </c>
      <c r="K32" s="586"/>
    </row>
    <row r="33" spans="1:15" ht="15.75" customHeight="1" x14ac:dyDescent="0.3">
      <c r="A33" s="520"/>
      <c r="B33" s="77" t="s">
        <v>51</v>
      </c>
      <c r="C33" s="48" t="str">
        <f>G66</f>
        <v/>
      </c>
      <c r="D33" s="48" t="str">
        <f>G106</f>
        <v/>
      </c>
      <c r="E33" s="122"/>
      <c r="F33" s="594"/>
      <c r="G33" s="595"/>
      <c r="H33" s="599"/>
      <c r="I33" s="599"/>
      <c r="J33" s="587"/>
      <c r="K33" s="588"/>
    </row>
    <row r="34" spans="1:15" ht="15.75" customHeight="1" x14ac:dyDescent="0.3">
      <c r="A34" s="521"/>
      <c r="B34" s="77" t="s">
        <v>54</v>
      </c>
      <c r="C34" s="48" t="str">
        <f t="shared" ref="C34:C35" si="0">G70</f>
        <v/>
      </c>
      <c r="D34" s="48" t="str">
        <f t="shared" ref="D34:D35" si="1">G110</f>
        <v/>
      </c>
      <c r="E34" s="122"/>
      <c r="F34" s="596"/>
      <c r="G34" s="597"/>
      <c r="H34" s="600"/>
      <c r="I34" s="600"/>
      <c r="J34" s="589"/>
      <c r="K34" s="590"/>
    </row>
    <row r="35" spans="1:15" ht="15.75" customHeight="1" x14ac:dyDescent="0.3">
      <c r="A35" s="537" t="s">
        <v>58</v>
      </c>
      <c r="B35" s="290" t="s">
        <v>88</v>
      </c>
      <c r="C35" s="48" t="str">
        <f t="shared" si="0"/>
        <v/>
      </c>
      <c r="D35" s="48" t="str">
        <f t="shared" si="1"/>
        <v/>
      </c>
      <c r="E35" s="122"/>
      <c r="F35" s="630" t="s">
        <v>58</v>
      </c>
      <c r="G35" s="631"/>
      <c r="H35" s="598" t="str">
        <f>H71</f>
        <v/>
      </c>
      <c r="I35" s="598" t="str">
        <f>H111</f>
        <v/>
      </c>
      <c r="J35" s="585" t="str">
        <f>IFERROR(ROUND(I35-H35,2),"")</f>
        <v/>
      </c>
      <c r="K35" s="586"/>
    </row>
    <row r="36" spans="1:15" ht="15.75" customHeight="1" x14ac:dyDescent="0.3">
      <c r="A36" s="538"/>
      <c r="B36" s="297" t="s">
        <v>362</v>
      </c>
      <c r="C36" s="48" t="str">
        <f>G72</f>
        <v/>
      </c>
      <c r="D36" s="48" t="str">
        <f>G112</f>
        <v/>
      </c>
      <c r="E36" s="122"/>
      <c r="F36" s="632"/>
      <c r="G36" s="633"/>
      <c r="H36" s="599"/>
      <c r="I36" s="599"/>
      <c r="J36" s="587"/>
      <c r="K36" s="588"/>
    </row>
    <row r="37" spans="1:15" ht="15.75" customHeight="1" x14ac:dyDescent="0.3">
      <c r="A37" s="538"/>
      <c r="B37" s="290" t="s">
        <v>81</v>
      </c>
      <c r="C37" s="48" t="str">
        <f>G73</f>
        <v/>
      </c>
      <c r="D37" s="48" t="str">
        <f>G113</f>
        <v/>
      </c>
      <c r="E37" s="122"/>
      <c r="F37" s="634"/>
      <c r="G37" s="635"/>
      <c r="H37" s="600"/>
      <c r="I37" s="600"/>
      <c r="J37" s="589"/>
      <c r="K37" s="590"/>
      <c r="L37" s="18"/>
    </row>
    <row r="38" spans="1:15" ht="15.75" customHeight="1" x14ac:dyDescent="0.3">
      <c r="A38" s="539"/>
      <c r="B38" s="290" t="s">
        <v>82</v>
      </c>
      <c r="C38" s="48" t="str">
        <f>G74</f>
        <v/>
      </c>
      <c r="D38" s="48" t="str">
        <f>G114</f>
        <v/>
      </c>
      <c r="E38" s="122"/>
      <c r="F38" s="636" t="s">
        <v>59</v>
      </c>
      <c r="G38" s="637"/>
      <c r="H38" s="598" t="str">
        <f>H75</f>
        <v/>
      </c>
      <c r="I38" s="598" t="str">
        <f>H115</f>
        <v/>
      </c>
      <c r="J38" s="585" t="str">
        <f>IFERROR(I38-H38,"")</f>
        <v/>
      </c>
      <c r="K38" s="586"/>
      <c r="L38" s="21"/>
    </row>
    <row r="39" spans="1:15" ht="15.75" customHeight="1" x14ac:dyDescent="0.3">
      <c r="A39" s="550" t="s">
        <v>59</v>
      </c>
      <c r="B39" s="78" t="s">
        <v>340</v>
      </c>
      <c r="C39" s="48" t="str">
        <f>G75</f>
        <v/>
      </c>
      <c r="D39" s="48" t="str">
        <f>G115</f>
        <v/>
      </c>
      <c r="E39" s="122"/>
      <c r="F39" s="638"/>
      <c r="G39" s="639"/>
      <c r="H39" s="599"/>
      <c r="I39" s="599"/>
      <c r="J39" s="587"/>
      <c r="K39" s="588"/>
    </row>
    <row r="40" spans="1:15" ht="15.6" customHeight="1" x14ac:dyDescent="0.3">
      <c r="A40" s="551"/>
      <c r="B40" s="78" t="s">
        <v>74</v>
      </c>
      <c r="C40" s="48" t="str">
        <f>G79</f>
        <v/>
      </c>
      <c r="D40" s="48" t="str">
        <f>G119</f>
        <v/>
      </c>
      <c r="E40" s="122"/>
      <c r="F40" s="640"/>
      <c r="G40" s="641"/>
      <c r="H40" s="600"/>
      <c r="I40" s="600"/>
      <c r="J40" s="589"/>
      <c r="K40" s="590"/>
    </row>
    <row r="41" spans="1:15" ht="15" customHeight="1" x14ac:dyDescent="0.3">
      <c r="A41" s="1"/>
      <c r="B41" s="13"/>
      <c r="C41" s="13"/>
      <c r="D41" s="13"/>
      <c r="E41" s="13"/>
      <c r="F41" s="13"/>
      <c r="G41" s="13"/>
      <c r="H41" s="36"/>
      <c r="I41" s="36"/>
      <c r="J41" s="36"/>
      <c r="K41" s="322"/>
      <c r="L41" s="21"/>
    </row>
    <row r="42" spans="1:15" ht="15" customHeight="1" x14ac:dyDescent="0.3">
      <c r="A42" s="1"/>
      <c r="B42" s="13"/>
      <c r="C42" s="13"/>
      <c r="D42" s="13"/>
      <c r="E42" s="13"/>
      <c r="F42" s="13"/>
      <c r="G42" s="13"/>
      <c r="H42" s="36"/>
      <c r="I42" s="36"/>
      <c r="J42" s="36"/>
      <c r="K42" s="322"/>
      <c r="L42" s="21"/>
    </row>
    <row r="43" spans="1:15" ht="21" x14ac:dyDescent="0.4">
      <c r="A43" s="544" t="s">
        <v>56</v>
      </c>
      <c r="B43" s="545"/>
      <c r="C43" s="545"/>
      <c r="D43" s="545"/>
      <c r="E43" s="545"/>
      <c r="F43" s="546"/>
      <c r="G43" s="544" t="s">
        <v>18</v>
      </c>
      <c r="H43" s="545"/>
      <c r="I43" s="545"/>
      <c r="J43" s="545"/>
      <c r="K43" s="546"/>
      <c r="L43" s="21"/>
    </row>
    <row r="44" spans="1:15" ht="15.6" x14ac:dyDescent="0.3">
      <c r="A44" s="158" t="s">
        <v>1</v>
      </c>
      <c r="B44" s="158" t="s">
        <v>2</v>
      </c>
      <c r="C44" s="542" t="s">
        <v>3</v>
      </c>
      <c r="D44" s="543"/>
      <c r="E44" s="158" t="s">
        <v>15</v>
      </c>
      <c r="F44" s="302" t="s">
        <v>16</v>
      </c>
      <c r="G44" s="158" t="s">
        <v>19</v>
      </c>
      <c r="H44" s="158" t="s">
        <v>20</v>
      </c>
      <c r="I44" s="158" t="s">
        <v>20</v>
      </c>
      <c r="J44" s="158" t="s">
        <v>104</v>
      </c>
      <c r="K44" s="315" t="s">
        <v>104</v>
      </c>
      <c r="L44" s="21"/>
    </row>
    <row r="45" spans="1:15" ht="15.6" x14ac:dyDescent="0.3">
      <c r="A45" s="540" t="s">
        <v>60</v>
      </c>
      <c r="B45" s="299" t="s">
        <v>86</v>
      </c>
      <c r="C45" s="52" t="s">
        <v>388</v>
      </c>
      <c r="D45" s="52"/>
      <c r="E45" s="162"/>
      <c r="F45" s="338" t="str">
        <f>IF(E45="","",IF(E45&lt;=0,0,IF(E45&gt;=0.95,1,ROUND('Reference Standards'!C$14*E45+'Reference Standards'!C$15,2))))</f>
        <v/>
      </c>
      <c r="G45" s="83" t="str">
        <f>IFERROR(AVERAGE(F45),"")</f>
        <v/>
      </c>
      <c r="H45" s="522" t="str">
        <f>IFERROR(ROUND(AVERAGE(G45:G46),2),"")</f>
        <v/>
      </c>
      <c r="I45" s="519" t="str">
        <f>IF(H45="","",IF(H45&gt;0.69,"Functioning",IF(H45&gt;0.29,"Functioning At Risk",IF(H45&gt;-1,"Not Functioning"))))</f>
        <v/>
      </c>
      <c r="J45" s="559" t="str">
        <f>IF(AND(H45="",H47="",H49="",H71="",H75=""),"",ROUND((IF(H45="",0,H45)*0.2)+(IF(H47="",0,H47)*0.2)+(IF(H49="",0,H49)*0.2)+(IF(H71="",0,H71)*0.2)+(IF(H75="",0,H75)*0.2),2))</f>
        <v/>
      </c>
      <c r="K45" s="555" t="str">
        <f>IF(J45="","",IF(J45&lt;0.3, "Not Functioning",IF(OR(H45&lt;0.7,H47&lt;0.7,H49&lt;0.7,H71&lt;0.7,H75&lt;0.7),"Functioning At Risk",IF(J45&lt;0.7,"Functioning At Risk","Functioning"))))</f>
        <v/>
      </c>
      <c r="L45" s="21"/>
      <c r="N45" s="19"/>
    </row>
    <row r="46" spans="1:15" ht="15.6" x14ac:dyDescent="0.3">
      <c r="A46" s="541"/>
      <c r="B46" s="371" t="s">
        <v>128</v>
      </c>
      <c r="C46" s="373" t="s">
        <v>161</v>
      </c>
      <c r="D46" s="374"/>
      <c r="E46" s="43"/>
      <c r="F46" s="372" t="str">
        <f>IF(E46="","",IF(E46&gt;=1,1,IF(E46&lt;=0,0,ROUND(E46,2))))</f>
        <v/>
      </c>
      <c r="G46" s="365" t="str">
        <f>IFERROR(AVERAGE(F46:F46),"")</f>
        <v/>
      </c>
      <c r="H46" s="523"/>
      <c r="I46" s="519"/>
      <c r="J46" s="559"/>
      <c r="K46" s="555"/>
      <c r="L46" s="21"/>
      <c r="N46" s="19"/>
    </row>
    <row r="47" spans="1:15" ht="15.6" x14ac:dyDescent="0.3">
      <c r="A47" s="524" t="s">
        <v>6</v>
      </c>
      <c r="B47" s="572" t="s">
        <v>7</v>
      </c>
      <c r="C47" s="54" t="s">
        <v>8</v>
      </c>
      <c r="D47" s="54"/>
      <c r="E47" s="162"/>
      <c r="F47" s="339" t="str">
        <f>IF(E47="","",ROUND(IF(E47&gt;1.6,0,IF(E47&lt;=1,1,E47^2*'Reference Standards'!K$14+E47*'Reference Standards'!K$15+'Reference Standards'!K$16)),2))</f>
        <v/>
      </c>
      <c r="G47" s="581" t="str">
        <f>IFERROR(AVERAGE(F47:F48),"")</f>
        <v/>
      </c>
      <c r="H47" s="579" t="str">
        <f>IFERROR(ROUND(AVERAGE(G47),2),"")</f>
        <v/>
      </c>
      <c r="I47" s="569" t="str">
        <f>IF(H47="","",IF(H47&gt;0.69,"Functioning",IF(H47&gt;0.29,"Functioning At Risk",IF(H47&gt;-1,"Not Functioning"))))</f>
        <v/>
      </c>
      <c r="J47" s="559"/>
      <c r="K47" s="555"/>
      <c r="L47" s="21"/>
      <c r="N47" s="19"/>
      <c r="O47" s="19"/>
    </row>
    <row r="48" spans="1:15" ht="15.6" x14ac:dyDescent="0.3">
      <c r="A48" s="525"/>
      <c r="B48" s="572"/>
      <c r="C48" s="54" t="s">
        <v>9</v>
      </c>
      <c r="D48" s="54"/>
      <c r="E48" s="162"/>
      <c r="F48" s="339" t="str">
        <f>IF(E48="","",(IF(OR(B$11="A",B$11="B",$B$11="Bc"),IF(E48&lt;1.2,0,IF(E48&gt;=2.2,1,ROUND(IF(E48&lt;1.4,E48*'Reference Standards'!$K$84+'Reference Standards'!$K$85,E48*'Reference Standards'!$L$84+'Reference Standards'!$L$85),2))),IF(OR(B$11="C",B$11="E"),IF(E48&lt;2,0,IF(E48&gt;=5,1,ROUND(IF(E48&lt;2.4,E48*'Reference Standards'!$L$49+'Reference Standards'!$L$50,E48*'Reference Standards'!$K$49+'Reference Standards'!$K$50),2)))))))</f>
        <v/>
      </c>
      <c r="G48" s="581"/>
      <c r="H48" s="580"/>
      <c r="I48" s="570"/>
      <c r="J48" s="559"/>
      <c r="K48" s="555"/>
      <c r="L48" s="21"/>
      <c r="N48" s="19"/>
      <c r="O48" s="19"/>
    </row>
    <row r="49" spans="1:15" ht="15.6" x14ac:dyDescent="0.3">
      <c r="A49" s="526" t="s">
        <v>26</v>
      </c>
      <c r="B49" s="557" t="s">
        <v>27</v>
      </c>
      <c r="C49" s="60" t="s">
        <v>333</v>
      </c>
      <c r="D49" s="244"/>
      <c r="E49" s="61"/>
      <c r="F49" s="340" t="str">
        <f>IF(E49="","",IF(OR(LEFT('Quantification Tool R2'!$B$12,2)="65",LEFT('Quantification Tool R2'!$B$12,2)="66",LEFT('Quantification Tool R2'!$B$12,2)="71"),IF(E49&gt;=850,1,IF(E49&lt;250,ROUND('Reference Standards'!$S$17*(E49)+'Reference Standards'!$S$18,2),ROUND('Reference Standards'!$T$17*E49+'Reference Standards'!$T$18,2))),  IF(E49&gt;=345,1,IF(E49&lt;=180,ROUND('Reference Standards'!$U$17*(E49)+'Reference Standards'!$U$18,2),ROUND('Reference Standards'!$V$17*E49+'Reference Standards'!$V$18,2))))    )</f>
        <v/>
      </c>
      <c r="G49" s="528" t="str">
        <f>IFERROR(AVERAGE(F49:F50),"")</f>
        <v/>
      </c>
      <c r="H49" s="566" t="str">
        <f>IFERROR(ROUND(AVERAGE(G49:G70),2),"")</f>
        <v/>
      </c>
      <c r="I49" s="555" t="str">
        <f>IF(H49="","",IF(H49&gt;0.69,"Functioning",IF(H49&gt;0.29,"Functioning At Risk",IF(H49&gt;-1,"Not Functioning"))))</f>
        <v/>
      </c>
      <c r="J49" s="559"/>
      <c r="K49" s="555"/>
      <c r="L49" s="21"/>
      <c r="N49" s="19"/>
      <c r="O49" s="19"/>
    </row>
    <row r="50" spans="1:15" ht="15.6" x14ac:dyDescent="0.3">
      <c r="A50" s="520"/>
      <c r="B50" s="558"/>
      <c r="C50" s="63" t="s">
        <v>323</v>
      </c>
      <c r="D50" s="245"/>
      <c r="E50" s="53"/>
      <c r="F50" s="341" t="str">
        <f>IF(E50="","",IF(OR(LEFT('Quantification Tool R2'!$B$12,2)="65",LEFT('Quantification Tool R2'!$B$12,2)="66",LEFT('Quantification Tool R2'!$B$12,2)="71"),IF(E50&gt;=30,1,IF(E50&lt;13,ROUND('Reference Standards'!$S$53*(E50)+'Reference Standards'!$S$54,2),ROUND('Reference Standards'!$T$53*E50+'Reference Standards'!$T$54,2))),  IF(E50&gt;=16,1,IF(E50&lt;=9,ROUND('Reference Standards'!$U$53*(E50)+'Reference Standards'!$U$54,2),ROUND('Reference Standards'!$V$53*E50+'Reference Standards'!$V$54,2))))    )</f>
        <v/>
      </c>
      <c r="G50" s="530"/>
      <c r="H50" s="566"/>
      <c r="I50" s="555"/>
      <c r="J50" s="559"/>
      <c r="K50" s="555"/>
      <c r="L50" s="21"/>
      <c r="N50" s="19"/>
      <c r="O50" s="19"/>
    </row>
    <row r="51" spans="1:15" ht="15.6" x14ac:dyDescent="0.3">
      <c r="A51" s="520"/>
      <c r="B51" s="520" t="s">
        <v>395</v>
      </c>
      <c r="C51" s="58" t="s">
        <v>80</v>
      </c>
      <c r="D51" s="58"/>
      <c r="E51" s="165"/>
      <c r="F51" s="340" t="str">
        <f>IF(E51="","",ROUND(IF(E51&gt;0.7,0,IF(E51&lt;=0.1,1,E51^3*'Reference Standards'!S$87+E51^2*'Reference Standards'!S$88+E51*'Reference Standards'!S$89+'Reference Standards'!S$90)),2))</f>
        <v/>
      </c>
      <c r="G51" s="528" t="str">
        <f>IFERROR(ROUND(AVERAGE(F51:F54),2),"")</f>
        <v/>
      </c>
      <c r="H51" s="567"/>
      <c r="I51" s="555"/>
      <c r="J51" s="559"/>
      <c r="K51" s="555"/>
      <c r="L51" s="21"/>
      <c r="N51" s="19"/>
      <c r="O51" s="19"/>
    </row>
    <row r="52" spans="1:15" ht="15.6" x14ac:dyDescent="0.3">
      <c r="A52" s="520"/>
      <c r="B52" s="520"/>
      <c r="C52" s="58" t="s">
        <v>49</v>
      </c>
      <c r="D52" s="58"/>
      <c r="E52" s="165"/>
      <c r="F52" s="84" t="str">
        <f>IF(E52="","",IF(OR(E52="Ex/Ex",E52="Ex/VH"),0, IF(OR(E52="Ex/H",E52="VH/Ex",E52="VH/VH", E52="H/Ex",E52="H/VH",E52="M/Ex"),0.1,IF(OR(E52="Ex/M",E52="VH/H",E52="H/H", E52="M/VH"),0.2, IF(OR(E52="Ex/L",E52="VH/M",E52="H/M", E52="M/H",E52="L/Ex"),0.3, IF(OR(E52="Ex/VL",E52="VH/L",E52="H/L"),0.4, IF(OR(E52="VH/VL",E52="H/VL",E52="M/M", E52="L/VH"),0.5, IF(OR(E52="M/L",E52="L/H"),0.6, IF(OR(E52="M/VL",E52="L/M"),0.7, IF(OR(E52="L/L",E52="L/VL"),1))))))))))</f>
        <v/>
      </c>
      <c r="G52" s="529"/>
      <c r="H52" s="567"/>
      <c r="I52" s="555"/>
      <c r="J52" s="559"/>
      <c r="K52" s="555"/>
      <c r="L52" s="21"/>
      <c r="N52" s="19"/>
      <c r="O52" s="19"/>
    </row>
    <row r="53" spans="1:15" ht="15.6" x14ac:dyDescent="0.3">
      <c r="A53" s="520"/>
      <c r="B53" s="520"/>
      <c r="C53" s="58" t="s">
        <v>87</v>
      </c>
      <c r="D53" s="58"/>
      <c r="E53" s="165"/>
      <c r="F53" s="84" t="str">
        <f>IF(E53="","",ROUND(IF(E53&gt;40,0,IF(E53&lt;5,1,E53^3*'Reference Standards'!S$122+E53^2*'Reference Standards'!S$123+E53*'Reference Standards'!S$124+'Reference Standards'!S$125)),2))</f>
        <v/>
      </c>
      <c r="G53" s="529"/>
      <c r="H53" s="567"/>
      <c r="I53" s="555"/>
      <c r="J53" s="559"/>
      <c r="K53" s="555"/>
      <c r="L53" s="21"/>
      <c r="N53" s="19"/>
      <c r="O53" s="19"/>
    </row>
    <row r="54" spans="1:15" ht="15.6" x14ac:dyDescent="0.3">
      <c r="A54" s="520"/>
      <c r="B54" s="521"/>
      <c r="C54" s="59" t="s">
        <v>394</v>
      </c>
      <c r="D54" s="59"/>
      <c r="E54" s="167"/>
      <c r="F54" s="341" t="str">
        <f>IF(E54="","",ROUND(IF(E54&gt;=30,0,IF(E54&lt;=0,1,E54*'Reference Standards'!S$156+'Reference Standards'!S$157)),2))</f>
        <v/>
      </c>
      <c r="G54" s="530"/>
      <c r="H54" s="567"/>
      <c r="I54" s="555"/>
      <c r="J54" s="559"/>
      <c r="K54" s="555"/>
      <c r="L54" s="21"/>
      <c r="N54" s="19"/>
      <c r="O54" s="19"/>
    </row>
    <row r="55" spans="1:15" ht="15.6" x14ac:dyDescent="0.3">
      <c r="A55" s="520"/>
      <c r="B55" s="520" t="s">
        <v>50</v>
      </c>
      <c r="C55" s="60" t="s">
        <v>377</v>
      </c>
      <c r="D55" s="64"/>
      <c r="E55" s="136"/>
      <c r="F55" s="294" t="str">
        <f>IF(E55="","",ROUND(IF(E55&gt;9.2,1,E55*'Reference Standards'!$S$189+'Reference Standards'!$S$190),2))</f>
        <v/>
      </c>
      <c r="G55" s="552" t="str">
        <f>IFERROR(ROUND(AVERAGE(F55:F64),2),"")</f>
        <v/>
      </c>
      <c r="H55" s="567"/>
      <c r="I55" s="555"/>
      <c r="J55" s="559"/>
      <c r="K55" s="555"/>
      <c r="L55" s="21"/>
      <c r="N55" s="19"/>
      <c r="O55" s="19"/>
    </row>
    <row r="56" spans="1:15" ht="15.6" x14ac:dyDescent="0.3">
      <c r="A56" s="520"/>
      <c r="B56" s="520"/>
      <c r="C56" s="62" t="s">
        <v>378</v>
      </c>
      <c r="D56" s="58"/>
      <c r="E56" s="162"/>
      <c r="F56" s="294" t="str">
        <f>IF(E56="","",ROUND(IF(E56&gt;9.2,1,E56*'Reference Standards'!$S$189+'Reference Standards'!$S$190),2))</f>
        <v/>
      </c>
      <c r="G56" s="553"/>
      <c r="H56" s="567"/>
      <c r="I56" s="555"/>
      <c r="J56" s="559"/>
      <c r="K56" s="555"/>
      <c r="L56" s="21"/>
      <c r="N56" s="19"/>
      <c r="O56" s="19"/>
    </row>
    <row r="57" spans="1:15" ht="15.6" x14ac:dyDescent="0.3">
      <c r="A57" s="520"/>
      <c r="B57" s="520"/>
      <c r="C57" s="62" t="s">
        <v>379</v>
      </c>
      <c r="D57" s="58"/>
      <c r="E57" s="162"/>
      <c r="F57" s="294" t="str">
        <f>IF(E57="","",ROUND( IF(E57&gt;=200,1,IF(E57&lt;50, E57^2*'Reference Standards'!S$224+E57*'Reference Standards'!S$225+'Reference Standards'!S$226, E57*'Reference Standards'!T$224+'Reference Standards'!T$225)),2))</f>
        <v/>
      </c>
      <c r="G57" s="553"/>
      <c r="H57" s="567"/>
      <c r="I57" s="555"/>
      <c r="J57" s="559"/>
      <c r="K57" s="555"/>
      <c r="L57" s="21"/>
      <c r="N57" s="19"/>
      <c r="O57" s="19"/>
    </row>
    <row r="58" spans="1:15" ht="15.6" x14ac:dyDescent="0.3">
      <c r="A58" s="520"/>
      <c r="B58" s="520"/>
      <c r="C58" s="62" t="s">
        <v>380</v>
      </c>
      <c r="D58" s="58"/>
      <c r="E58" s="162"/>
      <c r="F58" s="294" t="str">
        <f>IF(E58="","",ROUND( IF(E58&gt;=200,1,IF(E58&lt;50, E58^2*'Reference Standards'!S$224+E58*'Reference Standards'!S$225+'Reference Standards'!S$226, E58*'Reference Standards'!T$224+'Reference Standards'!T$225)),2))</f>
        <v/>
      </c>
      <c r="G58" s="553"/>
      <c r="H58" s="567"/>
      <c r="I58" s="555"/>
      <c r="J58" s="559"/>
      <c r="K58" s="555"/>
      <c r="L58" s="21"/>
      <c r="N58" s="19"/>
      <c r="O58" s="19"/>
    </row>
    <row r="59" spans="1:15" ht="15.6" x14ac:dyDescent="0.3">
      <c r="A59" s="520"/>
      <c r="B59" s="520"/>
      <c r="C59" s="58" t="s">
        <v>381</v>
      </c>
      <c r="D59" s="58"/>
      <c r="E59" s="162"/>
      <c r="F59" s="294" t="str">
        <f>IF(E59="","",ROUND(IF(AND(E59&gt;=135,E59&lt;=262),1,IF(  E59&gt;=366,0.5, IF(E59&lt;135,E59*'Reference Standards'!S$259+'Reference Standards'!S$260, E59*'Reference Standards'!T$259+'Reference Standards'!T$260))),2))</f>
        <v/>
      </c>
      <c r="G59" s="553"/>
      <c r="H59" s="567"/>
      <c r="I59" s="555"/>
      <c r="J59" s="559"/>
      <c r="K59" s="555"/>
      <c r="L59" s="21"/>
      <c r="N59" s="19"/>
      <c r="O59" s="19"/>
    </row>
    <row r="60" spans="1:15" ht="15.6" x14ac:dyDescent="0.3">
      <c r="A60" s="520"/>
      <c r="B60" s="520"/>
      <c r="C60" s="58" t="s">
        <v>382</v>
      </c>
      <c r="D60" s="58"/>
      <c r="E60" s="162"/>
      <c r="F60" s="294" t="str">
        <f>IF(E60="","",ROUND(IF(AND(E60&gt;=135,E60&lt;=262),1,IF(  E60&gt;=366,0.5, IF(E60&lt;135,E60*'Reference Standards'!S$259+'Reference Standards'!S$260, E60*'Reference Standards'!T$259+'Reference Standards'!T$260))),2))</f>
        <v/>
      </c>
      <c r="G60" s="553"/>
      <c r="H60" s="567"/>
      <c r="I60" s="555"/>
      <c r="J60" s="559"/>
      <c r="K60" s="555"/>
      <c r="L60" s="21"/>
      <c r="N60" s="19"/>
      <c r="O60" s="19"/>
    </row>
    <row r="61" spans="1:15" ht="15.6" x14ac:dyDescent="0.3">
      <c r="A61" s="520"/>
      <c r="B61" s="520"/>
      <c r="C61" s="58" t="s">
        <v>383</v>
      </c>
      <c r="D61" s="58"/>
      <c r="E61" s="162"/>
      <c r="F61" s="84" t="str">
        <f>IF(E61="","",ROUND(IF(E61&gt;=75,1,IF(E61&lt;=0,0,E61*'Reference Standards'!S$330)),2))</f>
        <v/>
      </c>
      <c r="G61" s="553"/>
      <c r="H61" s="567"/>
      <c r="I61" s="555"/>
      <c r="J61" s="559"/>
      <c r="K61" s="555"/>
      <c r="L61" s="21"/>
      <c r="N61" s="19"/>
      <c r="O61" s="19"/>
    </row>
    <row r="62" spans="1:15" ht="15.6" x14ac:dyDescent="0.3">
      <c r="A62" s="520"/>
      <c r="B62" s="520"/>
      <c r="C62" s="58" t="s">
        <v>384</v>
      </c>
      <c r="D62" s="58"/>
      <c r="E62" s="162"/>
      <c r="F62" s="84" t="str">
        <f>IF(E62="","",ROUND(IF(E62&gt;=75,1,IF(E62&lt;=0,0,E62*'Reference Standards'!S$330)),2))</f>
        <v/>
      </c>
      <c r="G62" s="553"/>
      <c r="H62" s="567"/>
      <c r="I62" s="555"/>
      <c r="J62" s="559"/>
      <c r="K62" s="555"/>
      <c r="L62" s="21"/>
      <c r="N62" s="19"/>
      <c r="O62" s="19"/>
    </row>
    <row r="63" spans="1:15" ht="15.6" x14ac:dyDescent="0.3">
      <c r="A63" s="520"/>
      <c r="B63" s="520"/>
      <c r="C63" s="58" t="s">
        <v>385</v>
      </c>
      <c r="D63" s="58"/>
      <c r="E63" s="162"/>
      <c r="F63" s="294" t="str">
        <f>IF(E63="","",ROUND(IF(AND(E63&gt;=36.3,E63&lt;=68),1,IF(E63&gt;100,0,IF(E63&lt;36.3,(('Reference Standards'!S$297*(E63^2))+('Reference Standards'!S$298*E63)+'Reference Standards'!S$299),IF(E63&gt;68,(('Reference Standards'!T$297*(E63^2))+('Reference Standards'!T$298*E63)+'Reference Standards'!T$299))))),2))</f>
        <v/>
      </c>
      <c r="G63" s="553"/>
      <c r="H63" s="567"/>
      <c r="I63" s="555"/>
      <c r="J63" s="559"/>
      <c r="K63" s="555"/>
      <c r="L63" s="21"/>
      <c r="N63" s="19"/>
      <c r="O63" s="19"/>
    </row>
    <row r="64" spans="1:15" ht="15.6" x14ac:dyDescent="0.3">
      <c r="A64" s="520"/>
      <c r="B64" s="521"/>
      <c r="C64" s="58" t="s">
        <v>386</v>
      </c>
      <c r="D64" s="65"/>
      <c r="E64" s="162"/>
      <c r="F64" s="294" t="str">
        <f>IF(E64="","",ROUND(IF(AND(E64&gt;=36.3,E64&lt;=68),1,IF(E64&gt;100,0,IF(E64&lt;36.3,(('Reference Standards'!S$297*(E64^2))+('Reference Standards'!S$298*E64)+'Reference Standards'!S$299),IF(E64&gt;68,(('Reference Standards'!T$297*(E64^2))+('Reference Standards'!T$298*E64)+'Reference Standards'!T$299))))),2))</f>
        <v/>
      </c>
      <c r="G64" s="554"/>
      <c r="H64" s="567"/>
      <c r="I64" s="555"/>
      <c r="J64" s="559"/>
      <c r="K64" s="555"/>
      <c r="L64" s="21"/>
      <c r="N64" s="19"/>
      <c r="O64" s="19"/>
    </row>
    <row r="65" spans="1:15" ht="15.6" x14ac:dyDescent="0.3">
      <c r="A65" s="520"/>
      <c r="B65" s="56" t="s">
        <v>108</v>
      </c>
      <c r="C65" s="72" t="s">
        <v>130</v>
      </c>
      <c r="D65" s="58"/>
      <c r="E65" s="43"/>
      <c r="F65" s="82" t="str">
        <f>IF(E65="","",IF(OR(B$14="Gravel",B$14="Cobble"),IF(E65&gt;0.1,1,IF(E65&lt;=0.01,0,ROUND(E65*'Reference Standards'!$S$362+'Reference Standards'!$S$363,2)))))</f>
        <v/>
      </c>
      <c r="G65" s="82" t="str">
        <f>IFERROR(AVERAGE(F65),"")</f>
        <v/>
      </c>
      <c r="H65" s="567"/>
      <c r="I65" s="555"/>
      <c r="J65" s="559"/>
      <c r="K65" s="555"/>
      <c r="L65" s="21"/>
      <c r="N65" s="19"/>
      <c r="O65" s="19"/>
    </row>
    <row r="66" spans="1:15" ht="15.6" x14ac:dyDescent="0.3">
      <c r="A66" s="520"/>
      <c r="B66" s="526" t="s">
        <v>51</v>
      </c>
      <c r="C66" s="64" t="s">
        <v>52</v>
      </c>
      <c r="D66" s="64"/>
      <c r="E66" s="166"/>
      <c r="F66" s="337" t="str">
        <f>IF(E66="","",IF(ISNUMBER($B$17),IF($B$17&lt;=2,IF(AND(E66&gt;=3,E66&lt;=5),1,IF(OR(E66&lt;=1,E66&gt;=7),0,ROUND(IF(E66&lt;3,E66*'Reference Standards'!S$398+'Reference Standards'!S$399,E66*'Reference Standards'!T$398+'Reference Standards'!T$399),2))),IF(E66&lt;=2.5,1,IF(E66&gt;=5.8,0,E66*'Reference Standards'!S$430+'Reference Standards'!S$431)))))</f>
        <v/>
      </c>
      <c r="G66" s="528" t="str">
        <f>IFERROR(AVERAGE(F66:F69),"")</f>
        <v/>
      </c>
      <c r="H66" s="567"/>
      <c r="I66" s="555"/>
      <c r="J66" s="559"/>
      <c r="K66" s="555"/>
      <c r="L66" s="21"/>
      <c r="N66" s="19"/>
      <c r="O66" s="19"/>
    </row>
    <row r="67" spans="1:15" ht="15.6" x14ac:dyDescent="0.3">
      <c r="A67" s="520"/>
      <c r="B67" s="520"/>
      <c r="C67" s="58" t="s">
        <v>53</v>
      </c>
      <c r="D67" s="58"/>
      <c r="E67" s="165"/>
      <c r="F67" s="84" t="str">
        <f>IF(E67="","", IF( E67&gt;=2.4,1, IF(E67&lt;=1,0,  ROUND(IF(E67&lt;2.4, E67*'Reference Standards'!$S$464+'Reference Standards'!$S$465  ),2))))</f>
        <v/>
      </c>
      <c r="G67" s="529"/>
      <c r="H67" s="567"/>
      <c r="I67" s="555"/>
      <c r="J67" s="559"/>
      <c r="K67" s="555"/>
      <c r="L67" s="21"/>
      <c r="N67" s="19"/>
      <c r="O67" s="19"/>
    </row>
    <row r="68" spans="1:15" ht="15.6" x14ac:dyDescent="0.3">
      <c r="A68" s="520"/>
      <c r="B68" s="520"/>
      <c r="C68" s="58" t="s">
        <v>334</v>
      </c>
      <c r="D68" s="58"/>
      <c r="E68" s="165"/>
      <c r="F68" s="390" t="str">
        <f>IF(E68="","", IF(LEFT($B$12,2)="67",  IF( AND(E68&gt;=45,E68&lt;=65),1, IF(OR(E68&lt;=20,E68&gt;=90),0, ROUND(  IF(E68&lt;45, E68*'Reference Standards'!$S$498+'Reference Standards'!$S$499,E68*'Reference Standards'!$T$498+'Reference Standards'!$T$499),2))), IF(OR(  LEFT($B$12,2)="68", LEFT($B$12,2)="69",LEFT($B$12,2)="71"),  IF( AND(E68&gt;=30,E68&lt;=50),1, IF(OR(E68&lt;=10,E68&gt;=70),0, ROUND(  IF(E68&lt;30, E68*'Reference Standards'!$S$533+'Reference Standards'!$S$534,E68*'Reference Standards'!$T$533+'Reference Standards'!$T$534),2))), IF(LEFT($B$12,2)="66",  IF( AND(E68&gt;=20,E68&lt;=45),1, IF(OR(E68&lt;=0,E68&gt;=90),0, ROUND(  IF(E68&lt;20, E68*'Reference Standards'!$S$567+'Reference Standards'!$S$568,E68*'Reference Standards'!$T$567+'Reference Standards'!$T$568),2))), IF(OR(  LEFT($B$12,2)="65", LEFT($B$12,2)="74", LEFT($B$12,2)="73"),  IF( AND(E68&gt;=20,E68&lt;=30),1, IF(OR(E68&lt;=0,E68&gt;=50),0, ROUND(  IF(E68&lt;20, E68*'Reference Standards'!$S$601+'Reference Standards'!$S$602,E68*'Reference Standards'!$T$601+'Reference Standards'!$T$602),2))))))))</f>
        <v/>
      </c>
      <c r="G68" s="529"/>
      <c r="H68" s="567"/>
      <c r="I68" s="555"/>
      <c r="J68" s="559"/>
      <c r="K68" s="555"/>
      <c r="L68" s="21"/>
      <c r="N68" s="19"/>
      <c r="O68" s="19"/>
    </row>
    <row r="69" spans="1:15" ht="15.6" x14ac:dyDescent="0.3">
      <c r="A69" s="520"/>
      <c r="B69" s="521"/>
      <c r="C69" s="62" t="s">
        <v>210</v>
      </c>
      <c r="D69" s="58"/>
      <c r="E69" s="167"/>
      <c r="F69" s="391" t="str">
        <f>IF(E69="","",IF(E69&gt;=1.6,0,IF(E69&lt;=1,1,ROUND('Reference Standards'!$S$633*E69^3+'Reference Standards'!$S$634*E69^2+'Reference Standards'!$S$635*E69+'Reference Standards'!$S$636,2))))</f>
        <v/>
      </c>
      <c r="G69" s="530"/>
      <c r="H69" s="567"/>
      <c r="I69" s="555"/>
      <c r="J69" s="559"/>
      <c r="K69" s="555"/>
      <c r="L69" s="21"/>
      <c r="N69" s="19"/>
      <c r="O69" s="19"/>
    </row>
    <row r="70" spans="1:15" ht="15.6" x14ac:dyDescent="0.3">
      <c r="A70" s="521"/>
      <c r="B70" s="296" t="s">
        <v>55</v>
      </c>
      <c r="C70" s="242" t="s">
        <v>54</v>
      </c>
      <c r="D70" s="243"/>
      <c r="E70" s="241"/>
      <c r="F70" s="342" t="str">
        <f>IF(E70="","",IF(AND(B$11="E",$B$14="Sand",$B$21="Unconfined Alluvial"),ROUND(IF(OR(E70&gt;1.8,E70&lt;1.3),0,IF(E70&lt;=1.6,1,E70*'Reference Standards'!S$667+'Reference Standards'!S$668)),2),    IF($B$21="Unconfined Alluvial",ROUND(IF(OR(E70&lt;1.2, E70&gt;1.5),0,IF(E70&lt;=1.4,1,E70*'Reference Standards'!$S$700+'Reference Standards'!$S$701)),2), IF($B$21="Confined Alluvial",ROUND(IF(E70&lt;1.15,0,IF(E70&lt;=1.4,E70*'Reference Standards'!$S$729+'Reference Standards'!$S$730,1)),2),  IF($B$21="Colluvial",ROUND(IF(E70&gt;1.3,0,IF(E70&gt;1.2,E70*'Reference Standards'!$S$760+'Reference Standards'!$S$761,1)),2) )))))</f>
        <v/>
      </c>
      <c r="G70" s="84" t="str">
        <f>IFERROR(AVERAGE(F70),"")</f>
        <v/>
      </c>
      <c r="H70" s="567"/>
      <c r="I70" s="555"/>
      <c r="J70" s="559"/>
      <c r="K70" s="555"/>
      <c r="L70" s="21"/>
      <c r="N70" s="19"/>
      <c r="O70" s="19"/>
    </row>
    <row r="71" spans="1:15" ht="15.6" x14ac:dyDescent="0.3">
      <c r="A71" s="537" t="s">
        <v>58</v>
      </c>
      <c r="B71" s="67" t="s">
        <v>88</v>
      </c>
      <c r="C71" s="70" t="s">
        <v>338</v>
      </c>
      <c r="D71" s="70"/>
      <c r="E71" s="43"/>
      <c r="F71" s="343" t="str">
        <f>IF(E71="","",ROUND(IF(E71&gt;=942,0,IF(E71&lt;=487,E71*'Reference Standards'!AB$15+'Reference Standards'!AB$16,E71*'Reference Standards'!$AC$15+'Reference Standards'!$AC$16)),2))</f>
        <v/>
      </c>
      <c r="G71" s="85" t="str">
        <f>IFERROR(AVERAGE(F71),"")</f>
        <v/>
      </c>
      <c r="H71" s="547" t="str">
        <f>IFERROR(ROUND(AVERAGE(G71:G74),2),"")</f>
        <v/>
      </c>
      <c r="I71" s="534" t="str">
        <f>IF(H71="","",IF(H71&gt;0.69,"Functioning",IF(H71&gt;0.29,"Functioning At Risk",IF(H71&gt;-1,"Not Functioning"))))</f>
        <v/>
      </c>
      <c r="J71" s="559"/>
      <c r="K71" s="555"/>
      <c r="L71" s="21"/>
      <c r="O71" s="19"/>
    </row>
    <row r="72" spans="1:15" ht="15.6" x14ac:dyDescent="0.3">
      <c r="A72" s="538"/>
      <c r="B72" s="297" t="s">
        <v>362</v>
      </c>
      <c r="C72" s="66" t="s">
        <v>354</v>
      </c>
      <c r="D72" s="66"/>
      <c r="E72" s="163"/>
      <c r="F72" s="344" t="str">
        <f>IF(E72="","",IF(OR($B$12="65abei", $B$12="65j", $B$12="66d", $B$12="66e", $B$12="66ik", $B$12="66f", $B$12="66g", $B$12="66j", $B$12="68a", $B$12="69de", $B$12="74b",AND(OR($B$12="67fhi", $B$12="67g"),$B$13&lt;=2),AND(OR($B$12="68c", $B$12="68d"),$B$19="January - June")),IF(E72&gt;93,0,IF(E72&lt;13,1,ROUND('Reference Standards'!$AB$53*E72^2+'Reference Standards'!$AB$54*E72+'Reference Standards'!$AB$55,2))),   IF(OR(AND(OR($B$12="67fhi", $B$12="67g",$B$12="71f",$B$12="71g",$B$12="71h"),$B$13&gt;2),AND(OR($B$12="68c", $B$12="68d"),$B$19="July - December"),$B$12="73a",$B$12="73b"),IF(E72&gt;94,0,IF(E72&lt;17,1,ROUND('Reference Standards'!$AC$53*E72^2+'Reference Standards'!$AC$54*E72+'Reference Standards'!$AC$55,2))),    IF(OR(AND(OR($B$12="68b",$B$12="71i"),$B$13&gt;2), $B$12="71e"),IF(E72&gt;91,0,IF(E72&lt;24,1,ROUND('Reference Standards'!$AD$53*E72^2+'Reference Standards'!$AD$54*E72+'Reference Standards'!$AD$55,2))),  IF(OR(AND(OR($B$12="71f",$B$12="71g",$B$12="71h",$B$12="71i"),$B$13&lt;=2), AND($B$12="74a",$B$13&gt;2)),IF(E72&gt;95,0,IF(E72&lt;=36,1,ROUND('Reference Standards'!$AE$53*E72^2+'Reference Standards'!$AE$54*E72+'Reference Standards'!$AE$55,2))))))))</f>
        <v/>
      </c>
      <c r="G72" s="236" t="str">
        <f>IFERROR(AVERAGE(F72:F72),"")</f>
        <v/>
      </c>
      <c r="H72" s="548"/>
      <c r="I72" s="535"/>
      <c r="J72" s="559"/>
      <c r="K72" s="555"/>
      <c r="L72" s="21"/>
      <c r="O72" s="19"/>
    </row>
    <row r="73" spans="1:15" ht="15.6" x14ac:dyDescent="0.3">
      <c r="A73" s="538"/>
      <c r="B73" s="67" t="s">
        <v>81</v>
      </c>
      <c r="C73" s="68" t="s">
        <v>281</v>
      </c>
      <c r="D73" s="68"/>
      <c r="E73" s="162"/>
      <c r="F73" s="344" t="str">
        <f>IF(E73="","",IF(ISNUMBER($B$13),IF(OR($B$12="66e",$B$12="66f",$B$12="66g"),ROUND(IF(E73&gt;=0.61,0,IF(E73&lt;=0.01,1,IF(E73&lt;=0.06,E73*'Reference Standards'!$AD$197+'Reference Standards'!$AD$198,E73^2*'Reference Standards'!$AB$196+E73*'Reference Standards'!$AB$197+'Reference Standards'!$AB$198))),2),IF($B$12="68b",ROUND(IF(E73&gt;=1.1,0,IF(E73&lt;=0.17,1,IF(E73&lt;=0.22,E73*'Reference Standards'!$AE$197+'Reference Standards'!$AE$198,E73^2*'Reference Standards'!$AC$196+E73*'Reference Standards'!$AC$197+'Reference Standards'!$AC$198))),2),IF($B$13&lt;=2.5,IF($B$12="69de",ROUND(IF(E73&gt;=0.22,0,IF(E73&lt;=0.01,1,E73^2*'Reference Standards'!$AB$90+E73*'Reference Standards'!$AB$91+'Reference Standards'!$AB$92)),2),IF($B$12="68c",ROUND(IF(E73&gt;=0.87,0,IF(E73&lt;=0.01,1,E73^2*'Reference Standards'!$AC$90+E73*'Reference Standards'!$AC$91+'Reference Standards'!$AC$92)),2),IF($B$12="68a",ROUND(IF(E73&gt;=0.81,0,IF(E73&lt;=0.01,1,E73^2*'Reference Standards'!$AD$90+E73*'Reference Standards'!$AD$91+'Reference Standards'!$AD$92)),2),IF($B$12="65abei",ROUND(IF(E73&gt;=0.67,0,IF(E73&lt;=0.01,1,IF(E73&lt;=0.18,E73*'Reference Standards'!$AG$91+'Reference Standards'!$AG$92,E73*'Reference Standards'!$AE$91+'Reference Standards'!$AE$92))),2),IF($B$12="65j",ROUND(IF(E73&gt;=0.32,0,IF(E73&lt;=0.01,1,IF(E73&lt;=0.25,E73*'Reference Standards'!$AH$91+'Reference Standards'!$AH$92,E73*'Reference Standards'!$AF$91+'Reference Standards'!$AF$92))),2),IF($B$12="71f",ROUND(IF(E73&gt;=3,0,IF(E73&lt;=0,1,IF(E73&lt;=0.01,0.7,E73^2*'Reference Standards'!$AB$126+E73*'Reference Standards'!$AB$127+'Reference Standards'!$AB$128))),2),IF($B$12="74a",ROUND(IF(E73&gt;=0.14,0,IF(E73&lt;=0.01,1,IF(E73&lt;=0.02,0.7,E73^2*'Reference Standards'!$AC$126+E73*'Reference Standards'!$AC$127+'Reference Standards'!$AC$128))),2),IF(OR($B$12="67fhi",$B$12="67g"),ROUND(IF(E73&gt;=1.9,0,IF(E73&lt;=0.01,1,IF(E73&lt;=0.05,E73*'Reference Standards'!$AF$127+'Reference Standards'!$AF$128,E73^2*'Reference Standards'!$AD$126+E73*'Reference Standards'!$AD$127+'Reference Standards'!$AD$128))),2),IF($B$12="73a",ROUND(IF(E73&gt;=1.44,0,IF(E73&lt;=0.01,1,IF(E73&lt;=0.12,E73*'Reference Standards'!$AG$127+'Reference Standards'!$AG$128,E73^2*'Reference Standards'!$AE$126+E73*'Reference Standards'!$AE$127+'Reference Standards'!$AE$128))),2),IF($B$12="66d",ROUND(IF(E73&gt;=0.46,0,IF(E73&lt;=0.02,1,IF(E73&lt;=0.08,E73*'Reference Standards'!$AF$163+'Reference Standards'!$AF$164,E73^2*'Reference Standards'!$AB$162+E73*'Reference Standards'!$AB$163+'Reference Standards'!$AB$164))),2),IF(OR($B$12="71g",$B$12="71h",$B$12="71i"),ROUND(IF(E73&gt;=3,0,IF(E73&lt;=0.06,1,IF(E73&lt;=0.24,E73*'Reference Standards'!$AG$163+'Reference Standards'!$AG$164,E73^2*'Reference Standards'!$AC$162+E73*'Reference Standards'!$AC$163+'Reference Standards'!$AC$164))),2),IF($B$12="74b",ROUND(IF(E73&gt;=1.3,0,IF(E73&lt;=0.29,1,IF(E73&lt;=0.48,E73*'Reference Standards'!$AH$163+'Reference Standards'!$AH$164,E73^2*'Reference Standards'!$AD$162+E73*'Reference Standards'!$AD$163+'Reference Standards'!$AD$164))),2),IF($B$12="71e",ROUND(IF(E73&gt;=4.3,0,IF(E73&lt;=0.53,1,IF(E73&lt;=0.67,E73*'Reference Standards'!$AI$163+'Reference Standards'!$AI$164,E73^2*'Reference Standards'!$AE$162+E73*'Reference Standards'!$AE$163+'Reference Standards'!$AE$164))),2)))))))))))))),IF($B$13&gt;2.5,IF($B$12="73a",ROUND(IF(E73&gt;=0.55,0,IF(E73&lt;=0,1,E73^2*'Reference Standards'!$AB$232+E73*'Reference Standards'!$AB$233+'Reference Standards'!$AB$234)),2),IF($B$12="68a",ROUND(IF(E73&gt;=0.54,0,IF(E73&lt;=0,1,IF(E73&lt;=0.01,0.85,E73^2*'Reference Standards'!$AC$232+E73*'Reference Standards'!$AC$233+'Reference Standards'!$AC$234))),2),IF($B$12="74a",ROUND(IF(E73&gt;=0.47,0,IF(E73&lt;=0.01,1,IF(E73&lt;=0.02,0.7,E73^2*'Reference Standards'!$AD$232+E73*'Reference Standards'!$AD$233+'Reference Standards'!$AD$234))),2),IF($B$12="69de",ROUND(IF(E73&gt;=0.26,0,IF(E73&lt;=0.01,1,IF(E73&lt;=0.02,0.85,E73^2*'Reference Standards'!$AE$232+E73*'Reference Standards'!$AE$233+'Reference Standards'!$AE$234))),2),IF($B$12="71f",ROUND(IF(E73&gt;=0.87,0,IF(E73&lt;=0.01,1,IF(E73&lt;=0.04,E73*'Reference Standards'!$AF$269+'Reference Standards'!$AF$270,E73^2*'Reference Standards'!$AB$268+E73*'Reference Standards'!$AB$269+'Reference Standards'!$AB$270))),2),IF($B$12="65abei",ROUND(IF(E73&gt;=0.82,0,IF(E73&lt;=0.01,1,IF(E73&lt;=0.06,E73*'Reference Standards'!$AG$269+'Reference Standards'!$AG$270,E73^2*'Reference Standards'!$AC$268+E73*'Reference Standards'!$AC$269+'Reference Standards'!$AC$270))),2),IF($B$12="65j",ROUND(IF(E73&gt;=0.33,0,IF(E73&lt;=0.03,1,IF(E73&lt;=0.09,E73*'Reference Standards'!$AH$269+'Reference Standards'!$AH$270,E73^2*'Reference Standards'!$AD$268+E73*'Reference Standards'!$AD$269+'Reference Standards'!$AD$270))),2),IF($B$12="68c",ROUND(IF(E73&gt;=0.7,0,IF(E73&lt;=0.07,1,IF(E73&lt;=0.12,E73*'Reference Standards'!$AI$269+'Reference Standards'!$AI$270,E73^2*'Reference Standards'!$AE$268+E73*'Reference Standards'!$AE$269+'Reference Standards'!$AE$270))),2),IF(OR($B$12="67fhi",$B$12="67g"),ROUND(IF(E73&gt;=1.8,0,IF(E73&lt;=0.08,1,IF(E73&lt;=0.2,E73*'Reference Standards'!$AF$306+'Reference Standards'!$AF$307,E73^2*'Reference Standards'!$AB$305+E73*'Reference Standards'!$AB$306+'Reference Standards'!$AB$307))),2),IF($B$12="74b",ROUND(IF(E73&gt;=0.96,0,IF(E73&lt;=0.12,1,IF(E73&lt;=0.16,E73*'Reference Standards'!$AG$306+'Reference Standards'!$AG$307,E73^2*'Reference Standards'!$AC$305+E73*'Reference Standards'!$AC$306+'Reference Standards'!$AC$307))),2),IF($B$12="66d",ROUND(IF(E73&gt;=0.75,0,IF(E73&lt;=0.13,1,IF(E73&lt;=0.2,E73*'Reference Standards'!$AH$306+'Reference Standards'!$AH$307,E73^2*'Reference Standards'!$AD$305+E73*'Reference Standards'!$AD$306+'Reference Standards'!$AD$307))),2),IF(OR($B$12="71g",$B$12="71h",$B$12="71i"),ROUND(IF(E73&gt;=1.68,0,IF(E73&lt;=0.08,1,IF(E73&lt;=0.23,E73*'Reference Standards'!$AI$306+'Reference Standards'!$AI$307,E73^2*'Reference Standards'!$AE$305+E73*'Reference Standards'!$AE$306+'Reference Standards'!$AE$307))),2),IF($B$12="71e",ROUND(IF(E73&gt;=5.3,0,IF(E73&lt;=0.94,1,IF(E73&lt;=1.4,E73*'Reference Standards'!$AF$310+'Reference Standards'!$AF$311,E73^2*'Reference Standards'!$AB$309+E73*'Reference Standards'!$AB$310+'Reference Standards'!$AB$311))),2))))))))))))))))))))</f>
        <v/>
      </c>
      <c r="G73" s="86" t="str">
        <f>IFERROR(AVERAGE(F73),"")</f>
        <v/>
      </c>
      <c r="H73" s="548"/>
      <c r="I73" s="535"/>
      <c r="J73" s="559"/>
      <c r="K73" s="555"/>
      <c r="L73" s="21"/>
      <c r="O73" s="19"/>
    </row>
    <row r="74" spans="1:15" ht="15.6" x14ac:dyDescent="0.3">
      <c r="A74" s="539"/>
      <c r="B74" s="298" t="s">
        <v>82</v>
      </c>
      <c r="C74" s="66" t="s">
        <v>280</v>
      </c>
      <c r="D74" s="66"/>
      <c r="E74" s="136"/>
      <c r="F74" s="343" t="str">
        <f>IF(E74="","",IF(ISNUMBER($B$13),IF($B$13&gt;2.5,IF(OR($B$12="71h",$B$12="71i",$B$12="73a",$B$12="74a"),IF(E74&lt;=0.01,1,IF(OR($B$12="71h",$B$12="71i"),IF(E74&gt;0.37,0,ROUND(IF(E74&gt;0.03,'Reference Standards'!$AB$425*E74^2+'Reference Standards'!$AB$426*E74+'Reference Standards'!$AB$427,'Reference Standards'!$AF$426*E74+'Reference Standards'!$AF$427),2)),IF($B$12="73a",IF(E74&gt;0.405,0,ROUND(IF(E74&gt;0.046,'Reference Standards'!$AC$425*E74^2+'Reference Standards'!$AC$426*E74+'Reference Standards'!$AC$427,'Reference Standards'!$AG$426*E74+'Reference Standards'!$AG$427),2)),IF($B$12="74a",IF(E74&gt;0.3,0,ROUND(IF(E74&gt;0.052,'Reference Standards'!$AD$425*E74^2+'Reference Standards'!$AD$426*E74+'Reference Standards'!$AD$427,'Reference Standards'!$AH$426*E74+'Reference Standards'!$AH$427),2)))))),IF(E74&lt;=0.002,1,IF(OR($B$12="66d",$B$12="66e",$B$12="66g"),IF(E74&gt;0.053,0,ROUND(E74^2*'Reference Standards'!$AB$347+E74*'Reference Standards'!$AB$348+'Reference Standards'!$AB$349,2)),IF($B$12="68b",IF(E74&gt;0.05,0,ROUND(E74^2*'Reference Standards'!$AC$347+E74*'Reference Standards'!$AC$348+'Reference Standards'!$AC$349,2)),IF(OR($B$12="68a",$B$12="68c"),IF(E74&gt;0.07,0,ROUND(E74^2*'Reference Standards'!$AD$347+E74*'Reference Standards'!$AD$348+'Reference Standards'!$AD$349,2)),IF(OR($B$12="71f",$B$12="71g"),IF(E74&gt;0.13,0,ROUND(IF(E74&gt;0.042,E74*'Reference Standards'!$AE$348+'Reference Standards'!$AE$349,E74*'Reference Standards'!$AF$348+'Reference Standards'!$AF$349),2)),IF($B$12="67fhi",IF(E74&gt;0.16,0,ROUND(E74^2*'Reference Standards'!$AG$347+E74*'Reference Standards'!$AG$348+'Reference Standards'!$AG$349,2)),IF($B$12="65j",IF(E74&gt;0.035,0,ROUND(IF(E74&lt;=0.003,0.7,E74^2*'Reference Standards'!$AB$387+E74*'Reference Standards'!$AB$388+'Reference Standards'!$AB$389),2)),IF($B$12="69de",IF(E74&gt;0.037,0,ROUND(IF(E74&lt;=0.003,0.7,E74^2*'Reference Standards'!$AC$387+E74*'Reference Standards'!$AC$388+'Reference Standards'!$AC$389),2)),IF($B$12="71e",IF(E74&gt;0.23,0,ROUND(IF(E74&lt;=0.003,0.7,E74^2*'Reference Standards'!$AD$387+E74*'Reference Standards'!$AD$388+'Reference Standards'!$AD$389),2)),IF($B$12="66f",IF(E74&gt;0.06,0,ROUND(IF(E74&lt;=0.003,0.85,IF(E74&lt;=0.004,0.7,E74^2*'Reference Standards'!$AE$387+E74*'Reference Standards'!$AE$388+'Reference Standards'!$AE$389)),2)),IF($B$12="67g",IF(E74&gt;0.11,0,ROUND(IF(E74&lt;=0.01,E74*'Reference Standards'!$AH$388+'Reference Standards'!$AH$389,E74^2*'Reference Standards'!$AF$387+E74*'Reference Standards'!$AF$388+'Reference Standards'!$AF$389),2)),IF($B$12="74b",IF(E74&gt;0.49,0,ROUND(IF(E74&lt;=0.01,E74*'Reference Standards'!$AH$388+'Reference Standards'!$AH$389,E74^2*'Reference Standards'!$AG$387+E74*'Reference Standards'!$AG$388+'Reference Standards'!$AG$389),2)),IF($B$12="65abei",IF(E74&gt;0.199,0,ROUND(IF(E74&lt;=0.01,E74*'Reference Standards'!$AI$426+'Reference Standards'!$AI$427,E74^2*'Reference Standards'!$AE$425+E74*'Reference Standards'!$AE$426+'Reference Standards'!$AE$427),2)))))))))))))))),IF($B$13&lt;=2.5,IF(OR($B$12="66d",$B$12="66e",$B$12="66g"),IF(E74&gt;0.05,0,ROUND(IF(E74&lt;=0.002,1,IF(E74&lt;=0.005,E74*'Reference Standards'!$AF$464+'Reference Standards'!$AF$465,E74^2*'Reference Standards'!$AB$463+E74*'Reference Standards'!$AB$464+'Reference Standards'!$AB$465)),2)),IF($B$12="67fhi",IF(E74&gt;0.1,0,ROUND(IF(E74&lt;=0.002,1,IF(E74&lt;=0.006,E74*'Reference Standards'!$AG$464+'Reference Standards'!$AG$465,E74^2*'Reference Standards'!$AC$463+E74*'Reference Standards'!$AC$464+'Reference Standards'!$AC$465)),2)),IF($B$12="65abei",IF(E74&gt;0.13,0,ROUND(IF(E74&lt;=0.003,1,IF(E74&lt;=0.008,E74*'Reference Standards'!$AH$464+'Reference Standards'!$AH$465,E74^2*'Reference Standards'!$AD$463+E74*'Reference Standards'!$AD$464+'Reference Standards'!$AD$465)),2)),IF($B$12="68b",IF(E74&gt;0.043,0,ROUND(IF(E74&lt;=0.004,1,IF(E74&lt;=0.005,0.7,E74^2*'Reference Standards'!$AE$463+E74*'Reference Standards'!$AE$464+'Reference Standards'!$AE$465)),2)),IF($B$12="69de",IF(E74&gt;=0.034,0,ROUND(IF(E74&lt;=0.003,1,IF(E74&lt;=0.006,E74*'Reference Standards'!$AG$500+'Reference Standards'!$AG$501,E74*'Reference Standards'!$AB$500+'Reference Standards'!$AB$501)),2)),IF(OR($B$12="68a",$B$12="68c"),IF(E74&gt;0.202,0,ROUND(IF(E74&lt;=0.003,1,IF(E74&lt;=0.006,E74*'Reference Standards'!$AG$500+'Reference Standards'!$AG$501,IF(E74&gt;=0.04,E74*'Reference Standards'!$AC$500+'Reference Standards'!$AC$501,E74*'Reference Standards'!$AE$500+'Reference Standards'!$AE$501))),2)),IF(OR($B$12="71f",$B$12="71g"),IF(E74&gt;0.631,0,ROUND(IF(E74&lt;=0.003,1,IF(E74&lt;=0.006,E74*'Reference Standards'!$AG$500+'Reference Standards'!$AG$501,IF(E74&gt;=0.17,E74*'Reference Standards'!$AD$500+'Reference Standards'!$AD$501,E74*'Reference Standards'!$AF$500+'Reference Standards'!$AF$501))),2)),IF($B$12="71e",IF(E74&gt;1.23,0,ROUND(IF(E74&lt;=0.004,1,IF(E74&lt;=0.006,E74*'Reference Standards'!$AF$538+'Reference Standards'!$AF$539,E74^2*'Reference Standards'!$AB$537+E74*'Reference Standards'!$AB$538+'Reference Standards'!$AB$539)),2)),IF($B$12="67g",IF(E74&gt;0.11,0,ROUND(IF(E74&lt;=0.006,1,IF(E74&lt;=0.011,E74*'Reference Standards'!$AG$538+'Reference Standards'!$AG$539,E74^2*'Reference Standards'!$AC$537+E74*'Reference Standards'!$AC$538+'Reference Standards'!$AC$539)),2)),IF($B$12="65j",IF(E74&gt;0.046,0,ROUND(IF(E74&lt;=0.007,1,IF(E74&lt;=0.012,E74*'Reference Standards'!$AH$538+'Reference Standards'!$AH$539,E74^2*'Reference Standards'!$AD$537+E74*'Reference Standards'!$AD$538+'Reference Standards'!$AD$539)),2)),IF($B$12="66f",IF(E74&gt;0.081,0,ROUND(IF(E74&lt;=0.008,1,IF(E74&lt;=0.011,E74*'Reference Standards'!$AI$538+'Reference Standards'!$AI$539,E74^2*'Reference Standards'!$AE$537+E74*'Reference Standards'!$AE$538+'Reference Standards'!$AE$539)),2)),IF(OR($B$12="71h",$B$12="71i"),IF(E74&gt;0.37,0,ROUND(IF(E74&lt;=0.013,1,IF(E74&lt;=0.032,E74*'Reference Standards'!$AH$576+'Reference Standards'!$AH$577,IF(E74&lt;=0.3,E74*'Reference Standards'!$AF$576+'Reference Standards'!$AF$577,E74*'Reference Standards'!$AB$576+'Reference Standards'!$AB$577))),2)),IF($B$12="73a",IF(E74&gt;0.448,0,ROUND(IF(E74&lt;=0.071,1,IF(E74&lt;=0.086,E74*'Reference Standards'!$AJ$576+'Reference Standards'!$AJ$577,IF(E74&lt;=0.165,E74*'Reference Standards'!$AG$576+'Reference Standards'!$AG$577,E74*'Reference Standards'!$AE$576+'Reference Standards'!$AE$577))),2)),IF($B$12="74b",IF(E74&gt;0.43,0,ROUND(IF(E74&lt;=0.018,1,IF(E74&lt;=0.019,0.85,IF(E74&lt;=0.02,0.7,E74^2*'Reference Standards'!$AC$575+E74*'Reference Standards'!$AC$576+'Reference Standards'!$AC$577))),2)),IF($B$12="74a",IF(E74&gt;0.217,0,ROUND(IF(E74&lt;=0.02,1,IF(E74&lt;=0.033,E74*'Reference Standards'!$AI$576+'Reference Standards'!$AI$577,E74^2*'Reference Standards'!$AD$575+E74*'Reference Standards'!$AD$576+'Reference Standards'!$AD$577)),2)))))))))))))))))))))</f>
        <v/>
      </c>
      <c r="G74" s="87" t="str">
        <f>IFERROR(AVERAGE(F74),"")</f>
        <v/>
      </c>
      <c r="H74" s="549"/>
      <c r="I74" s="536"/>
      <c r="J74" s="559"/>
      <c r="K74" s="555"/>
      <c r="L74" s="21"/>
      <c r="O74" s="19"/>
    </row>
    <row r="75" spans="1:15" ht="15.6" x14ac:dyDescent="0.3">
      <c r="A75" s="550" t="s">
        <v>59</v>
      </c>
      <c r="B75" s="560" t="s">
        <v>340</v>
      </c>
      <c r="C75" s="125" t="s">
        <v>331</v>
      </c>
      <c r="D75" s="126"/>
      <c r="E75" s="166"/>
      <c r="F75" s="345" t="str">
        <f>IF(E75="","",IF(OR(B$12="73a",B$12="73b"),IF(E75&lt;1,0,IF(E75&gt;=30,1,ROUND(IF(E75&lt;22,'Reference Standards'!$AL$16*E75+'Reference Standards'!$AL$17,'Reference Standards'!$AM$16*E75+'Reference Standards'!$AM$17),2))), IF(E75&lt;1,0, IF(E75&gt;=42,1, ROUND(IF(E75&lt;32,'Reference Standards'!$AN$16*E75+'Reference Standards'!$AN$17,'Reference Standards'!$AO$16*E75+'Reference Standards'!$AO$17),2)))))</f>
        <v/>
      </c>
      <c r="G75" s="531" t="str">
        <f>IFERROR(AVERAGE(F75:F78),"")</f>
        <v/>
      </c>
      <c r="H75" s="568" t="str">
        <f>IFERROR(ROUND(AVERAGE(G75:G80),2),"")</f>
        <v/>
      </c>
      <c r="I75" s="519" t="str">
        <f>IF(H75="","",IF(H75&gt;0.69,"Functioning",IF(H75&gt;0.29,"Functioning At Risk",IF(H75&gt;-1,"Not Functioning"))))</f>
        <v/>
      </c>
      <c r="J75" s="559"/>
      <c r="K75" s="555"/>
      <c r="L75" s="21"/>
      <c r="O75" s="19"/>
    </row>
    <row r="76" spans="1:15" ht="15.6" x14ac:dyDescent="0.3">
      <c r="A76" s="556"/>
      <c r="B76" s="561"/>
      <c r="C76" s="174" t="s">
        <v>335</v>
      </c>
      <c r="D76" s="175"/>
      <c r="E76" s="165"/>
      <c r="F76" s="346" t="str">
        <f>IF(E76="","",IF(AND($B$12="74b",$B$13&lt;=2),IF(E76&lt;0,0,IF(E76&gt;15.6,0.69,ROUND('Reference Standards'!$AL$54*E76^2+'Reference Standards'!$AL$55*E76+'Reference Standards'!$AL$56,2))),IF(AND($B$12="65abei",$B$13&lt;=2),IF(E76&lt;0,0,IF(E76&gt;=20,0.69,ROUND('Reference Standards'!$AM$54*E76^2+'Reference Standards'!$AM$55*E76+'Reference Standards'!$AM$56,2))),IF(OR(AND($B$12="74a",$B$13&gt;2,$B$19="January - June"),AND($B$12="71i",$B$13&gt;2,$B$20="SQBANK")),IF(E76&lt;0,0,IF(E76&gt;24.7,0.69,ROUND('Reference Standards'!$AN$54*E76^2+'Reference Standards'!$AN$55*E76+'Reference Standards'!$AN$56,2))),IF(OR($B$12="74b",$B$12="65abei"),IF(E76&lt;0,0,IF(E76&gt;32.7,0.69,ROUND('Reference Standards'!$AO$54*E76^2+'Reference Standards'!$AO$55*E76+'Reference Standards'!$AO$56,2))),IF(AND($B$12="68b",$B$13&gt;2),IF(E76&lt;0,0,IF(E76&gt;41.2,0.69,ROUND('Reference Standards'!$AP$54*E76^2+'Reference Standards'!$AP$55*E76+'Reference Standards'!$AP$56,2))),IF(OR(AND($B$12="71i",$B$13&lt;=2),AND(OR($B$12="68c",$B$12="68d"),$B$19="January - June")),IF(E76&lt;0,0,IF(E76&gt;49.2,0.69,ROUND('Reference Standards'!$AL$94*E76^2+'Reference Standards'!$AL$95*E76+'Reference Standards'!$AL$96,2))),IF(OR(AND($B$12="68a",$B$19="January - June"),AND(OR($B$12="68c",$B$12="68d"),$B$19="July - December")),IF(E76&lt;0,0,IF(E76&gt;53.4,0.69,ROUND('Reference Standards'!$AM$94*E76^2+'Reference Standards'!$AM$95*E76+'Reference Standards'!$AM$96,2))),IF(OR(AND($B$12="71i",$B$13&gt;2,$B$20="SQKICK"),AND(OR($B$12="67fhi",$B$12="67g"),$B$13&lt;=2),$B$12="65j"),IF(E76&lt;0,0,IF(E76&gt;57.8,0.69,ROUND('Reference Standards'!$AN$94*E76^2+'Reference Standards'!$AN$95*E76+'Reference Standards'!$AN$96,2))),IF(OR(AND($B$12="74a",$B$13&gt;2,$B$19="July - December"),AND(OR($B$12="67fhi",$B$12="67g"),$B$13&gt;2),$B$12="69de"),IF(E76&lt;0,0,IF(E76&gt;62.5,0.69,ROUND('Reference Standards'!$AO$94*E76^2+'Reference Standards'!$AO$95*E76+'Reference Standards'!$AO$96,2))),  IF(OR($B$12="66d",$B$12="66e",$B$12="66ik",$B$12="71e",$B$12="71f",$B$12="71g",$B$12="71h"),IF(E76&lt;0,0,IF(E76&gt;66.5,0.69,ROUND('Reference Standards'!$AP$94*E76^2+'Reference Standards'!$AP$95*E76+'Reference Standards'!$AP$96,2))),IF(OR($B$12="66f",$B$12="66g",$B$12="66j",AND($B$12="68a",$B$19="July - December")), IF(E76&lt;0,0,IF(E76&gt;69,0.69,ROUND('Reference Standards'!$AQ$94*E76^2+'Reference Standards'!$AQ$95*E76+'Reference Standards'!$AQ$96,2))))   )))))))))))</f>
        <v/>
      </c>
      <c r="G76" s="531"/>
      <c r="H76" s="568"/>
      <c r="I76" s="519"/>
      <c r="J76" s="559"/>
      <c r="K76" s="555"/>
      <c r="L76" s="21"/>
      <c r="O76" s="19"/>
    </row>
    <row r="77" spans="1:15" ht="15.6" x14ac:dyDescent="0.3">
      <c r="A77" s="556"/>
      <c r="B77" s="561"/>
      <c r="C77" s="174" t="s">
        <v>339</v>
      </c>
      <c r="D77" s="175"/>
      <c r="E77" s="165"/>
      <c r="F77" s="346" t="str">
        <f>IF(E77="","",IF(AND($B$12="74b",$B$13&lt;=2),IF(E77&lt;0,0,IF(E77&gt;8.1,0.69,ROUND('Reference Standards'!$AL$131*E77^2+'Reference Standards'!$AL$132*E77+'Reference Standards'!$AL$133,2))),IF(OR($B$12="73a",$B$12="73b"),IF(E77&lt;0,0,IF(E77&gt;=28,0.69,ROUND('Reference Standards'!$AM$131*E77^2+'Reference Standards'!$AM$132*E77+'Reference Standards'!$AM$133,2))),IF(AND($B$12="74a",$B$13&gt;2,$B$19="January - June"),IF(E77&lt;0,0,IF(E77&gt;=32.5,0.69,ROUND('Reference Standards'!$AN$131*E77^2+'Reference Standards'!$AN$132*E77+'Reference Standards'!$AN$133,2))),IF(AND($B$12="71i",$B$13&gt;2,$B$20="SQBANK"),IF(E77&lt;0,0,IF(E77&gt;=37,0.69,ROUND('Reference Standards'!$AO$131*E77^2+'Reference Standards'!$AO$132*E77+'Reference Standards'!$AO$133,2))),IF(OR(AND(OR($B$12="65abei",$B$12="74b"),$B$13&gt;2),AND($B$12="71i",$B$13&gt;2,$B$20="SQKICK")),IF(E77&lt;0,0,IF(E77&gt;42.6,0.69,ROUND('Reference Standards'!$AP$131*E77^2+'Reference Standards'!$AP$132*E77+'Reference Standards'!$AP$133,2))),     IF(OR(AND($B$12="65abei",$B$13&lt;=2),AND(OR($B$12="68c",$B$12="68d"),$B$19="July - December"),$B$12="71e"),IF(E77&lt;0,0,IF(E77&gt;=48,0.69,ROUND('Reference Standards'!$AL$171*E77^2+'Reference Standards'!$AL$172*E77+'Reference Standards'!$AL$173,2))),IF(OR($B$12="65j",$B$12="67fhi",$B$12="67g",AND($B$12="74a",$B$19="July - December",$B$13&gt;2),AND($B$12="71i",$B$13&lt;=2)),IF(E77&lt;0,0,IF(E77&gt;=53,0.69,ROUND('Reference Standards'!$AM$171*E77^2+'Reference Standards'!$AM$172*E77+'Reference Standards'!$AM$173,2))),IF(OR(AND(OR($B$12="68b",$B$12="71f",$B$12="71g",$B$12="71h"),$B$13&gt;2),$B$12="68a"),IF(E77&lt;0,0,IF(E77&gt;=57,0.69,ROUND('Reference Standards'!$AN$171*E77^2+'Reference Standards'!$AN$172*E77+'Reference Standards'!$AN$173,2))),IF(OR($B$12="66f",$B$12="66g",$B$12="66j",AND(OR($B$12="71f",$B$12="71g",$B$12="71h"),$B$13&lt;=2)),IF(E77&lt;0,0,IF(E77&gt;=60,0.69,ROUND('Reference Standards'!$AO$171*E77^2+'Reference Standards'!$AO$172*E77+'Reference Standards'!$AO$173,2))),  IF(OR($B$12="66d",$B$12="66e",$B$12="66ik", AND(OR($B$12="68c",$B$12="68d"),$B$19="January - June"),AND($B$12="69de",$B$19="July - December")),IF(E77&lt;0,0,IF(E77&gt;=67.5,0.69,ROUND('Reference Standards'!$AP$171*E77^2+'Reference Standards'!$AP$172*E77+'Reference Standards'!$AP$173,2))),IF(AND($B$12="69de",$B$19="January - June"), IF(E77&lt;0,0,IF(E77&gt;=72,0.69,ROUND('Reference Standards'!$AQ$171*E77^2+'Reference Standards'!$AQ$172*E77+'Reference Standards'!$AQ$173,2))))   )))))))))))</f>
        <v/>
      </c>
      <c r="G77" s="531"/>
      <c r="H77" s="568"/>
      <c r="I77" s="519"/>
      <c r="J77" s="559"/>
      <c r="K77" s="555"/>
      <c r="L77" s="21"/>
      <c r="O77" s="19"/>
    </row>
    <row r="78" spans="1:15" ht="15.6" x14ac:dyDescent="0.3">
      <c r="A78" s="556"/>
      <c r="B78" s="562"/>
      <c r="C78" s="127" t="s">
        <v>336</v>
      </c>
      <c r="D78" s="71"/>
      <c r="E78" s="167"/>
      <c r="F78" s="346" t="str">
        <f>IF(E78="","",IF(OR($B$12="67fhi",$B$12="67g",$B$12="71e",$B$12="73a",$B$12="73b",AND(OR($B$12="71f",$B$12="71g",$B$12="71h"),$B$13&gt;2)),IF(E78&gt;100,0,IF(E78&lt;15,0.69,ROUND('Reference Standards'!$AL$208*E78^2+'Reference Standards'!$AL$209*E78+'Reference Standards'!$AL$210,2))),  IF(OR($B$12="66d",$B$12="66e",$B$12="66ik",$B$12="66f",$B$12="66g",$B$12="66j",$B$12="68a",$B$12="68c",$B$12="68d",AND($B$12="69de",$B$19="July - December"), AND($B$12="71i",$B$13&lt;=2), AND($B$12="71i",$B$13&gt;2,$B$20="SQBANK" ), AND($B$12="74a",$B$13&gt;2,$B$19="July - December") ),IF(E78&gt;100,0,IF(E78&lt;19,0.69,ROUND('Reference Standards'!$AM$208*E78^2+'Reference Standards'!$AM$209*E78+'Reference Standards'!$AM$210,2))),    IF(OR(AND($B$12="69de",$B$19="January - June"),AND($B$12="71i",$B$13&gt;2,$B$20="SQKICK" )),IF(E78&gt;100,0,IF(E78&lt;22,0.69,ROUND('Reference Standards'!$AN$208*E78^2+'Reference Standards'!$AN$209*E78+'Reference Standards'!$AN$210,2))),    IF(OR($B$12="65j",AND($B$12="68b",$B$13&gt;2)),IF(E78&gt;100,0,IF(E78&lt;24,0.69,ROUND('Reference Standards'!$AO$208*E78^2+'Reference Standards'!$AO$209*E78+'Reference Standards'!$AO$210,2))),    IF(AND(OR($B$12="65abei",$B$12="71f",$B$12="71g",$B$12="71h"),$B$13&lt;=2),IF(E78&gt;95,0,IF(E78&lt;33,0.69,ROUND('Reference Standards'!$AL$246*E78^2+'Reference Standards'!$AL$247*E78+'Reference Standards'!$AL$248,2))),   IF(AND(OR($B$12="65abei",$B$12="74b"),$B$13&gt;2),IF(E78&gt;97,0,IF(E78&lt;36,0.69,ROUND('Reference Standards'!$AM$246*E78^2+'Reference Standards'!$AM$247*E78+'Reference Standards'!$AM$248,2))),  IF(AND($B$12="74a",$B$19="January - June",$B$13&gt;2),IF(E78&gt;93,0,IF(E78&lt;52,0.69,ROUND('Reference Standards'!$AN$246*E78^2+'Reference Standards'!$AN$247*E78+'Reference Standards'!$AN$248,2))),   IF(AND($B$12="74b",$B$13&lt;=2),IF(E78&gt;97,0,IF(E78&lt;62,0.69,ROUND('Reference Standards'!$AO$246*E78^2+'Reference Standards'!$AO$247*E78+'Reference Standards'!$AO$248,2)))  )))))))))</f>
        <v/>
      </c>
      <c r="G78" s="531"/>
      <c r="H78" s="568"/>
      <c r="I78" s="519"/>
      <c r="J78" s="559"/>
      <c r="K78" s="555"/>
      <c r="L78" s="21"/>
      <c r="O78" s="19"/>
    </row>
    <row r="79" spans="1:15" ht="15.6" x14ac:dyDescent="0.3">
      <c r="A79" s="556"/>
      <c r="B79" s="563" t="s">
        <v>74</v>
      </c>
      <c r="C79" s="125" t="s">
        <v>211</v>
      </c>
      <c r="D79" s="126"/>
      <c r="E79" s="136"/>
      <c r="F79" s="345" t="str">
        <f>IF(E79="","",IF(E79=1,0.15,IF(E79=3,0.5,IF(E79=5,0.85,0))))</f>
        <v/>
      </c>
      <c r="G79" s="564" t="str">
        <f>IFERROR(AVERAGE(F79:F80),"")</f>
        <v/>
      </c>
      <c r="H79" s="568"/>
      <c r="I79" s="519"/>
      <c r="J79" s="559"/>
      <c r="K79" s="555"/>
      <c r="L79" s="21"/>
      <c r="O79" s="19"/>
    </row>
    <row r="80" spans="1:15" ht="15.6" x14ac:dyDescent="0.3">
      <c r="A80" s="551"/>
      <c r="B80" s="563"/>
      <c r="C80" s="127" t="s">
        <v>332</v>
      </c>
      <c r="D80" s="71"/>
      <c r="E80" s="163"/>
      <c r="F80" s="347" t="str">
        <f>IF(E80="","",IF(E80=1,0.15,IF(E80=3,0.5,IF(E80=5,0.85,0))))</f>
        <v/>
      </c>
      <c r="G80" s="565"/>
      <c r="H80" s="568"/>
      <c r="I80" s="519"/>
      <c r="J80" s="559"/>
      <c r="K80" s="555"/>
      <c r="L80" s="21"/>
    </row>
    <row r="81" spans="1:12" x14ac:dyDescent="0.3">
      <c r="J81" s="13"/>
      <c r="K81" s="317"/>
      <c r="L81" s="21"/>
    </row>
    <row r="82" spans="1:12" x14ac:dyDescent="0.3">
      <c r="J82" s="13"/>
      <c r="K82" s="317"/>
      <c r="L82" s="21"/>
    </row>
    <row r="83" spans="1:12" ht="21" x14ac:dyDescent="0.4">
      <c r="A83" s="544" t="s">
        <v>57</v>
      </c>
      <c r="B83" s="545"/>
      <c r="C83" s="545"/>
      <c r="D83" s="545"/>
      <c r="E83" s="545"/>
      <c r="F83" s="546"/>
      <c r="G83" s="544" t="s">
        <v>18</v>
      </c>
      <c r="H83" s="545"/>
      <c r="I83" s="545"/>
      <c r="J83" s="545"/>
      <c r="K83" s="546"/>
      <c r="L83" s="21"/>
    </row>
    <row r="84" spans="1:12" ht="15.6" x14ac:dyDescent="0.3">
      <c r="A84" s="158" t="s">
        <v>1</v>
      </c>
      <c r="B84" s="158" t="s">
        <v>2</v>
      </c>
      <c r="C84" s="542" t="s">
        <v>3</v>
      </c>
      <c r="D84" s="543"/>
      <c r="E84" s="158" t="s">
        <v>15</v>
      </c>
      <c r="F84" s="302" t="s">
        <v>16</v>
      </c>
      <c r="G84" s="158" t="s">
        <v>19</v>
      </c>
      <c r="H84" s="158" t="s">
        <v>20</v>
      </c>
      <c r="I84" s="158" t="s">
        <v>20</v>
      </c>
      <c r="J84" s="158" t="s">
        <v>105</v>
      </c>
      <c r="K84" s="315" t="s">
        <v>105</v>
      </c>
    </row>
    <row r="85" spans="1:12" ht="15.6" x14ac:dyDescent="0.3">
      <c r="A85" s="540" t="s">
        <v>60</v>
      </c>
      <c r="B85" s="299" t="s">
        <v>86</v>
      </c>
      <c r="C85" s="52" t="s">
        <v>388</v>
      </c>
      <c r="D85" s="52"/>
      <c r="E85" s="162"/>
      <c r="F85" s="338" t="str">
        <f>IF(E85="","",IF(E85&lt;=0,0,IF(E85&gt;=0.95,1,ROUND('Reference Standards'!C$14*E85+'Reference Standards'!C$15,2))))</f>
        <v/>
      </c>
      <c r="G85" s="83" t="str">
        <f>IFERROR(AVERAGE(F85),"")</f>
        <v/>
      </c>
      <c r="H85" s="522" t="str">
        <f>IFERROR(ROUND(AVERAGE(G85:G86),2),"")</f>
        <v/>
      </c>
      <c r="I85" s="519" t="str">
        <f>IF(H85="","",IF(H85&gt;0.69,"Functioning",IF(H85&gt;0.29,"Functioning At Risk",IF(H85&gt;-1,"Not Functioning"))))</f>
        <v/>
      </c>
      <c r="J85" s="559" t="str">
        <f>IF(AND(H85="",H87="",H89="",H111="",H115=""),"",ROUND((IF(H85="",0,H85)*0.2)+(IF(H87="",0,H87)*0.2)+(IF(H89="",0,H89)*0.2)+(IF(H111="",0,H111)*0.2)+(IF(H115="",0,H115)*0.2),2))</f>
        <v/>
      </c>
      <c r="K85" s="555" t="str">
        <f>IF(J85="","",IF(J85&lt;0.3, "Not Functioning",IF(OR(H85&lt;0.7,H87&lt;0.7,H89&lt;0.7,H111&lt;0.7,H115&lt;0.7),"Functioning At Risk",IF(J85&lt;0.7,"Functioning At Risk","Functioning"))))</f>
        <v/>
      </c>
    </row>
    <row r="86" spans="1:12" ht="15.6" x14ac:dyDescent="0.3">
      <c r="A86" s="541"/>
      <c r="B86" s="371" t="s">
        <v>128</v>
      </c>
      <c r="C86" s="373" t="s">
        <v>161</v>
      </c>
      <c r="D86" s="374"/>
      <c r="E86" s="43"/>
      <c r="F86" s="372" t="str">
        <f>IF(E86="","",IF(E86&gt;=1,1,IF(E86&lt;=0,0,ROUND(E86,2))))</f>
        <v/>
      </c>
      <c r="G86" s="365" t="str">
        <f>IFERROR(AVERAGE(F86:F86),"")</f>
        <v/>
      </c>
      <c r="H86" s="523"/>
      <c r="I86" s="519"/>
      <c r="J86" s="559"/>
      <c r="K86" s="555"/>
    </row>
    <row r="87" spans="1:12" ht="15.6" x14ac:dyDescent="0.3">
      <c r="A87" s="524" t="s">
        <v>6</v>
      </c>
      <c r="B87" s="572" t="s">
        <v>7</v>
      </c>
      <c r="C87" s="54" t="s">
        <v>8</v>
      </c>
      <c r="D87" s="54"/>
      <c r="E87" s="162"/>
      <c r="F87" s="339" t="str">
        <f>IF(E87="","",ROUND(IF(E87&gt;1.6,0,IF(E87&lt;=1,1,E87^2*'Reference Standards'!K$14+E87*'Reference Standards'!K$15+'Reference Standards'!K$16)),2))</f>
        <v/>
      </c>
      <c r="G87" s="581" t="str">
        <f>IFERROR(AVERAGE(F87:F88),"")</f>
        <v/>
      </c>
      <c r="H87" s="579" t="str">
        <f>IFERROR(ROUND(AVERAGE(G87),2),"")</f>
        <v/>
      </c>
      <c r="I87" s="569" t="str">
        <f>IF(H87="","",IF(H87&gt;0.69,"Functioning",IF(H87&gt;0.29,"Functioning At Risk",IF(H87&gt;-1,"Not Functioning"))))</f>
        <v/>
      </c>
      <c r="J87" s="559"/>
      <c r="K87" s="555"/>
    </row>
    <row r="88" spans="1:12" ht="15.6" x14ac:dyDescent="0.3">
      <c r="A88" s="525"/>
      <c r="B88" s="525"/>
      <c r="C88" s="54" t="s">
        <v>9</v>
      </c>
      <c r="D88" s="55"/>
      <c r="E88" s="163"/>
      <c r="F88" s="339" t="str">
        <f>IF(E88="","",(IF(OR(B$11="A",B$11="B",$B$11="Bc"),IF(E88&lt;1.2,0,IF(E88&gt;=2.2,1,ROUND(IF(E88&lt;1.4,E88*'Reference Standards'!$K$84+'Reference Standards'!$K$85,E88*'Reference Standards'!$L$84+'Reference Standards'!$L$85),2))),IF(OR(B$11="C",B$11="E"),IF(E88&lt;2,0,IF(E88&gt;=5,1,ROUND(IF(E88&lt;2.4,E88*'Reference Standards'!$L$49+'Reference Standards'!$L$50,E88*'Reference Standards'!$K$49+'Reference Standards'!$K$50),2)))))))</f>
        <v/>
      </c>
      <c r="G88" s="580"/>
      <c r="H88" s="580"/>
      <c r="I88" s="570"/>
      <c r="J88" s="559"/>
      <c r="K88" s="555"/>
    </row>
    <row r="89" spans="1:12" ht="15.6" x14ac:dyDescent="0.3">
      <c r="A89" s="526" t="s">
        <v>26</v>
      </c>
      <c r="B89" s="557" t="s">
        <v>27</v>
      </c>
      <c r="C89" s="60" t="s">
        <v>333</v>
      </c>
      <c r="D89" s="244"/>
      <c r="E89" s="61"/>
      <c r="F89" s="340" t="str">
        <f>IF(E89="","",IF(OR(LEFT('Quantification Tool R2'!$B$12,2)="65",LEFT('Quantification Tool R2'!$B$12,2)="66",LEFT('Quantification Tool R2'!$B$12,2)="71"),IF(E89&gt;=850,1,IF(E89&lt;250,ROUND('Reference Standards'!$S$17*(E89)+'Reference Standards'!$S$18,2),ROUND('Reference Standards'!$T$17*E89+'Reference Standards'!$T$18,2))),  IF(E89&gt;=345,1,IF(E89&lt;=180,ROUND('Reference Standards'!$U$17*(E89)+'Reference Standards'!$U$18,2),ROUND('Reference Standards'!$V$17*E89+'Reference Standards'!$V$18,2))))    )</f>
        <v/>
      </c>
      <c r="G89" s="552" t="str">
        <f>IFERROR(AVERAGE(F89:F90),"")</f>
        <v/>
      </c>
      <c r="H89" s="567" t="str">
        <f>IFERROR(ROUND(AVERAGE(G89:G110),2),"")</f>
        <v/>
      </c>
      <c r="I89" s="555" t="str">
        <f>IF(H89="","",IF(H89&gt;0.69,"Functioning",IF(H89&gt;0.29,"Functioning At Risk",IF(H89&gt;-1,"Not Functioning"))))</f>
        <v/>
      </c>
      <c r="J89" s="559"/>
      <c r="K89" s="555"/>
    </row>
    <row r="90" spans="1:12" ht="15.6" x14ac:dyDescent="0.3">
      <c r="A90" s="520"/>
      <c r="B90" s="558"/>
      <c r="C90" s="63" t="s">
        <v>323</v>
      </c>
      <c r="D90" s="245"/>
      <c r="E90" s="53"/>
      <c r="F90" s="341" t="str">
        <f>IF(E90="","",IF(OR(LEFT('Quantification Tool R2'!$B$12,2)="65",LEFT('Quantification Tool R2'!$B$12,2)="66",LEFT('Quantification Tool R2'!$B$12,2)="71"),IF(E90&gt;=30,1,IF(E90&lt;13,ROUND('Reference Standards'!$S$53*(E90)+'Reference Standards'!$S$54,2),ROUND('Reference Standards'!$T$53*E90+'Reference Standards'!$T$54,2))),  IF(E90&gt;=16,1,IF(E90&lt;=9,ROUND('Reference Standards'!$U$53*(E90)+'Reference Standards'!$U$54,2),ROUND('Reference Standards'!$V$53*E90+'Reference Standards'!$V$54,2))))    )</f>
        <v/>
      </c>
      <c r="G90" s="554"/>
      <c r="H90" s="567"/>
      <c r="I90" s="555"/>
      <c r="J90" s="559"/>
      <c r="K90" s="555"/>
    </row>
    <row r="91" spans="1:12" ht="15.6" x14ac:dyDescent="0.3">
      <c r="A91" s="520"/>
      <c r="B91" s="520" t="s">
        <v>395</v>
      </c>
      <c r="C91" s="58" t="s">
        <v>80</v>
      </c>
      <c r="D91" s="58"/>
      <c r="E91" s="165"/>
      <c r="F91" s="340" t="str">
        <f>IF(E91="","",ROUND(IF(E91&gt;0.7,0,IF(E91&lt;=0.1,1,E91^3*'Reference Standards'!S$87+E91^2*'Reference Standards'!S$88+E91*'Reference Standards'!S$89+'Reference Standards'!S$90)),2))</f>
        <v/>
      </c>
      <c r="G91" s="528" t="str">
        <f>IFERROR(ROUND(AVERAGE(F91:F94),2),"")</f>
        <v/>
      </c>
      <c r="H91" s="567"/>
      <c r="I91" s="555"/>
      <c r="J91" s="559"/>
      <c r="K91" s="555"/>
    </row>
    <row r="92" spans="1:12" ht="15.6" x14ac:dyDescent="0.3">
      <c r="A92" s="520"/>
      <c r="B92" s="520"/>
      <c r="C92" s="58" t="s">
        <v>49</v>
      </c>
      <c r="D92" s="58"/>
      <c r="E92" s="165"/>
      <c r="F92" s="84" t="str">
        <f>IF(E92="","",IF(OR(E92="Ex/Ex",E92="Ex/VH"),0, IF(OR(E92="Ex/H",E92="VH/Ex",E92="VH/VH", E92="H/Ex",E92="H/VH",E92="M/Ex"),0.1,IF(OR(E92="Ex/M",E92="VH/H",E92="H/H", E92="M/VH"),0.2, IF(OR(E92="Ex/L",E92="VH/M",E92="H/M", E92="M/H",E92="L/Ex"),0.3, IF(OR(E92="Ex/VL",E92="VH/L",E92="H/L"),0.4, IF(OR(E92="VH/VL",E92="H/VL",E92="M/M", E92="L/VH"),0.5, IF(OR(E92="M/L",E92="L/H"),0.6, IF(OR(E92="M/VL",E92="L/M"),0.7, IF(OR(E92="L/L",E92="L/VL"),1))))))))))</f>
        <v/>
      </c>
      <c r="G92" s="529"/>
      <c r="H92" s="567"/>
      <c r="I92" s="555"/>
      <c r="J92" s="559"/>
      <c r="K92" s="555"/>
    </row>
    <row r="93" spans="1:12" ht="15.6" x14ac:dyDescent="0.3">
      <c r="A93" s="520"/>
      <c r="B93" s="520"/>
      <c r="C93" s="58" t="s">
        <v>87</v>
      </c>
      <c r="D93" s="58"/>
      <c r="E93" s="165"/>
      <c r="F93" s="84" t="str">
        <f>IF(E93="","",ROUND(IF(E93&gt;40,0,IF(E93&lt;5,1,E93^3*'Reference Standards'!S$122+E93^2*'Reference Standards'!S$123+E93*'Reference Standards'!S$124+'Reference Standards'!S$125)),2))</f>
        <v/>
      </c>
      <c r="G93" s="529"/>
      <c r="H93" s="567"/>
      <c r="I93" s="555"/>
      <c r="J93" s="559"/>
      <c r="K93" s="555"/>
    </row>
    <row r="94" spans="1:12" ht="15.6" x14ac:dyDescent="0.3">
      <c r="A94" s="520"/>
      <c r="B94" s="521"/>
      <c r="C94" s="59" t="s">
        <v>394</v>
      </c>
      <c r="D94" s="59"/>
      <c r="E94" s="167"/>
      <c r="F94" s="341" t="str">
        <f>IF(E94="","",ROUND(IF(E94&gt;=30,0,IF(E94&lt;=0,1,E94*'Reference Standards'!S$156+'Reference Standards'!S$157)),2))</f>
        <v/>
      </c>
      <c r="G94" s="530"/>
      <c r="H94" s="567"/>
      <c r="I94" s="555"/>
      <c r="J94" s="559"/>
      <c r="K94" s="555"/>
    </row>
    <row r="95" spans="1:12" ht="15.6" x14ac:dyDescent="0.3">
      <c r="A95" s="520"/>
      <c r="B95" s="526" t="s">
        <v>50</v>
      </c>
      <c r="C95" s="60" t="s">
        <v>377</v>
      </c>
      <c r="D95" s="64"/>
      <c r="E95" s="136"/>
      <c r="F95" s="294" t="str">
        <f>IF(E95="","",ROUND(IF(E95&gt;9.2,1,E95*'Reference Standards'!$S$189+'Reference Standards'!$S$190),2))</f>
        <v/>
      </c>
      <c r="G95" s="552" t="str">
        <f>IFERROR(AVERAGE(F95:F104),"")</f>
        <v/>
      </c>
      <c r="H95" s="567"/>
      <c r="I95" s="555"/>
      <c r="J95" s="559"/>
      <c r="K95" s="555"/>
    </row>
    <row r="96" spans="1:12" ht="15.6" x14ac:dyDescent="0.3">
      <c r="A96" s="520"/>
      <c r="B96" s="520"/>
      <c r="C96" s="62" t="s">
        <v>378</v>
      </c>
      <c r="D96" s="58"/>
      <c r="E96" s="162"/>
      <c r="F96" s="294" t="str">
        <f>IF(E96="","",ROUND(IF(E96&gt;9.2,1,E96*'Reference Standards'!$S$189+'Reference Standards'!$S$190),2))</f>
        <v/>
      </c>
      <c r="G96" s="553"/>
      <c r="H96" s="567"/>
      <c r="I96" s="555"/>
      <c r="J96" s="559"/>
      <c r="K96" s="555"/>
    </row>
    <row r="97" spans="1:13" ht="15.6" x14ac:dyDescent="0.3">
      <c r="A97" s="520"/>
      <c r="B97" s="520"/>
      <c r="C97" s="62" t="s">
        <v>379</v>
      </c>
      <c r="D97" s="58"/>
      <c r="E97" s="162"/>
      <c r="F97" s="294" t="str">
        <f>IF(E97="","",ROUND( IF(E97&gt;=200,1,IF(E97&lt;50, E97^2*'Reference Standards'!S$224+E97*'Reference Standards'!S$225+'Reference Standards'!S$226, E97*'Reference Standards'!T$224+'Reference Standards'!T$225)),2))</f>
        <v/>
      </c>
      <c r="G97" s="553"/>
      <c r="H97" s="567"/>
      <c r="I97" s="555"/>
      <c r="J97" s="559"/>
      <c r="K97" s="555"/>
    </row>
    <row r="98" spans="1:13" ht="15.6" x14ac:dyDescent="0.3">
      <c r="A98" s="520"/>
      <c r="B98" s="520"/>
      <c r="C98" s="62" t="s">
        <v>380</v>
      </c>
      <c r="D98" s="58"/>
      <c r="E98" s="162"/>
      <c r="F98" s="294" t="str">
        <f>IF(E98="","",ROUND( IF(E98&gt;=200,1,IF(E98&lt;50, E98^2*'Reference Standards'!S$224+E98*'Reference Standards'!S$225+'Reference Standards'!S$226, E98*'Reference Standards'!T$224+'Reference Standards'!T$225)),2))</f>
        <v/>
      </c>
      <c r="G98" s="553"/>
      <c r="H98" s="567"/>
      <c r="I98" s="555"/>
      <c r="J98" s="559"/>
      <c r="K98" s="555"/>
    </row>
    <row r="99" spans="1:13" ht="15.6" x14ac:dyDescent="0.3">
      <c r="A99" s="520"/>
      <c r="B99" s="520"/>
      <c r="C99" s="58" t="s">
        <v>381</v>
      </c>
      <c r="D99" s="58"/>
      <c r="E99" s="162"/>
      <c r="F99" s="294" t="str">
        <f>IF(E99="","",ROUND(IF(AND(E99&gt;=135,E99&lt;=262),1,IF(  E99&gt;=366,0.5, IF(E99&lt;135,E99*'Reference Standards'!S$259+'Reference Standards'!S$260, E99*'Reference Standards'!T$259+'Reference Standards'!T$260))),2))</f>
        <v/>
      </c>
      <c r="G99" s="553"/>
      <c r="H99" s="567"/>
      <c r="I99" s="555"/>
      <c r="J99" s="559"/>
      <c r="K99" s="555"/>
    </row>
    <row r="100" spans="1:13" ht="15.6" x14ac:dyDescent="0.3">
      <c r="A100" s="520"/>
      <c r="B100" s="520"/>
      <c r="C100" s="58" t="s">
        <v>382</v>
      </c>
      <c r="D100" s="58"/>
      <c r="E100" s="162"/>
      <c r="F100" s="294" t="str">
        <f>IF(E100="","",ROUND(IF(AND(E100&gt;=135,E100&lt;=262),1,IF(  E100&gt;=366,0.5, IF(E100&lt;135,E100*'Reference Standards'!S$259+'Reference Standards'!S$260, E100*'Reference Standards'!T$259+'Reference Standards'!T$260))),2))</f>
        <v/>
      </c>
      <c r="G100" s="553"/>
      <c r="H100" s="567"/>
      <c r="I100" s="555"/>
      <c r="J100" s="559"/>
      <c r="K100" s="555"/>
    </row>
    <row r="101" spans="1:13" ht="15.6" x14ac:dyDescent="0.3">
      <c r="A101" s="520"/>
      <c r="B101" s="520"/>
      <c r="C101" s="58" t="s">
        <v>383</v>
      </c>
      <c r="D101" s="58"/>
      <c r="E101" s="162"/>
      <c r="F101" s="84" t="str">
        <f>IF(E101="","",ROUND(IF(E101&gt;=75,1,IF(E101&lt;=0,0,E101*'Reference Standards'!S$330)),2))</f>
        <v/>
      </c>
      <c r="G101" s="553"/>
      <c r="H101" s="567"/>
      <c r="I101" s="555"/>
      <c r="J101" s="559"/>
      <c r="K101" s="555"/>
    </row>
    <row r="102" spans="1:13" ht="15.6" x14ac:dyDescent="0.3">
      <c r="A102" s="520"/>
      <c r="B102" s="520"/>
      <c r="C102" s="58" t="s">
        <v>384</v>
      </c>
      <c r="D102" s="58"/>
      <c r="E102" s="162"/>
      <c r="F102" s="84" t="str">
        <f>IF(E102="","",ROUND(IF(E102&gt;=75,1,IF(E102&lt;=0,0,E102*'Reference Standards'!S$330)),2))</f>
        <v/>
      </c>
      <c r="G102" s="553"/>
      <c r="H102" s="567"/>
      <c r="I102" s="555"/>
      <c r="J102" s="559"/>
      <c r="K102" s="555"/>
    </row>
    <row r="103" spans="1:13" ht="15.6" x14ac:dyDescent="0.3">
      <c r="A103" s="520"/>
      <c r="B103" s="520"/>
      <c r="C103" s="58" t="s">
        <v>385</v>
      </c>
      <c r="D103" s="58"/>
      <c r="E103" s="162"/>
      <c r="F103" s="294" t="str">
        <f>IF(E103="","",ROUND(IF(AND(E103&gt;=36.3,E103&lt;=68),1,IF(E103&gt;100,0,IF(E103&lt;36.3,(('Reference Standards'!S$297*(E103^2))+('Reference Standards'!S$298*E103)+'Reference Standards'!S$299),IF(E103&gt;68,(('Reference Standards'!T$297*(E103^2))+('Reference Standards'!T$298*E103)+'Reference Standards'!T$299))))),2))</f>
        <v/>
      </c>
      <c r="G103" s="553"/>
      <c r="H103" s="567"/>
      <c r="I103" s="555"/>
      <c r="J103" s="559"/>
      <c r="K103" s="555"/>
      <c r="M103" s="21"/>
    </row>
    <row r="104" spans="1:13" ht="15.6" x14ac:dyDescent="0.3">
      <c r="A104" s="520"/>
      <c r="B104" s="521"/>
      <c r="C104" s="58" t="s">
        <v>386</v>
      </c>
      <c r="D104" s="65"/>
      <c r="E104" s="162"/>
      <c r="F104" s="294" t="str">
        <f>IF(E104="","",ROUND(IF(AND(E104&gt;=36.3,E104&lt;=68),1,IF(E104&gt;100,0,IF(E104&lt;36.3,(('Reference Standards'!S$297*(E104^2))+('Reference Standards'!S$298*E104)+'Reference Standards'!S$299),IF(E104&gt;68,(('Reference Standards'!T$297*(E104^2))+('Reference Standards'!T$298*E104)+'Reference Standards'!T$299))))),2))</f>
        <v/>
      </c>
      <c r="G104" s="554"/>
      <c r="H104" s="567"/>
      <c r="I104" s="555"/>
      <c r="J104" s="559"/>
      <c r="K104" s="555"/>
    </row>
    <row r="105" spans="1:13" ht="15.6" x14ac:dyDescent="0.3">
      <c r="A105" s="520"/>
      <c r="B105" s="56" t="s">
        <v>108</v>
      </c>
      <c r="C105" s="72" t="s">
        <v>130</v>
      </c>
      <c r="D105" s="57"/>
      <c r="E105" s="43"/>
      <c r="F105" s="82" t="str">
        <f>IF(E105="","",IF(OR(B$14="Gravel",B$14="Cobble"),IF(E105&gt;0.1,1,IF(E105&lt;=0.01,0,ROUND(E105*'Reference Standards'!$S$362+'Reference Standards'!$S$363,2)))))</f>
        <v/>
      </c>
      <c r="G105" s="82" t="str">
        <f>IFERROR(AVERAGE(F105),"")</f>
        <v/>
      </c>
      <c r="H105" s="567"/>
      <c r="I105" s="555"/>
      <c r="J105" s="559"/>
      <c r="K105" s="555"/>
    </row>
    <row r="106" spans="1:13" ht="15.6" x14ac:dyDescent="0.3">
      <c r="A106" s="520"/>
      <c r="B106" s="526" t="s">
        <v>51</v>
      </c>
      <c r="C106" s="64" t="s">
        <v>52</v>
      </c>
      <c r="D106" s="64"/>
      <c r="E106" s="166"/>
      <c r="F106" s="337" t="str">
        <f>IF(E106="","",IF(ISNUMBER($B$17),IF($B$17&lt;=2,IF(AND(E106&gt;=3,E106&lt;=5),1,IF(OR(E106&lt;=1,E106&gt;=7),0,ROUND(IF(E106&lt;3,E106*'Reference Standards'!S$398+'Reference Standards'!S$399,E106*'Reference Standards'!T$398+'Reference Standards'!T$399),2))),IF(E106&lt;=2.5,1,IF(E106&gt;=5.8,0,E106*'Reference Standards'!S$430+'Reference Standards'!S$431)))))</f>
        <v/>
      </c>
      <c r="G106" s="552" t="str">
        <f>IFERROR(AVERAGE(F106:F109),"")</f>
        <v/>
      </c>
      <c r="H106" s="567"/>
      <c r="I106" s="555"/>
      <c r="J106" s="559"/>
      <c r="K106" s="555"/>
    </row>
    <row r="107" spans="1:13" ht="15.6" x14ac:dyDescent="0.3">
      <c r="A107" s="520"/>
      <c r="B107" s="520"/>
      <c r="C107" s="58" t="s">
        <v>53</v>
      </c>
      <c r="D107" s="58"/>
      <c r="E107" s="165"/>
      <c r="F107" s="84" t="str">
        <f>IF(E107="","", IF( E107&gt;=2.4,1, IF(E107&lt;=1,0,  ROUND(IF(E107&lt;2.4, E107*'Reference Standards'!$S$464+'Reference Standards'!$S$465  ),2))))</f>
        <v/>
      </c>
      <c r="G107" s="553"/>
      <c r="H107" s="567"/>
      <c r="I107" s="555"/>
      <c r="J107" s="559"/>
      <c r="K107" s="555"/>
    </row>
    <row r="108" spans="1:13" ht="15.6" x14ac:dyDescent="0.3">
      <c r="A108" s="520"/>
      <c r="B108" s="520"/>
      <c r="C108" s="58" t="s">
        <v>334</v>
      </c>
      <c r="D108" s="58"/>
      <c r="E108" s="165"/>
      <c r="F108" s="390" t="str">
        <f>IF(E108="","", IF(LEFT($B$12,2)="67",  IF( AND(E108&gt;=45,E108&lt;=65),1, IF(OR(E108&lt;=20,E108&gt;=90),0, ROUND(  IF(E108&lt;45, E108*'Reference Standards'!$S$498+'Reference Standards'!$S$499,E108*'Reference Standards'!$T$498+'Reference Standards'!$T$499),2))), IF(OR(  LEFT($B$12,2)="68", LEFT($B$12,2)="69",LEFT($B$12,2)="71"),  IF( AND(E108&gt;=30,E108&lt;=50),1, IF(OR(E108&lt;=10,E108&gt;=70),0, ROUND(  IF(E108&lt;30, E108*'Reference Standards'!$S$533+'Reference Standards'!$S$534,E108*'Reference Standards'!$T$533+'Reference Standards'!$T$534),2))), IF(LEFT($B$12,2)="66",  IF( AND(E108&gt;=20,E108&lt;=45),1, IF(OR(E108&lt;=0,E108&gt;=90),0, ROUND(  IF(E108&lt;20, E108*'Reference Standards'!$S$567+'Reference Standards'!$S$568,E108*'Reference Standards'!$T$567+'Reference Standards'!$T$568),2))), IF(OR(  LEFT($B$12,2)="65", LEFT($B$12,2)="74", LEFT($B$12,2)="73"),  IF( AND(E108&gt;=20,E108&lt;=30),1, IF(OR(E108&lt;=0,E108&gt;=50),0, ROUND(  IF(E108&lt;20, E108*'Reference Standards'!$S$601+'Reference Standards'!$S$602,E108*'Reference Standards'!$T$601+'Reference Standards'!$T$602),2))))))))</f>
        <v/>
      </c>
      <c r="G108" s="553"/>
      <c r="H108" s="567"/>
      <c r="I108" s="555"/>
      <c r="J108" s="559"/>
      <c r="K108" s="555"/>
    </row>
    <row r="109" spans="1:13" ht="15.6" x14ac:dyDescent="0.3">
      <c r="A109" s="520"/>
      <c r="B109" s="521"/>
      <c r="C109" s="62" t="s">
        <v>210</v>
      </c>
      <c r="D109" s="65"/>
      <c r="E109" s="167"/>
      <c r="F109" s="391" t="str">
        <f>IF(E109="","",IF(E109&gt;=1.6,0,IF(E109&lt;=1,1,ROUND('Reference Standards'!$S$633*E109^3+'Reference Standards'!$S$634*E109^2+'Reference Standards'!$S$635*E109+'Reference Standards'!$S$636,2))))</f>
        <v/>
      </c>
      <c r="G109" s="554"/>
      <c r="H109" s="567"/>
      <c r="I109" s="555"/>
      <c r="J109" s="559"/>
      <c r="K109" s="555"/>
    </row>
    <row r="110" spans="1:13" ht="15.6" x14ac:dyDescent="0.3">
      <c r="A110" s="521"/>
      <c r="B110" s="296" t="s">
        <v>55</v>
      </c>
      <c r="C110" s="242" t="s">
        <v>54</v>
      </c>
      <c r="D110" s="65"/>
      <c r="E110" s="163"/>
      <c r="F110" s="342" t="str">
        <f>IF(E110="","",IF(AND(B$11="E",$B$14="Sand",$B$21="Unconfined Alluvial"),ROUND(IF(OR(E110&gt;1.8,E110&lt;1.3),0,IF(E110&lt;=1.6,1,E110*'Reference Standards'!S$667+'Reference Standards'!S$668)),2),    IF($B$21="Unconfined Alluvial",ROUND(IF(OR(E110&lt;1.2, E110&gt;1.5),0,IF(E110&lt;=1.4,1,E110*'Reference Standards'!$S$700+'Reference Standards'!$S$701)),2), IF($B$21="Confined Alluvial",ROUND(IF(E110&lt;1.15,0,IF(E110&lt;=1.4,E110*'Reference Standards'!$S$729+'Reference Standards'!$S$730,1)),2),  IF($B$21="Colluvial",ROUND(IF(E110&gt;1.3,0,IF(E110&gt;1.2,E110*'Reference Standards'!$S$760+'Reference Standards'!$S$761,1)),2) )))))</f>
        <v/>
      </c>
      <c r="G110" s="84" t="str">
        <f>IFERROR(AVERAGE(F110),"")</f>
        <v/>
      </c>
      <c r="H110" s="567"/>
      <c r="I110" s="555"/>
      <c r="J110" s="559"/>
      <c r="K110" s="555"/>
      <c r="L110" s="13"/>
    </row>
    <row r="111" spans="1:13" ht="15.6" x14ac:dyDescent="0.3">
      <c r="A111" s="537" t="s">
        <v>58</v>
      </c>
      <c r="B111" s="298" t="s">
        <v>88</v>
      </c>
      <c r="C111" s="70" t="s">
        <v>338</v>
      </c>
      <c r="D111" s="68"/>
      <c r="E111" s="43"/>
      <c r="F111" s="343" t="str">
        <f>IF(E111="","",ROUND(IF(E111&gt;=942,0,IF(E111&lt;=487,E111*'Reference Standards'!AB$15+'Reference Standards'!AB$16,E111*'Reference Standards'!$AC$15+'Reference Standards'!$AC$16)),2))</f>
        <v/>
      </c>
      <c r="G111" s="85" t="str">
        <f>IFERROR(AVERAGE(F111),"")</f>
        <v/>
      </c>
      <c r="H111" s="547" t="str">
        <f>IFERROR(ROUND(AVERAGE(G111:G114),2),"")</f>
        <v/>
      </c>
      <c r="I111" s="534" t="str">
        <f>IF(H111="","",IF(H111&gt;0.69,"Functioning",IF(H111&gt;0.29,"Functioning At Risk",IF(H111&gt;-1,"Not Functioning"))))</f>
        <v/>
      </c>
      <c r="J111" s="559"/>
      <c r="K111" s="555"/>
      <c r="L111" s="13"/>
    </row>
    <row r="112" spans="1:13" ht="15.6" x14ac:dyDescent="0.3">
      <c r="A112" s="538"/>
      <c r="B112" s="297" t="s">
        <v>362</v>
      </c>
      <c r="C112" s="66" t="s">
        <v>354</v>
      </c>
      <c r="D112" s="70"/>
      <c r="E112" s="163"/>
      <c r="F112" s="344" t="str">
        <f>IF(E112="","",IF(OR($B$12="65abei", $B$12="65j", $B$12="66d", $B$12="66e", $B$12="66ik", $B$12="66f", $B$12="66g", $B$12="66j", $B$12="68a", $B$12="69de", $B$12="74b",AND(OR($B$12="67fhi", $B$12="67g"),$B$13&lt;=2),AND(OR($B$12="68c", $B$12="68d"),$B$19="January - June")),IF(E112&gt;93,0,IF(E112&lt;13,1,ROUND('Reference Standards'!$AB$53*E112^2+'Reference Standards'!$AB$54*E112+'Reference Standards'!$AB$55,2))),   IF(OR(AND(OR($B$12="67fhi", $B$12="67g",$B$12="71f",$B$12="71g",$B$12="71h"),$B$13&gt;2),AND(OR($B$12="68c", $B$12="68d"),$B$19="July - December"),$B$12="73a",$B$12="73b"),IF(E112&gt;94,0,IF(E112&lt;17,1,ROUND('Reference Standards'!$AC$53*E112^2+'Reference Standards'!$AC$54*E112+'Reference Standards'!$AC$55,2))),    IF(OR(AND(OR($B$12="68b",$B$12="71i"),$B$13&gt;2), $B$12="71e"),IF(E112&gt;91,0,IF(E112&lt;24,1,ROUND('Reference Standards'!$AD$53*E112^2+'Reference Standards'!$AD$54*E112+'Reference Standards'!$AD$55,2))),  IF(OR(AND(OR($B$12="71f",$B$12="71g",$B$12="71h",$B$12="71i"),$B$13&lt;=2), AND($B$12="74a",$B$13&gt;2)),IF(E112&gt;95,0,IF(E112&lt;=36,1,ROUND('Reference Standards'!$AE$53*E112^2+'Reference Standards'!$AE$54*E112+'Reference Standards'!$AE$55,2))))))))</f>
        <v/>
      </c>
      <c r="G112" s="236" t="str">
        <f>IFERROR(AVERAGE(F112:F112),"")</f>
        <v/>
      </c>
      <c r="H112" s="548"/>
      <c r="I112" s="535"/>
      <c r="J112" s="559"/>
      <c r="K112" s="555"/>
      <c r="L112" s="21"/>
    </row>
    <row r="113" spans="1:12" ht="15.6" x14ac:dyDescent="0.3">
      <c r="A113" s="538"/>
      <c r="B113" s="67" t="s">
        <v>81</v>
      </c>
      <c r="C113" s="68" t="s">
        <v>281</v>
      </c>
      <c r="D113" s="68"/>
      <c r="E113" s="162"/>
      <c r="F113" s="344" t="str">
        <f>IF(E113="","",IF(ISNUMBER($B$13),IF(OR($B$12="66e",$B$12="66f",$B$12="66g"),ROUND(IF(E113&gt;=0.61,0,IF(E113&lt;=0.01,1,IF(E113&lt;=0.06,E113*'Reference Standards'!$AD$197+'Reference Standards'!$AD$198,E113^2*'Reference Standards'!$AB$196+E113*'Reference Standards'!$AB$197+'Reference Standards'!$AB$198))),2),IF($B$12="68b",ROUND(IF(E113&gt;=1.1,0,IF(E113&lt;=0.17,1,IF(E113&lt;=0.22,E113*'Reference Standards'!$AE$197+'Reference Standards'!$AE$198,E113^2*'Reference Standards'!$AC$196+E113*'Reference Standards'!$AC$197+'Reference Standards'!$AC$198))),2),IF($B$13&lt;=2.5,IF($B$12="69de",ROUND(IF(E113&gt;=0.22,0,IF(E113&lt;=0.01,1,E113^2*'Reference Standards'!$AB$90+E113*'Reference Standards'!$AB$91+'Reference Standards'!$AB$92)),2),IF($B$12="68c",ROUND(IF(E113&gt;=0.87,0,IF(E113&lt;=0.01,1,E113^2*'Reference Standards'!$AC$90+E113*'Reference Standards'!$AC$91+'Reference Standards'!$AC$92)),2),IF($B$12="68a",ROUND(IF(E113&gt;=0.81,0,IF(E113&lt;=0.01,1,E113^2*'Reference Standards'!$AD$90+E113*'Reference Standards'!$AD$91+'Reference Standards'!$AD$92)),2),IF($B$12="65abei",ROUND(IF(E113&gt;=0.67,0,IF(E113&lt;=0.01,1,IF(E113&lt;=0.18,E113*'Reference Standards'!$AG$91+'Reference Standards'!$AG$92,E113*'Reference Standards'!$AE$91+'Reference Standards'!$AE$92))),2),IF($B$12="65j",ROUND(IF(E113&gt;=0.32,0,IF(E113&lt;=0.01,1,IF(E113&lt;=0.25,E113*'Reference Standards'!$AH$91+'Reference Standards'!$AH$92,E113*'Reference Standards'!$AF$91+'Reference Standards'!$AF$92))),2),IF($B$12="71f",ROUND(IF(E113&gt;=3,0,IF(E113&lt;=0,1,IF(E113&lt;=0.01,0.7,E113^2*'Reference Standards'!$AB$126+E113*'Reference Standards'!$AB$127+'Reference Standards'!$AB$128))),2),IF($B$12="74a",ROUND(IF(E113&gt;=0.14,0,IF(E113&lt;=0.01,1,IF(E113&lt;=0.02,0.7,E113^2*'Reference Standards'!$AC$126+E113*'Reference Standards'!$AC$127+'Reference Standards'!$AC$128))),2),IF(OR($B$12="67fhi",$B$12="67g"),ROUND(IF(E113&gt;=1.9,0,IF(E113&lt;=0.01,1,IF(E113&lt;=0.05,E113*'Reference Standards'!$AF$127+'Reference Standards'!$AF$128,E113^2*'Reference Standards'!$AD$126+E113*'Reference Standards'!$AD$127+'Reference Standards'!$AD$128))),2),IF($B$12="73a",ROUND(IF(E113&gt;=1.44,0,IF(E113&lt;=0.01,1,IF(E113&lt;=0.12,E113*'Reference Standards'!$AG$127+'Reference Standards'!$AG$128,E113^2*'Reference Standards'!$AE$126+E113*'Reference Standards'!$AE$127+'Reference Standards'!$AE$128))),2),IF($B$12="66d",ROUND(IF(E113&gt;=0.46,0,IF(E113&lt;=0.02,1,IF(E113&lt;=0.08,E113*'Reference Standards'!$AF$163+'Reference Standards'!$AF$164,E113^2*'Reference Standards'!$AB$162+E113*'Reference Standards'!$AB$163+'Reference Standards'!$AB$164))),2),IF(OR($B$12="71g",$B$12="71h",$B$12="71i"),ROUND(IF(E113&gt;=3,0,IF(E113&lt;=0.06,1,IF(E113&lt;=0.24,E113*'Reference Standards'!$AG$163+'Reference Standards'!$AG$164,E113^2*'Reference Standards'!$AC$162+E113*'Reference Standards'!$AC$163+'Reference Standards'!$AC$164))),2),IF($B$12="74b",ROUND(IF(E113&gt;=1.3,0,IF(E113&lt;=0.29,1,IF(E113&lt;=0.48,E113*'Reference Standards'!$AH$163+'Reference Standards'!$AH$164,E113^2*'Reference Standards'!$AD$162+E113*'Reference Standards'!$AD$163+'Reference Standards'!$AD$164))),2),IF($B$12="71e",ROUND(IF(E113&gt;=4.3,0,IF(E113&lt;=0.53,1,IF(E113&lt;=0.67,E113*'Reference Standards'!$AI$163+'Reference Standards'!$AI$164,E113^2*'Reference Standards'!$AE$162+E113*'Reference Standards'!$AE$163+'Reference Standards'!$AE$164))),2)))))))))))))),IF($B$13&gt;2.5,IF($B$12="73a",ROUND(IF(E113&gt;=0.55,0,IF(E113&lt;=0,1,E113^2*'Reference Standards'!$AB$232+E113*'Reference Standards'!$AB$233+'Reference Standards'!$AB$234)),2),IF($B$12="68a",ROUND(IF(E113&gt;=0.54,0,IF(E113&lt;=0,1,IF(E113&lt;=0.01,0.85,E113^2*'Reference Standards'!$AC$232+E113*'Reference Standards'!$AC$233+'Reference Standards'!$AC$234))),2),IF($B$12="74a",ROUND(IF(E113&gt;=0.47,0,IF(E113&lt;=0.01,1,IF(E113&lt;=0.02,0.7,E113^2*'Reference Standards'!$AD$232+E113*'Reference Standards'!$AD$233+'Reference Standards'!$AD$234))),2),IF($B$12="69de",ROUND(IF(E113&gt;=0.26,0,IF(E113&lt;=0.01,1,IF(E113&lt;=0.02,0.85,E113^2*'Reference Standards'!$AE$232+E113*'Reference Standards'!$AE$233+'Reference Standards'!$AE$234))),2),IF($B$12="71f",ROUND(IF(E113&gt;=0.87,0,IF(E113&lt;=0.01,1,IF(E113&lt;=0.04,E113*'Reference Standards'!$AF$269+'Reference Standards'!$AF$270,E113^2*'Reference Standards'!$AB$268+E113*'Reference Standards'!$AB$269+'Reference Standards'!$AB$270))),2),IF($B$12="65abei",ROUND(IF(E113&gt;=0.82,0,IF(E113&lt;=0.01,1,IF(E113&lt;=0.06,E113*'Reference Standards'!$AG$269+'Reference Standards'!$AG$270,E113^2*'Reference Standards'!$AC$268+E113*'Reference Standards'!$AC$269+'Reference Standards'!$AC$270))),2),IF($B$12="65j",ROUND(IF(E113&gt;=0.33,0,IF(E113&lt;=0.03,1,IF(E113&lt;=0.09,E113*'Reference Standards'!$AH$269+'Reference Standards'!$AH$270,E113^2*'Reference Standards'!$AD$268+E113*'Reference Standards'!$AD$269+'Reference Standards'!$AD$270))),2),IF($B$12="68c",ROUND(IF(E113&gt;=0.7,0,IF(E113&lt;=0.07,1,IF(E113&lt;=0.12,E113*'Reference Standards'!$AI$269+'Reference Standards'!$AI$270,E113^2*'Reference Standards'!$AE$268+E113*'Reference Standards'!$AE$269+'Reference Standards'!$AE$270))),2),IF(OR($B$12="67fhi",$B$12="67g"),ROUND(IF(E113&gt;=1.8,0,IF(E113&lt;=0.08,1,IF(E113&lt;=0.2,E113*'Reference Standards'!$AF$306+'Reference Standards'!$AF$307,E113^2*'Reference Standards'!$AB$305+E113*'Reference Standards'!$AB$306+'Reference Standards'!$AB$307))),2),IF($B$12="74b",ROUND(IF(E113&gt;=0.96,0,IF(E113&lt;=0.12,1,IF(E113&lt;=0.16,E113*'Reference Standards'!$AG$306+'Reference Standards'!$AG$307,E113^2*'Reference Standards'!$AC$305+E113*'Reference Standards'!$AC$306+'Reference Standards'!$AC$307))),2),IF($B$12="66d",ROUND(IF(E113&gt;=0.75,0,IF(E113&lt;=0.13,1,IF(E113&lt;=0.2,E113*'Reference Standards'!$AH$306+'Reference Standards'!$AH$307,E113^2*'Reference Standards'!$AD$305+E113*'Reference Standards'!$AD$306+'Reference Standards'!$AD$307))),2),IF(OR($B$12="71g",$B$12="71h",$B$12="71i"),ROUND(IF(E113&gt;=1.68,0,IF(E113&lt;=0.08,1,IF(E113&lt;=0.23,E113*'Reference Standards'!$AI$306+'Reference Standards'!$AI$307,E113^2*'Reference Standards'!$AE$305+E113*'Reference Standards'!$AE$306+'Reference Standards'!$AE$307))),2),IF($B$12="71e",ROUND(IF(E113&gt;=5.3,0,IF(E113&lt;=0.94,1,IF(E113&lt;=1.4,E113*'Reference Standards'!$AF$310+'Reference Standards'!$AF$311,E113^2*'Reference Standards'!$AB$309+E113*'Reference Standards'!$AB$310+'Reference Standards'!$AB$311))),2))))))))))))))))))))</f>
        <v/>
      </c>
      <c r="G113" s="87" t="str">
        <f>IFERROR(AVERAGE(F113),"")</f>
        <v/>
      </c>
      <c r="H113" s="548"/>
      <c r="I113" s="535"/>
      <c r="J113" s="559"/>
      <c r="K113" s="555"/>
      <c r="L113" s="21"/>
    </row>
    <row r="114" spans="1:12" ht="15.6" x14ac:dyDescent="0.3">
      <c r="A114" s="539"/>
      <c r="B114" s="298" t="s">
        <v>82</v>
      </c>
      <c r="C114" s="66" t="s">
        <v>280</v>
      </c>
      <c r="D114" s="66"/>
      <c r="E114" s="136"/>
      <c r="F114" s="343" t="str">
        <f>IF(E114="","",IF(ISNUMBER($B$13),IF($B$13&gt;2.5,IF(OR($B$12="71h",$B$12="71i",$B$12="73a",$B$12="74a"),IF(E114&lt;=0.01,1,IF(OR($B$12="71h",$B$12="71i"),IF(E114&gt;0.37,0,ROUND(IF(E114&gt;0.03,'Reference Standards'!$AB$425*E114^2+'Reference Standards'!$AB$426*E114+'Reference Standards'!$AB$427,'Reference Standards'!$AF$426*E114+'Reference Standards'!$AF$427),2)),IF($B$12="73a",IF(E114&gt;0.405,0,ROUND(IF(E114&gt;0.046,'Reference Standards'!$AC$425*E114^2+'Reference Standards'!$AC$426*E114+'Reference Standards'!$AC$427,'Reference Standards'!$AG$426*E114+'Reference Standards'!$AG$427),2)),IF($B$12="74a",IF(E114&gt;0.3,0,ROUND(IF(E114&gt;0.052,'Reference Standards'!$AD$425*E114^2+'Reference Standards'!$AD$426*E114+'Reference Standards'!$AD$427,'Reference Standards'!$AH$426*E114+'Reference Standards'!$AH$427),2)))))),IF(E114&lt;=0.002,1,IF(OR($B$12="66d",$B$12="66e",$B$12="66g"),IF(E114&gt;0.053,0,ROUND(E114^2*'Reference Standards'!$AB$347+E114*'Reference Standards'!$AB$348+'Reference Standards'!$AB$349,2)),IF($B$12="68b",IF(E114&gt;0.05,0,ROUND(E114^2*'Reference Standards'!$AC$347+E114*'Reference Standards'!$AC$348+'Reference Standards'!$AC$349,2)),IF(OR($B$12="68a",$B$12="68c"),IF(E114&gt;0.07,0,ROUND(E114^2*'Reference Standards'!$AD$347+E114*'Reference Standards'!$AD$348+'Reference Standards'!$AD$349,2)),IF(OR($B$12="71f",$B$12="71g"),IF(E114&gt;0.13,0,ROUND(IF(E114&gt;0.042,E114*'Reference Standards'!$AE$348+'Reference Standards'!$AE$349,E114*'Reference Standards'!$AF$348+'Reference Standards'!$AF$349),2)),IF($B$12="67fhi",IF(E114&gt;0.16,0,ROUND(E114^2*'Reference Standards'!$AG$347+E114*'Reference Standards'!$AG$348+'Reference Standards'!$AG$349,2)),IF($B$12="65j",IF(E114&gt;0.035,0,ROUND(IF(E114&lt;=0.003,0.7,E114^2*'Reference Standards'!$AB$387+E114*'Reference Standards'!$AB$388+'Reference Standards'!$AB$389),2)),IF($B$12="69de",IF(E114&gt;0.037,0,ROUND(IF(E114&lt;=0.003,0.7,E114^2*'Reference Standards'!$AC$387+E114*'Reference Standards'!$AC$388+'Reference Standards'!$AC$389),2)),IF($B$12="71e",IF(E114&gt;0.23,0,ROUND(IF(E114&lt;=0.003,0.7,E114^2*'Reference Standards'!$AD$387+E114*'Reference Standards'!$AD$388+'Reference Standards'!$AD$389),2)),IF($B$12="66f",IF(E114&gt;0.06,0,ROUND(IF(E114&lt;=0.003,0.85,IF(E114&lt;=0.004,0.7,E114^2*'Reference Standards'!$AE$387+E114*'Reference Standards'!$AE$388+'Reference Standards'!$AE$389)),2)),IF($B$12="67g",IF(E114&gt;0.11,0,ROUND(IF(E114&lt;=0.01,E114*'Reference Standards'!$AH$388+'Reference Standards'!$AH$389,E114^2*'Reference Standards'!$AF$387+E114*'Reference Standards'!$AF$388+'Reference Standards'!$AF$389),2)),IF($B$12="74b",IF(E114&gt;0.49,0,ROUND(IF(E114&lt;=0.01,E114*'Reference Standards'!$AH$388+'Reference Standards'!$AH$389,E114^2*'Reference Standards'!$AG$387+E114*'Reference Standards'!$AG$388+'Reference Standards'!$AG$389),2)),IF($B$12="65abei",IF(E114&gt;0.199,0,ROUND(IF(E114&lt;=0.01,E114*'Reference Standards'!$AI$426+'Reference Standards'!$AI$427,E114^2*'Reference Standards'!$AE$425+E114*'Reference Standards'!$AE$426+'Reference Standards'!$AE$427),2)))))))))))))))),IF($B$13&lt;=2.5,IF(OR($B$12="66d",$B$12="66e",$B$12="66g"),IF(E114&gt;0.05,0,ROUND(IF(E114&lt;=0.002,1,IF(E114&lt;=0.005,E114*'Reference Standards'!$AF$464+'Reference Standards'!$AF$465,E114^2*'Reference Standards'!$AB$463+E114*'Reference Standards'!$AB$464+'Reference Standards'!$AB$465)),2)),IF($B$12="67fhi",IF(E114&gt;0.1,0,ROUND(IF(E114&lt;=0.002,1,IF(E114&lt;=0.006,E114*'Reference Standards'!$AG$464+'Reference Standards'!$AG$465,E114^2*'Reference Standards'!$AC$463+E114*'Reference Standards'!$AC$464+'Reference Standards'!$AC$465)),2)),IF($B$12="65abei",IF(E114&gt;0.13,0,ROUND(IF(E114&lt;=0.003,1,IF(E114&lt;=0.008,E114*'Reference Standards'!$AH$464+'Reference Standards'!$AH$465,E114^2*'Reference Standards'!$AD$463+E114*'Reference Standards'!$AD$464+'Reference Standards'!$AD$465)),2)),IF($B$12="68b",IF(E114&gt;0.043,0,ROUND(IF(E114&lt;=0.004,1,IF(E114&lt;=0.005,0.7,E114^2*'Reference Standards'!$AE$463+E114*'Reference Standards'!$AE$464+'Reference Standards'!$AE$465)),2)),IF($B$12="69de",IF(E114&gt;=0.034,0,ROUND(IF(E114&lt;=0.003,1,IF(E114&lt;=0.006,E114*'Reference Standards'!$AG$500+'Reference Standards'!$AG$501,E114*'Reference Standards'!$AB$500+'Reference Standards'!$AB$501)),2)),IF(OR($B$12="68a",$B$12="68c"),IF(E114&gt;0.202,0,ROUND(IF(E114&lt;=0.003,1,IF(E114&lt;=0.006,E114*'Reference Standards'!$AG$500+'Reference Standards'!$AG$501,IF(E114&gt;=0.04,E114*'Reference Standards'!$AC$500+'Reference Standards'!$AC$501,E114*'Reference Standards'!$AE$500+'Reference Standards'!$AE$501))),2)),IF(OR($B$12="71f",$B$12="71g"),IF(E114&gt;0.631,0,ROUND(IF(E114&lt;=0.003,1,IF(E114&lt;=0.006,E114*'Reference Standards'!$AG$500+'Reference Standards'!$AG$501,IF(E114&gt;=0.17,E114*'Reference Standards'!$AD$500+'Reference Standards'!$AD$501,E114*'Reference Standards'!$AF$500+'Reference Standards'!$AF$501))),2)),IF($B$12="71e",IF(E114&gt;1.23,0,ROUND(IF(E114&lt;=0.004,1,IF(E114&lt;=0.006,E114*'Reference Standards'!$AF$538+'Reference Standards'!$AF$539,E114^2*'Reference Standards'!$AB$537+E114*'Reference Standards'!$AB$538+'Reference Standards'!$AB$539)),2)),IF($B$12="67g",IF(E114&gt;0.11,0,ROUND(IF(E114&lt;=0.006,1,IF(E114&lt;=0.011,E114*'Reference Standards'!$AG$538+'Reference Standards'!$AG$539,E114^2*'Reference Standards'!$AC$537+E114*'Reference Standards'!$AC$538+'Reference Standards'!$AC$539)),2)),IF($B$12="65j",IF(E114&gt;0.046,0,ROUND(IF(E114&lt;=0.007,1,IF(E114&lt;=0.012,E114*'Reference Standards'!$AH$538+'Reference Standards'!$AH$539,E114^2*'Reference Standards'!$AD$537+E114*'Reference Standards'!$AD$538+'Reference Standards'!$AD$539)),2)),IF($B$12="66f",IF(E114&gt;0.081,0,ROUND(IF(E114&lt;=0.008,1,IF(E114&lt;=0.011,E114*'Reference Standards'!$AI$538+'Reference Standards'!$AI$539,E114^2*'Reference Standards'!$AE$537+E114*'Reference Standards'!$AE$538+'Reference Standards'!$AE$539)),2)),IF(OR($B$12="71h",$B$12="71i"),IF(E114&gt;0.37,0,ROUND(IF(E114&lt;=0.013,1,IF(E114&lt;=0.032,E114*'Reference Standards'!$AH$576+'Reference Standards'!$AH$577,IF(E114&lt;=0.3,E114*'Reference Standards'!$AF$576+'Reference Standards'!$AF$577,E114*'Reference Standards'!$AB$576+'Reference Standards'!$AB$577))),2)),IF($B$12="73a",IF(E114&gt;0.448,0,ROUND(IF(E114&lt;=0.071,1,IF(E114&lt;=0.086,E114*'Reference Standards'!$AJ$576+'Reference Standards'!$AJ$577,IF(E114&lt;=0.165,E114*'Reference Standards'!$AG$576+'Reference Standards'!$AG$577,E114*'Reference Standards'!$AE$576+'Reference Standards'!$AE$577))),2)),IF($B$12="74b",IF(E114&gt;0.43,0,ROUND(IF(E114&lt;=0.018,1,IF(E114&lt;=0.019,0.85,IF(E114&lt;=0.02,0.7,E114^2*'Reference Standards'!$AC$575+E114*'Reference Standards'!$AC$576+'Reference Standards'!$AC$577))),2)),IF($B$12="74a",IF(E114&gt;0.217,0,ROUND(IF(E114&lt;=0.02,1,IF(E114&lt;=0.033,E114*'Reference Standards'!$AI$576+'Reference Standards'!$AI$577,E114^2*'Reference Standards'!$AD$575+E114*'Reference Standards'!$AD$576+'Reference Standards'!$AD$577)),2)))))))))))))))))))))</f>
        <v/>
      </c>
      <c r="G114" s="85" t="str">
        <f>IFERROR(AVERAGE(F114),"")</f>
        <v/>
      </c>
      <c r="H114" s="549"/>
      <c r="I114" s="536"/>
      <c r="J114" s="559"/>
      <c r="K114" s="555"/>
      <c r="L114" s="21"/>
    </row>
    <row r="115" spans="1:12" ht="15.6" x14ac:dyDescent="0.3">
      <c r="A115" s="550" t="s">
        <v>59</v>
      </c>
      <c r="B115" s="560" t="s">
        <v>340</v>
      </c>
      <c r="C115" s="125" t="s">
        <v>331</v>
      </c>
      <c r="D115" s="126"/>
      <c r="E115" s="166"/>
      <c r="F115" s="345" t="str">
        <f>IF(E115="","",IF(OR(B$12="73a",B$12="73b"),IF(E115&lt;1,0,IF(E115&gt;=30,1,ROUND(IF(E115&lt;22,'Reference Standards'!$AL$16*E115+'Reference Standards'!$AL$17,'Reference Standards'!$AM$16*E115+'Reference Standards'!$AM$17),2))), IF(E115&lt;1,0, IF(E115&gt;=42,1, ROUND(IF(E115&lt;32,'Reference Standards'!$AN$16*E115+'Reference Standards'!$AN$17,'Reference Standards'!$AO$16*E115+'Reference Standards'!$AO$17),2)))))</f>
        <v/>
      </c>
      <c r="G115" s="582" t="str">
        <f>IFERROR(AVERAGE(F115:F118),"")</f>
        <v/>
      </c>
      <c r="H115" s="568" t="str">
        <f>IFERROR(ROUND(AVERAGE(G115:G120),2),"")</f>
        <v/>
      </c>
      <c r="I115" s="519" t="str">
        <f>IF(H115="","",IF(H115&gt;0.69,"Functioning",IF(H115&gt;0.29,"Functioning At Risk",IF(H115&gt;-1,"Not Functioning"))))</f>
        <v/>
      </c>
      <c r="J115" s="559"/>
      <c r="K115" s="555"/>
      <c r="L115" s="21"/>
    </row>
    <row r="116" spans="1:12" ht="15.6" x14ac:dyDescent="0.3">
      <c r="A116" s="556"/>
      <c r="B116" s="561"/>
      <c r="C116" s="174" t="s">
        <v>335</v>
      </c>
      <c r="D116" s="175"/>
      <c r="E116" s="165"/>
      <c r="F116" s="346" t="str">
        <f>IF(E116="","",IF(AND($B$12="74b",$B$13&lt;=2),IF(E116&lt;0,0,IF(E116&gt;15.6,0.69,ROUND('Reference Standards'!$AL$54*E116^2+'Reference Standards'!$AL$55*E116+'Reference Standards'!$AL$56,2))),IF(AND($B$12="65abei",$B$13&lt;=2),IF(E116&lt;0,0,IF(E116&gt;=20,0.69,ROUND('Reference Standards'!$AM$54*E116^2+'Reference Standards'!$AM$55*E116+'Reference Standards'!$AM$56,2))),IF(OR(AND($B$12="74a",$B$13&gt;2,$B$19="January - June"),AND($B$12="71i",$B$13&gt;2,$B$20="SQBANK")),IF(E116&lt;0,0,IF(E116&gt;24.7,0.69,ROUND('Reference Standards'!$AN$54*E116^2+'Reference Standards'!$AN$55*E116+'Reference Standards'!$AN$56,2))),IF(OR($B$12="74b",$B$12="65abei"),IF(E116&lt;0,0,IF(E116&gt;32.7,0.69,ROUND('Reference Standards'!$AO$54*E116^2+'Reference Standards'!$AO$55*E116+'Reference Standards'!$AO$56,2))),IF(AND($B$12="68b",$B$13&gt;2),IF(E116&lt;0,0,IF(E116&gt;41.2,0.69,ROUND('Reference Standards'!$AP$54*E116^2+'Reference Standards'!$AP$55*E116+'Reference Standards'!$AP$56,2))),IF(OR(AND($B$12="71i",$B$13&lt;=2),AND(OR($B$12="68c",$B$12="68d"),$B$19="January - June")),IF(E116&lt;0,0,IF(E116&gt;49.2,0.69,ROUND('Reference Standards'!$AL$94*E116^2+'Reference Standards'!$AL$95*E116+'Reference Standards'!$AL$96,2))),IF(OR(AND($B$12="68a",$B$19="January - June"),AND(OR($B$12="68c",$B$12="68d"),$B$19="July - December")),IF(E116&lt;0,0,IF(E116&gt;53.4,0.69,ROUND('Reference Standards'!$AM$94*E116^2+'Reference Standards'!$AM$95*E116+'Reference Standards'!$AM$96,2))),IF(OR(AND($B$12="71i",$B$13&gt;2,$B$20="SQKICK"),AND(OR($B$12="67fhi",$B$12="67g"),$B$13&lt;=2),$B$12="65j"),IF(E116&lt;0,0,IF(E116&gt;57.8,0.69,ROUND('Reference Standards'!$AN$94*E116^2+'Reference Standards'!$AN$95*E116+'Reference Standards'!$AN$96,2))),IF(OR(AND($B$12="74a",$B$13&gt;2,$B$19="July - December"),AND(OR($B$12="67fhi",$B$12="67g"),$B$13&gt;2),$B$12="69de"),IF(E116&lt;0,0,IF(E116&gt;62.5,0.69,ROUND('Reference Standards'!$AO$94*E116^2+'Reference Standards'!$AO$95*E116+'Reference Standards'!$AO$96,2))),  IF(OR($B$12="66d",$B$12="66e",$B$12="66ik",$B$12="71e",$B$12="71f",$B$12="71g",$B$12="71h"),IF(E116&lt;0,0,IF(E116&gt;66.5,0.69,ROUND('Reference Standards'!$AP$94*E116^2+'Reference Standards'!$AP$95*E116+'Reference Standards'!$AP$96,2))),IF(OR($B$12="66f",$B$12="66g",$B$12="66j",AND($B$12="68a",$B$19="July - December")), IF(E116&lt;0,0,IF(E116&gt;69,0.69,ROUND('Reference Standards'!$AQ$94*E116^2+'Reference Standards'!$AQ$95*E116+'Reference Standards'!$AQ$96,2))))   )))))))))))</f>
        <v/>
      </c>
      <c r="G116" s="584"/>
      <c r="H116" s="568"/>
      <c r="I116" s="519"/>
      <c r="J116" s="559"/>
      <c r="K116" s="555"/>
      <c r="L116" s="21"/>
    </row>
    <row r="117" spans="1:12" ht="15.6" x14ac:dyDescent="0.3">
      <c r="A117" s="556"/>
      <c r="B117" s="561"/>
      <c r="C117" s="174" t="s">
        <v>339</v>
      </c>
      <c r="D117" s="175"/>
      <c r="E117" s="165"/>
      <c r="F117" s="346" t="str">
        <f>IF(E117="","",IF(AND($B$12="74b",$B$13&lt;=2),IF(E117&lt;0,0,IF(E117&gt;8.1,0.69,ROUND('Reference Standards'!$AL$131*E117^2+'Reference Standards'!$AL$132*E117+'Reference Standards'!$AL$133,2))),IF(OR($B$12="73a",$B$12="73b"),IF(E117&lt;0,0,IF(E117&gt;=28,0.69,ROUND('Reference Standards'!$AM$131*E117^2+'Reference Standards'!$AM$132*E117+'Reference Standards'!$AM$133,2))),IF(AND($B$12="74a",$B$13&gt;2,$B$19="January - June"),IF(E117&lt;0,0,IF(E117&gt;=32.5,0.69,ROUND('Reference Standards'!$AN$131*E117^2+'Reference Standards'!$AN$132*E117+'Reference Standards'!$AN$133,2))),IF(AND($B$12="71i",$B$13&gt;2,$B$20="SQBANK"),IF(E117&lt;0,0,IF(E117&gt;=37,0.69,ROUND('Reference Standards'!$AO$131*E117^2+'Reference Standards'!$AO$132*E117+'Reference Standards'!$AO$133,2))),IF(OR(AND(OR($B$12="65abei",$B$12="74b"),$B$13&gt;2),AND($B$12="71i",$B$13&gt;2,$B$20="SQKICK")),IF(E117&lt;0,0,IF(E117&gt;42.6,0.69,ROUND('Reference Standards'!$AP$131*E117^2+'Reference Standards'!$AP$132*E117+'Reference Standards'!$AP$133,2))),     IF(OR(AND($B$12="65abei",$B$13&lt;=2),AND(OR($B$12="68c",$B$12="68d"),$B$19="July - December"),$B$12="71e"),IF(E117&lt;0,0,IF(E117&gt;=48,0.69,ROUND('Reference Standards'!$AL$171*E117^2+'Reference Standards'!$AL$172*E117+'Reference Standards'!$AL$173,2))),IF(OR($B$12="65j",$B$12="67fhi",$B$12="67g",AND($B$12="74a",$B$19="July - December",$B$13&gt;2),AND($B$12="71i",$B$13&lt;=2)),IF(E117&lt;0,0,IF(E117&gt;=53,0.69,ROUND('Reference Standards'!$AM$171*E117^2+'Reference Standards'!$AM$172*E117+'Reference Standards'!$AM$173,2))),IF(OR(AND(OR($B$12="68b",$B$12="71f",$B$12="71g",$B$12="71h"),$B$13&gt;2),$B$12="68a"),IF(E117&lt;0,0,IF(E117&gt;=57,0.69,ROUND('Reference Standards'!$AN$171*E117^2+'Reference Standards'!$AN$172*E117+'Reference Standards'!$AN$173,2))),IF(OR($B$12="66f",$B$12="66g",$B$12="66j",AND(OR($B$12="71f",$B$12="71g",$B$12="71h"),$B$13&lt;=2)),IF(E117&lt;0,0,IF(E117&gt;=60,0.69,ROUND('Reference Standards'!$AO$171*E117^2+'Reference Standards'!$AO$172*E117+'Reference Standards'!$AO$173,2))),  IF(OR($B$12="66d",$B$12="66e",$B$12="66ik", AND(OR($B$12="68c",$B$12="68d"),$B$19="January - June"),AND($B$12="69de",$B$19="July - December")),IF(E117&lt;0,0,IF(E117&gt;=67.5,0.69,ROUND('Reference Standards'!$AP$171*E117^2+'Reference Standards'!$AP$172*E117+'Reference Standards'!$AP$173,2))),IF(AND($B$12="69de",$B$19="January - June"), IF(E117&lt;0,0,IF(E117&gt;=72,0.69,ROUND('Reference Standards'!$AQ$171*E117^2+'Reference Standards'!$AQ$172*E117+'Reference Standards'!$AQ$173,2))))   )))))))))))</f>
        <v/>
      </c>
      <c r="G117" s="584"/>
      <c r="H117" s="568"/>
      <c r="I117" s="519"/>
      <c r="J117" s="559"/>
      <c r="K117" s="555"/>
      <c r="L117" s="21"/>
    </row>
    <row r="118" spans="1:12" ht="15.6" x14ac:dyDescent="0.3">
      <c r="A118" s="556"/>
      <c r="B118" s="562"/>
      <c r="C118" s="127" t="s">
        <v>336</v>
      </c>
      <c r="D118" s="175"/>
      <c r="E118" s="167"/>
      <c r="F118" s="346" t="str">
        <f>IF(E118="","",IF(OR($B$12="67fhi",$B$12="67g",$B$12="71e",$B$12="73a",$B$12="73b",AND(OR($B$12="71f",$B$12="71g",$B$12="71h"),$B$13&gt;2)),IF(E118&gt;100,0,IF(E118&lt;15,0.69,ROUND('Reference Standards'!$AL$208*E118^2+'Reference Standards'!$AL$209*E118+'Reference Standards'!$AL$210,2))),  IF(OR($B$12="66d",$B$12="66e",$B$12="66ik",$B$12="66f",$B$12="66g",$B$12="66j",$B$12="68a",$B$12="68c",$B$12="68d",AND($B$12="69de",$B$19="July - December"), AND($B$12="71i",$B$13&lt;=2), AND($B$12="71i",$B$13&gt;2,$B$20="SQBANK" ), AND($B$12="74a",$B$13&gt;2,$B$19="July - December") ),IF(E118&gt;100,0,IF(E118&lt;19,0.69,ROUND('Reference Standards'!$AM$208*E118^2+'Reference Standards'!$AM$209*E118+'Reference Standards'!$AM$210,2))),    IF(OR(AND($B$12="69de",$B$19="January - June"),AND($B$12="71i",$B$13&gt;2,$B$20="SQKICK" )),IF(E118&gt;100,0,IF(E118&lt;22,0.69,ROUND('Reference Standards'!$AN$208*E118^2+'Reference Standards'!$AN$209*E118+'Reference Standards'!$AN$210,2))),    IF(OR($B$12="65j",AND($B$12="68b",$B$13&gt;2)),IF(E118&gt;100,0,IF(E118&lt;24,0.69,ROUND('Reference Standards'!$AO$208*E118^2+'Reference Standards'!$AO$209*E118+'Reference Standards'!$AO$210,2))),    IF(AND(OR($B$12="65abei",$B$12="71f",$B$12="71g",$B$12="71h"),$B$13&lt;=2),IF(E118&gt;95,0,IF(E118&lt;33,0.69,ROUND('Reference Standards'!$AL$246*E118^2+'Reference Standards'!$AL$247*E118+'Reference Standards'!$AL$248,2))),   IF(AND(OR($B$12="65abei",$B$12="74b"),$B$13&gt;2),IF(E118&gt;97,0,IF(E118&lt;36,0.69,ROUND('Reference Standards'!$AM$246*E118^2+'Reference Standards'!$AM$247*E118+'Reference Standards'!$AM$248,2))),  IF(AND($B$12="74a",$B$19="January - June",$B$13&gt;2),IF(E118&gt;93,0,IF(E118&lt;52,0.69,ROUND('Reference Standards'!$AN$246*E118^2+'Reference Standards'!$AN$247*E118+'Reference Standards'!$AN$248,2))),   IF(AND($B$12="74b",$B$13&lt;=2),IF(E118&gt;97,0,IF(E118&lt;62,0.69,ROUND('Reference Standards'!$AO$246*E118^2+'Reference Standards'!$AO$247*E118+'Reference Standards'!$AO$248,2)))  )))))))))</f>
        <v/>
      </c>
      <c r="G118" s="583"/>
      <c r="H118" s="568"/>
      <c r="I118" s="519"/>
      <c r="J118" s="559"/>
      <c r="K118" s="555"/>
      <c r="L118" s="21"/>
    </row>
    <row r="119" spans="1:12" ht="15.6" x14ac:dyDescent="0.3">
      <c r="A119" s="556"/>
      <c r="B119" s="563" t="s">
        <v>74</v>
      </c>
      <c r="C119" s="125" t="s">
        <v>211</v>
      </c>
      <c r="D119" s="126"/>
      <c r="E119" s="166"/>
      <c r="F119" s="345" t="str">
        <f>IF(E119="","",IF(E119=1,0.15,IF(E119=3,0.5,IF(E119=5,0.85,0))))</f>
        <v/>
      </c>
      <c r="G119" s="582" t="str">
        <f>IFERROR(AVERAGE(F119:F120),"")</f>
        <v/>
      </c>
      <c r="H119" s="568"/>
      <c r="I119" s="519"/>
      <c r="J119" s="559"/>
      <c r="K119" s="555"/>
      <c r="L119" s="21"/>
    </row>
    <row r="120" spans="1:12" ht="15.6" x14ac:dyDescent="0.3">
      <c r="A120" s="551"/>
      <c r="B120" s="563"/>
      <c r="C120" s="127" t="s">
        <v>332</v>
      </c>
      <c r="D120" s="71"/>
      <c r="E120" s="167"/>
      <c r="F120" s="347" t="str">
        <f>IF(E120="","",IF(E120=1,0.15,IF(E120=3,0.5,IF(E120=5,0.85,0))))</f>
        <v/>
      </c>
      <c r="G120" s="583"/>
      <c r="H120" s="568"/>
      <c r="I120" s="519"/>
      <c r="J120" s="559"/>
      <c r="K120" s="555"/>
      <c r="L120" s="21"/>
    </row>
    <row r="121" spans="1:12" x14ac:dyDescent="0.3">
      <c r="L121" s="21"/>
    </row>
  </sheetData>
  <sheetProtection password="9A90" sheet="1" objects="1" scenarios="1" selectLockedCells="1"/>
  <dataConsolidate/>
  <mergeCells count="113">
    <mergeCell ref="A1:B3"/>
    <mergeCell ref="D1:J1"/>
    <mergeCell ref="D2:J2"/>
    <mergeCell ref="D3:J3"/>
    <mergeCell ref="D4:J4"/>
    <mergeCell ref="D5:J5"/>
    <mergeCell ref="I24:I25"/>
    <mergeCell ref="J24:K25"/>
    <mergeCell ref="A26:A27"/>
    <mergeCell ref="F26:G28"/>
    <mergeCell ref="H26:H28"/>
    <mergeCell ref="I26:I28"/>
    <mergeCell ref="J26:K28"/>
    <mergeCell ref="D11:F11"/>
    <mergeCell ref="D22:K22"/>
    <mergeCell ref="A23:D23"/>
    <mergeCell ref="F23:K23"/>
    <mergeCell ref="A24:A25"/>
    <mergeCell ref="B24:B25"/>
    <mergeCell ref="C24:C25"/>
    <mergeCell ref="D24:D25"/>
    <mergeCell ref="F24:G25"/>
    <mergeCell ref="H24:H25"/>
    <mergeCell ref="D14:E14"/>
    <mergeCell ref="H11:J11"/>
    <mergeCell ref="I12:J12"/>
    <mergeCell ref="A29:A34"/>
    <mergeCell ref="F29:G31"/>
    <mergeCell ref="H29:H31"/>
    <mergeCell ref="I29:I31"/>
    <mergeCell ref="J29:K31"/>
    <mergeCell ref="F32:G34"/>
    <mergeCell ref="H32:H34"/>
    <mergeCell ref="I32:I34"/>
    <mergeCell ref="J32:K34"/>
    <mergeCell ref="A35:A38"/>
    <mergeCell ref="F35:G37"/>
    <mergeCell ref="H35:H37"/>
    <mergeCell ref="I35:I37"/>
    <mergeCell ref="J35:K37"/>
    <mergeCell ref="F38:G40"/>
    <mergeCell ref="H38:H40"/>
    <mergeCell ref="I38:I40"/>
    <mergeCell ref="J38:K40"/>
    <mergeCell ref="A39:A40"/>
    <mergeCell ref="A43:F43"/>
    <mergeCell ref="G43:K43"/>
    <mergeCell ref="C44:D44"/>
    <mergeCell ref="A45:A46"/>
    <mergeCell ref="H45:H46"/>
    <mergeCell ref="I45:I46"/>
    <mergeCell ref="J45:J80"/>
    <mergeCell ref="K45:K80"/>
    <mergeCell ref="B51:B54"/>
    <mergeCell ref="G51:G54"/>
    <mergeCell ref="B55:B64"/>
    <mergeCell ref="G55:G64"/>
    <mergeCell ref="B66:B69"/>
    <mergeCell ref="G66:G69"/>
    <mergeCell ref="A47:A48"/>
    <mergeCell ref="B47:B48"/>
    <mergeCell ref="G47:G48"/>
    <mergeCell ref="A71:A74"/>
    <mergeCell ref="H71:H74"/>
    <mergeCell ref="I71:I74"/>
    <mergeCell ref="A75:A80"/>
    <mergeCell ref="B75:B78"/>
    <mergeCell ref="G75:G78"/>
    <mergeCell ref="H75:H80"/>
    <mergeCell ref="I75:I80"/>
    <mergeCell ref="B79:B80"/>
    <mergeCell ref="G79:G80"/>
    <mergeCell ref="H47:H48"/>
    <mergeCell ref="I47:I48"/>
    <mergeCell ref="A49:A70"/>
    <mergeCell ref="B49:B50"/>
    <mergeCell ref="G49:G50"/>
    <mergeCell ref="H49:H70"/>
    <mergeCell ref="I49:I70"/>
    <mergeCell ref="A83:F83"/>
    <mergeCell ref="G83:K83"/>
    <mergeCell ref="C84:D84"/>
    <mergeCell ref="A85:A86"/>
    <mergeCell ref="H85:H86"/>
    <mergeCell ref="I85:I86"/>
    <mergeCell ref="J85:J120"/>
    <mergeCell ref="K85:K120"/>
    <mergeCell ref="B91:B94"/>
    <mergeCell ref="G91:G94"/>
    <mergeCell ref="B95:B104"/>
    <mergeCell ref="G95:G104"/>
    <mergeCell ref="B106:B109"/>
    <mergeCell ref="G106:G109"/>
    <mergeCell ref="A87:A88"/>
    <mergeCell ref="B87:B88"/>
    <mergeCell ref="G87:G88"/>
    <mergeCell ref="A111:A114"/>
    <mergeCell ref="H111:H114"/>
    <mergeCell ref="I111:I114"/>
    <mergeCell ref="A115:A120"/>
    <mergeCell ref="B115:B118"/>
    <mergeCell ref="G115:G118"/>
    <mergeCell ref="H115:H120"/>
    <mergeCell ref="I115:I120"/>
    <mergeCell ref="B119:B120"/>
    <mergeCell ref="G119:G120"/>
    <mergeCell ref="H87:H88"/>
    <mergeCell ref="I87:I88"/>
    <mergeCell ref="A89:A110"/>
    <mergeCell ref="B89:B90"/>
    <mergeCell ref="G89:G90"/>
    <mergeCell ref="H89:H110"/>
    <mergeCell ref="I89:I110"/>
  </mergeCells>
  <conditionalFormatting sqref="A44:C44 I75:I79 B73:B74 A39 D63 B66:D66 A47:D47 I111 I89:I90 H49:I50 H47:I47 L43:M46 H44:K46 G43 H81:K82 A84:C84 G83 I115:I119 A49:D49 C48:D48 A1 F18:F19 A41:A42 C41:M42 J24 J26 J29 J32 F15:F16 L2:M9 J17:K17 H12:H15 H19:H21 C22:D22 K12:K15 K19:K21 E44:G44 E84:K84 L40 D87:D88 B71 C55:D57 M94:M109 B95:B97 C16:C21 C72:D73 C67:D67 D68:D69 D115:D119 C78:D78 D106:D111 B70:D70 A50 C50:D50 A75:A79 D77 C75:D76 L110:L121 J35 B35 F35 A4:A5 B4:B15 L47:L80 C2:C14 D1:D3 A19:A21 A10:A17 H85:I87 L81:M93 L22:M22">
    <cfRule type="beginsWith" dxfId="9077" priority="493" stopIfTrue="1" operator="beginsWith" text="Functioning At Risk">
      <formula>LEFT(A1,LEN("Functioning At Risk"))="Functioning At Risk"</formula>
    </cfRule>
    <cfRule type="beginsWith" dxfId="9076" priority="494" stopIfTrue="1" operator="beginsWith" text="Not Functioning">
      <formula>LEFT(A1,LEN("Not Functioning"))="Not Functioning"</formula>
    </cfRule>
    <cfRule type="containsText" dxfId="9075" priority="495" operator="containsText" text="Functioning">
      <formula>NOT(ISERROR(SEARCH("Functioning",A1)))</formula>
    </cfRule>
  </conditionalFormatting>
  <conditionalFormatting sqref="D11">
    <cfRule type="beginsWith" dxfId="9074" priority="490" stopIfTrue="1" operator="beginsWith" text="Functioning At Risk">
      <formula>LEFT(D11,LEN("Functioning At Risk"))="Functioning At Risk"</formula>
    </cfRule>
    <cfRule type="beginsWith" dxfId="9073" priority="491" stopIfTrue="1" operator="beginsWith" text="Not Functioning">
      <formula>LEFT(D11,LEN("Not Functioning"))="Not Functioning"</formula>
    </cfRule>
    <cfRule type="containsText" dxfId="9072" priority="492" operator="containsText" text="Functioning">
      <formula>NOT(ISERROR(SEARCH("Functioning",D11)))</formula>
    </cfRule>
  </conditionalFormatting>
  <conditionalFormatting sqref="B39">
    <cfRule type="beginsWith" dxfId="9071" priority="484" stopIfTrue="1" operator="beginsWith" text="Functioning At Risk">
      <formula>LEFT(B39,LEN("Functioning At Risk"))="Functioning At Risk"</formula>
    </cfRule>
    <cfRule type="beginsWith" dxfId="9070" priority="485" stopIfTrue="1" operator="beginsWith" text="Not Functioning">
      <formula>LEFT(B39,LEN("Not Functioning"))="Not Functioning"</formula>
    </cfRule>
    <cfRule type="containsText" dxfId="9069" priority="486" operator="containsText" text="Functioning">
      <formula>NOT(ISERROR(SEARCH("Functioning",B39)))</formula>
    </cfRule>
  </conditionalFormatting>
  <conditionalFormatting sqref="D120">
    <cfRule type="beginsWith" dxfId="9068" priority="481" stopIfTrue="1" operator="beginsWith" text="Functioning At Risk">
      <formula>LEFT(D120,LEN("Functioning At Risk"))="Functioning At Risk"</formula>
    </cfRule>
    <cfRule type="beginsWith" dxfId="9067" priority="482" stopIfTrue="1" operator="beginsWith" text="Not Functioning">
      <formula>LEFT(D120,LEN("Not Functioning"))="Not Functioning"</formula>
    </cfRule>
    <cfRule type="containsText" dxfId="9066" priority="483" operator="containsText" text="Functioning">
      <formula>NOT(ISERROR(SEARCH("Functioning",D120)))</formula>
    </cfRule>
  </conditionalFormatting>
  <conditionalFormatting sqref="B40">
    <cfRule type="beginsWith" dxfId="9065" priority="478" stopIfTrue="1" operator="beginsWith" text="Functioning At Risk">
      <formula>LEFT(B40,LEN("Functioning At Risk"))="Functioning At Risk"</formula>
    </cfRule>
    <cfRule type="beginsWith" dxfId="9064" priority="479" stopIfTrue="1" operator="beginsWith" text="Not Functioning">
      <formula>LEFT(B40,LEN("Not Functioning"))="Not Functioning"</formula>
    </cfRule>
    <cfRule type="containsText" dxfId="9063" priority="480" operator="containsText" text="Functioning">
      <formula>NOT(ISERROR(SEARCH("Functioning",B40)))</formula>
    </cfRule>
  </conditionalFormatting>
  <conditionalFormatting sqref="D112">
    <cfRule type="beginsWith" dxfId="9062" priority="469" stopIfTrue="1" operator="beginsWith" text="Functioning At Risk">
      <formula>LEFT(D112,LEN("Functioning At Risk"))="Functioning At Risk"</formula>
    </cfRule>
    <cfRule type="beginsWith" dxfId="9061" priority="470" stopIfTrue="1" operator="beginsWith" text="Not Functioning">
      <formula>LEFT(D112,LEN("Not Functioning"))="Not Functioning"</formula>
    </cfRule>
    <cfRule type="containsText" dxfId="9060" priority="471" operator="containsText" text="Functioning">
      <formula>NOT(ISERROR(SEARCH("Functioning",D112)))</formula>
    </cfRule>
  </conditionalFormatting>
  <conditionalFormatting sqref="B38">
    <cfRule type="beginsWith" dxfId="9059" priority="466" stopIfTrue="1" operator="beginsWith" text="Functioning At Risk">
      <formula>LEFT(B38,LEN("Functioning At Risk"))="Functioning At Risk"</formula>
    </cfRule>
    <cfRule type="beginsWith" dxfId="9058" priority="467" stopIfTrue="1" operator="beginsWith" text="Not Functioning">
      <formula>LEFT(B38,LEN("Not Functioning"))="Not Functioning"</formula>
    </cfRule>
    <cfRule type="containsText" dxfId="9057" priority="468" operator="containsText" text="Functioning">
      <formula>NOT(ISERROR(SEARCH("Functioning",B38)))</formula>
    </cfRule>
  </conditionalFormatting>
  <conditionalFormatting sqref="B37">
    <cfRule type="beginsWith" dxfId="9056" priority="463" stopIfTrue="1" operator="beginsWith" text="Functioning At Risk">
      <formula>LEFT(B37,LEN("Functioning At Risk"))="Functioning At Risk"</formula>
    </cfRule>
    <cfRule type="beginsWith" dxfId="9055" priority="464" stopIfTrue="1" operator="beginsWith" text="Not Functioning">
      <formula>LEFT(B37,LEN("Not Functioning"))="Not Functioning"</formula>
    </cfRule>
    <cfRule type="containsText" dxfId="9054" priority="465" operator="containsText" text="Functioning">
      <formula>NOT(ISERROR(SEARCH("Functioning",B37)))</formula>
    </cfRule>
  </conditionalFormatting>
  <conditionalFormatting sqref="B113:B114 B106 A87:B87 A89:A90 B119 A115:A119">
    <cfRule type="beginsWith" dxfId="9053" priority="448" stopIfTrue="1" operator="beginsWith" text="Functioning At Risk">
      <formula>LEFT(A87,LEN("Functioning At Risk"))="Functioning At Risk"</formula>
    </cfRule>
    <cfRule type="beginsWith" dxfId="9052" priority="449" stopIfTrue="1" operator="beginsWith" text="Not Functioning">
      <formula>LEFT(A87,LEN("Not Functioning"))="Not Functioning"</formula>
    </cfRule>
    <cfRule type="containsText" dxfId="9051" priority="450" operator="containsText" text="Functioning">
      <formula>NOT(ISERROR(SEARCH("Functioning",A87)))</formula>
    </cfRule>
  </conditionalFormatting>
  <conditionalFormatting sqref="C58:D58">
    <cfRule type="beginsWith" dxfId="9050" priority="457" stopIfTrue="1" operator="beginsWith" text="Functioning At Risk">
      <formula>LEFT(C58,LEN("Functioning At Risk"))="Functioning At Risk"</formula>
    </cfRule>
    <cfRule type="beginsWith" dxfId="9049" priority="458" stopIfTrue="1" operator="beginsWith" text="Not Functioning">
      <formula>LEFT(C58,LEN("Not Functioning"))="Not Functioning"</formula>
    </cfRule>
    <cfRule type="containsText" dxfId="9048" priority="459" operator="containsText" text="Functioning">
      <formula>NOT(ISERROR(SEARCH("Functioning",C58)))</formula>
    </cfRule>
  </conditionalFormatting>
  <conditionalFormatting sqref="D64">
    <cfRule type="beginsWith" dxfId="9047" priority="454" stopIfTrue="1" operator="beginsWith" text="Functioning At Risk">
      <formula>LEFT(D64,LEN("Functioning At Risk"))="Functioning At Risk"</formula>
    </cfRule>
    <cfRule type="beginsWith" dxfId="9046" priority="455" stopIfTrue="1" operator="beginsWith" text="Not Functioning">
      <formula>LEFT(D64,LEN("Not Functioning"))="Not Functioning"</formula>
    </cfRule>
    <cfRule type="containsText" dxfId="9045" priority="456" operator="containsText" text="Functioning">
      <formula>NOT(ISERROR(SEARCH("Functioning",D64)))</formula>
    </cfRule>
  </conditionalFormatting>
  <conditionalFormatting sqref="A111">
    <cfRule type="beginsWith" dxfId="9044" priority="442" stopIfTrue="1" operator="beginsWith" text="Functioning At Risk">
      <formula>LEFT(A111,LEN("Functioning At Risk"))="Functioning At Risk"</formula>
    </cfRule>
    <cfRule type="beginsWith" dxfId="9043" priority="443" stopIfTrue="1" operator="beginsWith" text="Not Functioning">
      <formula>LEFT(A111,LEN("Not Functioning"))="Not Functioning"</formula>
    </cfRule>
    <cfRule type="containsText" dxfId="9042" priority="444" operator="containsText" text="Functioning">
      <formula>NOT(ISERROR(SEARCH("Functioning",A111)))</formula>
    </cfRule>
  </conditionalFormatting>
  <conditionalFormatting sqref="K85:K86">
    <cfRule type="beginsWith" dxfId="9041" priority="439" stopIfTrue="1" operator="beginsWith" text="Functioning At Risk">
      <formula>LEFT(K85,LEN("Functioning At Risk"))="Functioning At Risk"</formula>
    </cfRule>
    <cfRule type="beginsWith" dxfId="9040" priority="440" stopIfTrue="1" operator="beginsWith" text="Not Functioning">
      <formula>LEFT(K85,LEN("Not Functioning"))="Not Functioning"</formula>
    </cfRule>
    <cfRule type="containsText" dxfId="9039" priority="441" operator="containsText" text="Functioning">
      <formula>NOT(ISERROR(SEARCH("Functioning",K85)))</formula>
    </cfRule>
  </conditionalFormatting>
  <conditionalFormatting sqref="F23">
    <cfRule type="beginsWith" dxfId="9038" priority="436" stopIfTrue="1" operator="beginsWith" text="Functioning At Risk">
      <formula>LEFT(F23,LEN("Functioning At Risk"))="Functioning At Risk"</formula>
    </cfRule>
    <cfRule type="beginsWith" dxfId="9037" priority="437" stopIfTrue="1" operator="beginsWith" text="Not Functioning">
      <formula>LEFT(F23,LEN("Not Functioning"))="Not Functioning"</formula>
    </cfRule>
    <cfRule type="containsText" dxfId="9036" priority="438" operator="containsText" text="Functioning">
      <formula>NOT(ISERROR(SEARCH("Functioning",F23)))</formula>
    </cfRule>
  </conditionalFormatting>
  <conditionalFormatting sqref="F32">
    <cfRule type="beginsWith" dxfId="9035" priority="433" stopIfTrue="1" operator="beginsWith" text="Functioning At Risk">
      <formula>LEFT(F32,LEN("Functioning At Risk"))="Functioning At Risk"</formula>
    </cfRule>
    <cfRule type="beginsWith" dxfId="9034" priority="434" stopIfTrue="1" operator="beginsWith" text="Not Functioning">
      <formula>LEFT(F32,LEN("Not Functioning"))="Not Functioning"</formula>
    </cfRule>
    <cfRule type="containsText" dxfId="9033" priority="435" operator="containsText" text="Functioning">
      <formula>NOT(ISERROR(SEARCH("Functioning",F32)))</formula>
    </cfRule>
  </conditionalFormatting>
  <conditionalFormatting sqref="F29">
    <cfRule type="beginsWith" dxfId="9032" priority="430" stopIfTrue="1" operator="beginsWith" text="Functioning At Risk">
      <formula>LEFT(F29,LEN("Functioning At Risk"))="Functioning At Risk"</formula>
    </cfRule>
    <cfRule type="beginsWith" dxfId="9031" priority="431" stopIfTrue="1" operator="beginsWith" text="Not Functioning">
      <formula>LEFT(F29,LEN("Not Functioning"))="Not Functioning"</formula>
    </cfRule>
    <cfRule type="containsText" dxfId="9030" priority="432" operator="containsText" text="Functioning">
      <formula>NOT(ISERROR(SEARCH("Functioning",F29)))</formula>
    </cfRule>
  </conditionalFormatting>
  <conditionalFormatting sqref="C26:D40 H26:I32 H35:I35">
    <cfRule type="cellIs" dxfId="9029" priority="487" operator="between">
      <formula>0</formula>
      <formula>0.299999</formula>
    </cfRule>
    <cfRule type="cellIs" dxfId="9028" priority="488" operator="between">
      <formula>0.6999999</formula>
      <formula>0.3</formula>
    </cfRule>
    <cfRule type="cellIs" dxfId="9027" priority="489" operator="between">
      <formula>0.7</formula>
      <formula>1</formula>
    </cfRule>
  </conditionalFormatting>
  <conditionalFormatting sqref="D105">
    <cfRule type="beginsWith" dxfId="9026" priority="427" stopIfTrue="1" operator="beginsWith" text="Functioning At Risk">
      <formula>LEFT(D105,LEN("Functioning At Risk"))="Functioning At Risk"</formula>
    </cfRule>
    <cfRule type="beginsWith" dxfId="9025" priority="428" stopIfTrue="1" operator="beginsWith" text="Not Functioning">
      <formula>LEFT(D105,LEN("Not Functioning"))="Not Functioning"</formula>
    </cfRule>
    <cfRule type="containsText" dxfId="9024" priority="429" operator="containsText" text="Functioning">
      <formula>NOT(ISERROR(SEARCH("Functioning",D105)))</formula>
    </cfRule>
  </conditionalFormatting>
  <conditionalFormatting sqref="C65:D65">
    <cfRule type="beginsWith" dxfId="9023" priority="424" stopIfTrue="1" operator="beginsWith" text="Functioning At Risk">
      <formula>LEFT(C65,LEN("Functioning At Risk"))="Functioning At Risk"</formula>
    </cfRule>
    <cfRule type="beginsWith" dxfId="9022" priority="425" stopIfTrue="1" operator="beginsWith" text="Not Functioning">
      <formula>LEFT(C65,LEN("Not Functioning"))="Not Functioning"</formula>
    </cfRule>
    <cfRule type="containsText" dxfId="9021" priority="426" operator="containsText" text="Functioning">
      <formula>NOT(ISERROR(SEARCH("Functioning",C65)))</formula>
    </cfRule>
  </conditionalFormatting>
  <conditionalFormatting sqref="D113">
    <cfRule type="beginsWith" dxfId="9020" priority="421" stopIfTrue="1" operator="beginsWith" text="Functioning At Risk">
      <formula>LEFT(D113,LEN("Functioning At Risk"))="Functioning At Risk"</formula>
    </cfRule>
    <cfRule type="beginsWith" dxfId="9019" priority="422" stopIfTrue="1" operator="beginsWith" text="Not Functioning">
      <formula>LEFT(D113,LEN("Not Functioning"))="Not Functioning"</formula>
    </cfRule>
    <cfRule type="containsText" dxfId="9018" priority="423" operator="containsText" text="Functioning">
      <formula>NOT(ISERROR(SEARCH("Functioning",D113)))</formula>
    </cfRule>
  </conditionalFormatting>
  <conditionalFormatting sqref="B18">
    <cfRule type="beginsWith" dxfId="9017" priority="406" stopIfTrue="1" operator="beginsWith" text="Functioning At Risk">
      <formula>LEFT(B18,LEN("Functioning At Risk"))="Functioning At Risk"</formula>
    </cfRule>
    <cfRule type="beginsWith" dxfId="9016" priority="407" stopIfTrue="1" operator="beginsWith" text="Not Functioning">
      <formula>LEFT(B18,LEN("Not Functioning"))="Not Functioning"</formula>
    </cfRule>
    <cfRule type="containsText" dxfId="9015" priority="408" operator="containsText" text="Functioning">
      <formula>NOT(ISERROR(SEARCH("Functioning",B18)))</formula>
    </cfRule>
  </conditionalFormatting>
  <conditionalFormatting sqref="H18">
    <cfRule type="beginsWith" dxfId="9014" priority="415" stopIfTrue="1" operator="beginsWith" text="Functioning At Risk">
      <formula>LEFT(H18,LEN("Functioning At Risk"))="Functioning At Risk"</formula>
    </cfRule>
    <cfRule type="beginsWith" dxfId="9013" priority="416" stopIfTrue="1" operator="beginsWith" text="Not Functioning">
      <formula>LEFT(H18,LEN("Not Functioning"))="Not Functioning"</formula>
    </cfRule>
    <cfRule type="containsText" dxfId="9012" priority="417" operator="containsText" text="Functioning">
      <formula>NOT(ISERROR(SEARCH("Functioning",H18)))</formula>
    </cfRule>
  </conditionalFormatting>
  <conditionalFormatting sqref="B16:B17">
    <cfRule type="beginsWith" dxfId="9011" priority="403" stopIfTrue="1" operator="beginsWith" text="Functioning At Risk">
      <formula>LEFT(B16,LEN("Functioning At Risk"))="Functioning At Risk"</formula>
    </cfRule>
    <cfRule type="beginsWith" dxfId="9010" priority="404" stopIfTrue="1" operator="beginsWith" text="Not Functioning">
      <formula>LEFT(B16,LEN("Not Functioning"))="Not Functioning"</formula>
    </cfRule>
    <cfRule type="containsText" dxfId="9009" priority="405" operator="containsText" text="Functioning">
      <formula>NOT(ISERROR(SEARCH("Functioning",B16)))</formula>
    </cfRule>
  </conditionalFormatting>
  <conditionalFormatting sqref="E119 E87:E88 E111">
    <cfRule type="beginsWith" dxfId="9008" priority="400" stopIfTrue="1" operator="beginsWith" text="Functioning At Risk">
      <formula>LEFT(E87,LEN("Functioning At Risk"))="Functioning At Risk"</formula>
    </cfRule>
    <cfRule type="beginsWith" dxfId="9007" priority="401" stopIfTrue="1" operator="beginsWith" text="Not Functioning">
      <formula>LEFT(E87,LEN("Not Functioning"))="Not Functioning"</formula>
    </cfRule>
    <cfRule type="containsText" dxfId="9006" priority="402" operator="containsText" text="Functioning">
      <formula>NOT(ISERROR(SEARCH("Functioning",E87)))</formula>
    </cfRule>
  </conditionalFormatting>
  <conditionalFormatting sqref="E78">
    <cfRule type="expression" dxfId="9005" priority="399">
      <formula>B1048469="Level 5 - Biology"</formula>
    </cfRule>
  </conditionalFormatting>
  <conditionalFormatting sqref="E120">
    <cfRule type="beginsWith" dxfId="9004" priority="396" stopIfTrue="1" operator="beginsWith" text="Functioning At Risk">
      <formula>LEFT(E120,LEN("Functioning At Risk"))="Functioning At Risk"</formula>
    </cfRule>
    <cfRule type="beginsWith" dxfId="9003" priority="397" stopIfTrue="1" operator="beginsWith" text="Not Functioning">
      <formula>LEFT(E120,LEN("Not Functioning"))="Not Functioning"</formula>
    </cfRule>
    <cfRule type="containsText" dxfId="9002" priority="398" operator="containsText" text="Functioning">
      <formula>NOT(ISERROR(SEARCH("Functioning",E120)))</formula>
    </cfRule>
  </conditionalFormatting>
  <conditionalFormatting sqref="E113">
    <cfRule type="expression" dxfId="9001" priority="394">
      <formula>B10="Level 4 - Physicochemical"</formula>
    </cfRule>
    <cfRule type="expression" dxfId="9000" priority="395">
      <formula>B10="Level 5 - Biology"</formula>
    </cfRule>
  </conditionalFormatting>
  <conditionalFormatting sqref="E75:E78 E47:E48 E66:E70">
    <cfRule type="beginsWith" dxfId="8999" priority="388" stopIfTrue="1" operator="beginsWith" text="Functioning At Risk">
      <formula>LEFT(E47,LEN("Functioning At Risk"))="Functioning At Risk"</formula>
    </cfRule>
    <cfRule type="beginsWith" dxfId="8998" priority="389" stopIfTrue="1" operator="beginsWith" text="Not Functioning">
      <formula>LEFT(E47,LEN("Not Functioning"))="Not Functioning"</formula>
    </cfRule>
    <cfRule type="containsText" dxfId="8997" priority="390" operator="containsText" text="Functioning">
      <formula>NOT(ISERROR(SEARCH("Functioning",E47)))</formula>
    </cfRule>
  </conditionalFormatting>
  <conditionalFormatting sqref="E73">
    <cfRule type="expression" dxfId="8996" priority="385">
      <formula>B1048468="Level 4 - Physicochemical"</formula>
    </cfRule>
    <cfRule type="expression" dxfId="8995" priority="387">
      <formula>B1048468="Level 5 - Biology"</formula>
    </cfRule>
  </conditionalFormatting>
  <conditionalFormatting sqref="E74">
    <cfRule type="expression" dxfId="8994" priority="384">
      <formula>B1048468="Level 4 - Physicochemical"</formula>
    </cfRule>
    <cfRule type="expression" dxfId="8993" priority="386">
      <formula>B1048468="Level 5 - Biology"</formula>
    </cfRule>
  </conditionalFormatting>
  <conditionalFormatting sqref="E71">
    <cfRule type="expression" dxfId="8992" priority="376">
      <formula>B1048468="Level 5 - Biology"</formula>
    </cfRule>
    <cfRule type="expression" dxfId="8991" priority="377">
      <formula>B1048468="Level 4 - Physicochemical"</formula>
    </cfRule>
    <cfRule type="beginsWith" dxfId="8990" priority="378" stopIfTrue="1" operator="beginsWith" text="Functioning At Risk">
      <formula>LEFT(E71,LEN("Functioning At Risk"))="Functioning At Risk"</formula>
    </cfRule>
    <cfRule type="beginsWith" dxfId="8989" priority="379" stopIfTrue="1" operator="beginsWith" text="Not Functioning">
      <formula>LEFT(E71,LEN("Not Functioning"))="Not Functioning"</formula>
    </cfRule>
    <cfRule type="containsText" dxfId="8988" priority="380" operator="containsText" text="Functioning">
      <formula>NOT(ISERROR(SEARCH("Functioning",E71)))</formula>
    </cfRule>
  </conditionalFormatting>
  <conditionalFormatting sqref="J38">
    <cfRule type="beginsWith" dxfId="8987" priority="373" stopIfTrue="1" operator="beginsWith" text="Functioning At Risk">
      <formula>LEFT(J38,LEN("Functioning At Risk"))="Functioning At Risk"</formula>
    </cfRule>
    <cfRule type="beginsWith" dxfId="8986" priority="374" stopIfTrue="1" operator="beginsWith" text="Not Functioning">
      <formula>LEFT(J38,LEN("Not Functioning"))="Not Functioning"</formula>
    </cfRule>
    <cfRule type="containsText" dxfId="8985" priority="375" operator="containsText" text="Functioning">
      <formula>NOT(ISERROR(SEARCH("Functioning",J38)))</formula>
    </cfRule>
  </conditionalFormatting>
  <conditionalFormatting sqref="F38">
    <cfRule type="beginsWith" dxfId="8984" priority="367" stopIfTrue="1" operator="beginsWith" text="Functioning At Risk">
      <formula>LEFT(F38,LEN("Functioning At Risk"))="Functioning At Risk"</formula>
    </cfRule>
    <cfRule type="beginsWith" dxfId="8983" priority="368" stopIfTrue="1" operator="beginsWith" text="Not Functioning">
      <formula>LEFT(F38,LEN("Not Functioning"))="Not Functioning"</formula>
    </cfRule>
    <cfRule type="containsText" dxfId="8982" priority="369" operator="containsText" text="Functioning">
      <formula>NOT(ISERROR(SEARCH("Functioning",F38)))</formula>
    </cfRule>
  </conditionalFormatting>
  <conditionalFormatting sqref="H38:I38">
    <cfRule type="cellIs" dxfId="8981" priority="370" operator="between">
      <formula>0</formula>
      <formula>0.299999</formula>
    </cfRule>
    <cfRule type="cellIs" dxfId="8980" priority="371" operator="between">
      <formula>0.6999999</formula>
      <formula>0.3</formula>
    </cfRule>
    <cfRule type="cellIs" dxfId="8979" priority="372" operator="between">
      <formula>0.7</formula>
      <formula>1</formula>
    </cfRule>
  </conditionalFormatting>
  <conditionalFormatting sqref="D4">
    <cfRule type="beginsWith" dxfId="8978" priority="361" stopIfTrue="1" operator="beginsWith" text="Functioning At Risk">
      <formula>LEFT(D4,LEN("Functioning At Risk"))="Functioning At Risk"</formula>
    </cfRule>
    <cfRule type="beginsWith" dxfId="8977" priority="362" stopIfTrue="1" operator="beginsWith" text="Not Functioning">
      <formula>LEFT(D4,LEN("Not Functioning"))="Not Functioning"</formula>
    </cfRule>
    <cfRule type="containsText" dxfId="8976" priority="363" operator="containsText" text="Functioning">
      <formula>NOT(ISERROR(SEARCH("Functioning",D4)))</formula>
    </cfRule>
  </conditionalFormatting>
  <conditionalFormatting sqref="C59:D62">
    <cfRule type="beginsWith" dxfId="8975" priority="364" stopIfTrue="1" operator="beginsWith" text="Functioning At Risk">
      <formula>LEFT(C59,LEN("Functioning At Risk"))="Functioning At Risk"</formula>
    </cfRule>
    <cfRule type="beginsWith" dxfId="8974" priority="365" stopIfTrue="1" operator="beginsWith" text="Not Functioning">
      <formula>LEFT(C59,LEN("Not Functioning"))="Not Functioning"</formula>
    </cfRule>
    <cfRule type="containsText" dxfId="8973" priority="366" operator="containsText" text="Functioning">
      <formula>NOT(ISERROR(SEARCH("Functioning",C59)))</formula>
    </cfRule>
  </conditionalFormatting>
  <conditionalFormatting sqref="A71">
    <cfRule type="beginsWith" dxfId="8972" priority="349" stopIfTrue="1" operator="beginsWith" text="Functioning At Risk">
      <formula>LEFT(A71,LEN("Functioning At Risk"))="Functioning At Risk"</formula>
    </cfRule>
    <cfRule type="beginsWith" dxfId="8971" priority="350" stopIfTrue="1" operator="beginsWith" text="Not Functioning">
      <formula>LEFT(A71,LEN("Not Functioning"))="Not Functioning"</formula>
    </cfRule>
    <cfRule type="containsText" dxfId="8970" priority="351" operator="containsText" text="Functioning">
      <formula>NOT(ISERROR(SEARCH("Functioning",A71)))</formula>
    </cfRule>
  </conditionalFormatting>
  <conditionalFormatting sqref="H71">
    <cfRule type="beginsWith" dxfId="8969" priority="346" stopIfTrue="1" operator="beginsWith" text="Functioning At Risk">
      <formula>LEFT(H71,LEN("Functioning At Risk"))="Functioning At Risk"</formula>
    </cfRule>
    <cfRule type="beginsWith" dxfId="8968" priority="347" stopIfTrue="1" operator="beginsWith" text="Not Functioning">
      <formula>LEFT(H71,LEN("Not Functioning"))="Not Functioning"</formula>
    </cfRule>
    <cfRule type="containsText" dxfId="8967" priority="348" operator="containsText" text="Functioning">
      <formula>NOT(ISERROR(SEARCH("Functioning",H71)))</formula>
    </cfRule>
  </conditionalFormatting>
  <conditionalFormatting sqref="E72">
    <cfRule type="expression" dxfId="8966" priority="496">
      <formula>B1048469="Level 4 - Physicochemical"</formula>
    </cfRule>
    <cfRule type="expression" dxfId="8965" priority="497">
      <formula>B1048469="Level 5 - Biology"</formula>
    </cfRule>
  </conditionalFormatting>
  <conditionalFormatting sqref="C68">
    <cfRule type="beginsWith" dxfId="8964" priority="358" stopIfTrue="1" operator="beginsWith" text="Functioning At Risk">
      <formula>LEFT(C68,LEN("Functioning At Risk"))="Functioning At Risk"</formula>
    </cfRule>
    <cfRule type="beginsWith" dxfId="8963" priority="359" stopIfTrue="1" operator="beginsWith" text="Not Functioning">
      <formula>LEFT(C68,LEN("Not Functioning"))="Not Functioning"</formula>
    </cfRule>
    <cfRule type="containsText" dxfId="8962" priority="360" operator="containsText" text="Functioning">
      <formula>NOT(ISERROR(SEARCH("Functioning",C68)))</formula>
    </cfRule>
  </conditionalFormatting>
  <conditionalFormatting sqref="H111 H89:H90">
    <cfRule type="beginsWith" dxfId="8961" priority="355" stopIfTrue="1" operator="beginsWith" text="Functioning At Risk">
      <formula>LEFT(H89,LEN("Functioning At Risk"))="Functioning At Risk"</formula>
    </cfRule>
    <cfRule type="beginsWith" dxfId="8960" priority="356" stopIfTrue="1" operator="beginsWith" text="Not Functioning">
      <formula>LEFT(H89,LEN("Not Functioning"))="Not Functioning"</formula>
    </cfRule>
    <cfRule type="containsText" dxfId="8959" priority="357" operator="containsText" text="Functioning">
      <formula>NOT(ISERROR(SEARCH("Functioning",H89)))</formula>
    </cfRule>
  </conditionalFormatting>
  <conditionalFormatting sqref="J85:J86">
    <cfRule type="beginsWith" dxfId="8958" priority="352" stopIfTrue="1" operator="beginsWith" text="Functioning At Risk">
      <formula>LEFT(J85,LEN("Functioning At Risk"))="Functioning At Risk"</formula>
    </cfRule>
    <cfRule type="beginsWith" dxfId="8957" priority="353" stopIfTrue="1" operator="beginsWith" text="Not Functioning">
      <formula>LEFT(J85,LEN("Not Functioning"))="Not Functioning"</formula>
    </cfRule>
    <cfRule type="containsText" dxfId="8956" priority="354" operator="containsText" text="Functioning">
      <formula>NOT(ISERROR(SEARCH("Functioning",J85)))</formula>
    </cfRule>
  </conditionalFormatting>
  <conditionalFormatting sqref="E75:E77">
    <cfRule type="expression" dxfId="8955" priority="498">
      <formula>B1048468="Level 5 - Biology"</formula>
    </cfRule>
  </conditionalFormatting>
  <conditionalFormatting sqref="I71">
    <cfRule type="beginsWith" dxfId="8954" priority="343" stopIfTrue="1" operator="beginsWith" text="Functioning At Risk">
      <formula>LEFT(I71,LEN("Functioning At Risk"))="Functioning At Risk"</formula>
    </cfRule>
    <cfRule type="beginsWith" dxfId="8953" priority="344" stopIfTrue="1" operator="beginsWith" text="Not Functioning">
      <formula>LEFT(I71,LEN("Not Functioning"))="Not Functioning"</formula>
    </cfRule>
    <cfRule type="containsText" dxfId="8952" priority="345" operator="containsText" text="Functioning">
      <formula>NOT(ISERROR(SEARCH("Functioning",I71)))</formula>
    </cfRule>
  </conditionalFormatting>
  <conditionalFormatting sqref="D79">
    <cfRule type="beginsWith" dxfId="8951" priority="339" stopIfTrue="1" operator="beginsWith" text="Functioning At Risk">
      <formula>LEFT(D79,LEN("Functioning At Risk"))="Functioning At Risk"</formula>
    </cfRule>
    <cfRule type="beginsWith" dxfId="8950" priority="340" stopIfTrue="1" operator="beginsWith" text="Not Functioning">
      <formula>LEFT(D79,LEN("Not Functioning"))="Not Functioning"</formula>
    </cfRule>
    <cfRule type="containsText" dxfId="8949" priority="341" operator="containsText" text="Functioning">
      <formula>NOT(ISERROR(SEARCH("Functioning",D79)))</formula>
    </cfRule>
  </conditionalFormatting>
  <conditionalFormatting sqref="D80">
    <cfRule type="beginsWith" dxfId="8948" priority="336" stopIfTrue="1" operator="beginsWith" text="Functioning At Risk">
      <formula>LEFT(D80,LEN("Functioning At Risk"))="Functioning At Risk"</formula>
    </cfRule>
    <cfRule type="beginsWith" dxfId="8947" priority="337" stopIfTrue="1" operator="beginsWith" text="Not Functioning">
      <formula>LEFT(D80,LEN("Not Functioning"))="Not Functioning"</formula>
    </cfRule>
    <cfRule type="containsText" dxfId="8946" priority="338" operator="containsText" text="Functioning">
      <formula>NOT(ISERROR(SEARCH("Functioning",D80)))</formula>
    </cfRule>
  </conditionalFormatting>
  <conditionalFormatting sqref="B79">
    <cfRule type="beginsWith" dxfId="8945" priority="333" stopIfTrue="1" operator="beginsWith" text="Functioning At Risk">
      <formula>LEFT(B79,LEN("Functioning At Risk"))="Functioning At Risk"</formula>
    </cfRule>
    <cfRule type="beginsWith" dxfId="8944" priority="334" stopIfTrue="1" operator="beginsWith" text="Not Functioning">
      <formula>LEFT(B79,LEN("Not Functioning"))="Not Functioning"</formula>
    </cfRule>
    <cfRule type="containsText" dxfId="8943" priority="335" operator="containsText" text="Functioning">
      <formula>NOT(ISERROR(SEARCH("Functioning",B79)))</formula>
    </cfRule>
  </conditionalFormatting>
  <conditionalFormatting sqref="E79">
    <cfRule type="beginsWith" dxfId="8942" priority="330" stopIfTrue="1" operator="beginsWith" text="Functioning At Risk">
      <formula>LEFT(E79,LEN("Functioning At Risk"))="Functioning At Risk"</formula>
    </cfRule>
    <cfRule type="beginsWith" dxfId="8941" priority="331" stopIfTrue="1" operator="beginsWith" text="Not Functioning">
      <formula>LEFT(E79,LEN("Not Functioning"))="Not Functioning"</formula>
    </cfRule>
    <cfRule type="containsText" dxfId="8940" priority="332" operator="containsText" text="Functioning">
      <formula>NOT(ISERROR(SEARCH("Functioning",E79)))</formula>
    </cfRule>
  </conditionalFormatting>
  <conditionalFormatting sqref="E80">
    <cfRule type="beginsWith" dxfId="8939" priority="327" stopIfTrue="1" operator="beginsWith" text="Functioning At Risk">
      <formula>LEFT(E80,LEN("Functioning At Risk"))="Functioning At Risk"</formula>
    </cfRule>
    <cfRule type="beginsWith" dxfId="8938" priority="328" stopIfTrue="1" operator="beginsWith" text="Not Functioning">
      <formula>LEFT(E80,LEN("Not Functioning"))="Not Functioning"</formula>
    </cfRule>
    <cfRule type="containsText" dxfId="8937" priority="329" operator="containsText" text="Functioning">
      <formula>NOT(ISERROR(SEARCH("Functioning",E80)))</formula>
    </cfRule>
  </conditionalFormatting>
  <conditionalFormatting sqref="E80">
    <cfRule type="expression" dxfId="8936" priority="326">
      <formula>B1048462="Level 5 - Biology"</formula>
    </cfRule>
  </conditionalFormatting>
  <conditionalFormatting sqref="E79">
    <cfRule type="expression" dxfId="8935" priority="342">
      <formula>B1048464="Level 5 - Biology"</formula>
    </cfRule>
  </conditionalFormatting>
  <conditionalFormatting sqref="B111">
    <cfRule type="beginsWith" dxfId="8934" priority="323" stopIfTrue="1" operator="beginsWith" text="Functioning At Risk">
      <formula>LEFT(B111,LEN("Functioning At Risk"))="Functioning At Risk"</formula>
    </cfRule>
    <cfRule type="beginsWith" dxfId="8933" priority="324" stopIfTrue="1" operator="beginsWith" text="Not Functioning">
      <formula>LEFT(B111,LEN("Not Functioning"))="Not Functioning"</formula>
    </cfRule>
    <cfRule type="containsText" dxfId="8932" priority="325" operator="containsText" text="Functioning">
      <formula>NOT(ISERROR(SEARCH("Functioning",B111)))</formula>
    </cfRule>
  </conditionalFormatting>
  <conditionalFormatting sqref="A35">
    <cfRule type="beginsWith" dxfId="8931" priority="317" stopIfTrue="1" operator="beginsWith" text="Functioning At Risk">
      <formula>LEFT(A35,LEN("Functioning At Risk"))="Functioning At Risk"</formula>
    </cfRule>
    <cfRule type="beginsWith" dxfId="8930" priority="318" stopIfTrue="1" operator="beginsWith" text="Not Functioning">
      <formula>LEFT(A35,LEN("Not Functioning"))="Not Functioning"</formula>
    </cfRule>
    <cfRule type="containsText" dxfId="8929" priority="319" operator="containsText" text="Functioning">
      <formula>NOT(ISERROR(SEARCH("Functioning",A35)))</formula>
    </cfRule>
  </conditionalFormatting>
  <conditionalFormatting sqref="C69">
    <cfRule type="beginsWith" dxfId="8928" priority="314" stopIfTrue="1" operator="beginsWith" text="Functioning At Risk">
      <formula>LEFT(C69,LEN("Functioning At Risk"))="Functioning At Risk"</formula>
    </cfRule>
    <cfRule type="beginsWith" dxfId="8927" priority="315" stopIfTrue="1" operator="beginsWith" text="Not Functioning">
      <formula>LEFT(C69,LEN("Not Functioning"))="Not Functioning"</formula>
    </cfRule>
    <cfRule type="containsText" dxfId="8926" priority="316" operator="containsText" text="Functioning">
      <formula>NOT(ISERROR(SEARCH("Functioning",C69)))</formula>
    </cfRule>
  </conditionalFormatting>
  <conditionalFormatting sqref="C80">
    <cfRule type="beginsWith" dxfId="8925" priority="287" stopIfTrue="1" operator="beginsWith" text="Functioning At Risk">
      <formula>LEFT(C80,LEN("Functioning At Risk"))="Functioning At Risk"</formula>
    </cfRule>
    <cfRule type="beginsWith" dxfId="8924" priority="288" stopIfTrue="1" operator="beginsWith" text="Not Functioning">
      <formula>LEFT(C80,LEN("Not Functioning"))="Not Functioning"</formula>
    </cfRule>
    <cfRule type="containsText" dxfId="8923" priority="289" operator="containsText" text="Functioning">
      <formula>NOT(ISERROR(SEARCH("Functioning",C80)))</formula>
    </cfRule>
  </conditionalFormatting>
  <conditionalFormatting sqref="C79">
    <cfRule type="beginsWith" dxfId="8922" priority="311" stopIfTrue="1" operator="beginsWith" text="Functioning At Risk">
      <formula>LEFT(C79,LEN("Functioning At Risk"))="Functioning At Risk"</formula>
    </cfRule>
    <cfRule type="beginsWith" dxfId="8921" priority="312" stopIfTrue="1" operator="beginsWith" text="Not Functioning">
      <formula>LEFT(C79,LEN("Not Functioning"))="Not Functioning"</formula>
    </cfRule>
    <cfRule type="containsText" dxfId="8920" priority="313" operator="containsText" text="Functioning">
      <formula>NOT(ISERROR(SEARCH("Functioning",C79)))</formula>
    </cfRule>
  </conditionalFormatting>
  <conditionalFormatting sqref="B55">
    <cfRule type="beginsWith" dxfId="8919" priority="308" stopIfTrue="1" operator="beginsWith" text="Functioning At Risk">
      <formula>LEFT(B55,LEN("Functioning At Risk"))="Functioning At Risk"</formula>
    </cfRule>
    <cfRule type="beginsWith" dxfId="8918" priority="309" stopIfTrue="1" operator="beginsWith" text="Not Functioning">
      <formula>LEFT(B55,LEN("Not Functioning"))="Not Functioning"</formula>
    </cfRule>
    <cfRule type="containsText" dxfId="8917" priority="310" operator="containsText" text="Functioning">
      <formula>NOT(ISERROR(SEARCH("Functioning",B55)))</formula>
    </cfRule>
  </conditionalFormatting>
  <conditionalFormatting sqref="E106:E107 E109:E110">
    <cfRule type="beginsWith" dxfId="8916" priority="299" stopIfTrue="1" operator="beginsWith" text="Functioning At Risk">
      <formula>LEFT(E106,LEN("Functioning At Risk"))="Functioning At Risk"</formula>
    </cfRule>
    <cfRule type="beginsWith" dxfId="8915" priority="300" stopIfTrue="1" operator="beginsWith" text="Not Functioning">
      <formula>LEFT(E106,LEN("Not Functioning"))="Not Functioning"</formula>
    </cfRule>
    <cfRule type="containsText" dxfId="8914" priority="301" operator="containsText" text="Functioning">
      <formula>NOT(ISERROR(SEARCH("Functioning",E106)))</formula>
    </cfRule>
  </conditionalFormatting>
  <conditionalFormatting sqref="B110">
    <cfRule type="beginsWith" dxfId="8913" priority="296" stopIfTrue="1" operator="beginsWith" text="Functioning At Risk">
      <formula>LEFT(B110,LEN("Functioning At Risk"))="Functioning At Risk"</formula>
    </cfRule>
    <cfRule type="beginsWith" dxfId="8912" priority="297" stopIfTrue="1" operator="beginsWith" text="Not Functioning">
      <formula>LEFT(B110,LEN("Not Functioning"))="Not Functioning"</formula>
    </cfRule>
    <cfRule type="containsText" dxfId="8911" priority="298" operator="containsText" text="Functioning">
      <formula>NOT(ISERROR(SEARCH("Functioning",B110)))</formula>
    </cfRule>
  </conditionalFormatting>
  <conditionalFormatting sqref="B89 D89:D90">
    <cfRule type="beginsWith" dxfId="8910" priority="293" stopIfTrue="1" operator="beginsWith" text="Functioning At Risk">
      <formula>LEFT(B89,LEN("Functioning At Risk"))="Functioning At Risk"</formula>
    </cfRule>
    <cfRule type="beginsWith" dxfId="8909" priority="294" stopIfTrue="1" operator="beginsWith" text="Not Functioning">
      <formula>LEFT(B89,LEN("Not Functioning"))="Not Functioning"</formula>
    </cfRule>
    <cfRule type="containsText" dxfId="8908" priority="295" operator="containsText" text="Functioning">
      <formula>NOT(ISERROR(SEARCH("Functioning",B89)))</formula>
    </cfRule>
  </conditionalFormatting>
  <conditionalFormatting sqref="E118">
    <cfRule type="expression" dxfId="8907" priority="285">
      <formula>B1048510="Level 5 - Biology"</formula>
    </cfRule>
  </conditionalFormatting>
  <conditionalFormatting sqref="E115:E118">
    <cfRule type="beginsWith" dxfId="8906" priority="282" stopIfTrue="1" operator="beginsWith" text="Functioning At Risk">
      <formula>LEFT(E115,LEN("Functioning At Risk"))="Functioning At Risk"</formula>
    </cfRule>
    <cfRule type="beginsWith" dxfId="8905" priority="283" stopIfTrue="1" operator="beginsWith" text="Not Functioning">
      <formula>LEFT(E115,LEN("Not Functioning"))="Not Functioning"</formula>
    </cfRule>
    <cfRule type="containsText" dxfId="8904" priority="284" operator="containsText" text="Functioning">
      <formula>NOT(ISERROR(SEARCH("Functioning",E115)))</formula>
    </cfRule>
  </conditionalFormatting>
  <conditionalFormatting sqref="E115:E117">
    <cfRule type="expression" dxfId="8903" priority="286">
      <formula>B1048509="Level 5 - Biology"</formula>
    </cfRule>
  </conditionalFormatting>
  <conditionalFormatting sqref="C77">
    <cfRule type="beginsWith" dxfId="8902" priority="279" stopIfTrue="1" operator="beginsWith" text="Functioning At Risk">
      <formula>LEFT(C77,LEN("Functioning At Risk"))="Functioning At Risk"</formula>
    </cfRule>
    <cfRule type="beginsWith" dxfId="8901" priority="280" stopIfTrue="1" operator="beginsWith" text="Not Functioning">
      <formula>LEFT(C77,LEN("Not Functioning"))="Not Functioning"</formula>
    </cfRule>
    <cfRule type="containsText" dxfId="8900" priority="281" operator="containsText" text="Functioning">
      <formula>NOT(ISERROR(SEARCH("Functioning",C77)))</formula>
    </cfRule>
  </conditionalFormatting>
  <conditionalFormatting sqref="B115:B117">
    <cfRule type="beginsWith" dxfId="8899" priority="276" stopIfTrue="1" operator="beginsWith" text="Functioning At Risk">
      <formula>LEFT(B115,LEN("Functioning At Risk"))="Functioning At Risk"</formula>
    </cfRule>
    <cfRule type="beginsWith" dxfId="8898" priority="277" stopIfTrue="1" operator="beginsWith" text="Not Functioning">
      <formula>LEFT(B115,LEN("Not Functioning"))="Not Functioning"</formula>
    </cfRule>
    <cfRule type="containsText" dxfId="8897" priority="278" operator="containsText" text="Functioning">
      <formula>NOT(ISERROR(SEARCH("Functioning",B115)))</formula>
    </cfRule>
  </conditionalFormatting>
  <conditionalFormatting sqref="B75:B77">
    <cfRule type="beginsWith" dxfId="8896" priority="273" stopIfTrue="1" operator="beginsWith" text="Functioning At Risk">
      <formula>LEFT(B75,LEN("Functioning At Risk"))="Functioning At Risk"</formula>
    </cfRule>
    <cfRule type="beginsWith" dxfId="8895" priority="274" stopIfTrue="1" operator="beginsWith" text="Not Functioning">
      <formula>LEFT(B75,LEN("Not Functioning"))="Not Functioning"</formula>
    </cfRule>
    <cfRule type="containsText" dxfId="8894" priority="275" operator="containsText" text="Functioning">
      <formula>NOT(ISERROR(SEARCH("Functioning",B75)))</formula>
    </cfRule>
  </conditionalFormatting>
  <conditionalFormatting sqref="E111:E112">
    <cfRule type="expression" dxfId="8893" priority="499">
      <formula>B10="Level 4 - Physicochemical"</formula>
    </cfRule>
    <cfRule type="expression" dxfId="8892" priority="500">
      <formula>B10="Level 5 - Biology"</formula>
    </cfRule>
  </conditionalFormatting>
  <conditionalFormatting sqref="E114">
    <cfRule type="expression" dxfId="8891" priority="501">
      <formula>B10="Level 4 - Physicochemical"</formula>
    </cfRule>
    <cfRule type="expression" dxfId="8890" priority="502">
      <formula>B10="Level 5 - Biology"</formula>
    </cfRule>
  </conditionalFormatting>
  <conditionalFormatting sqref="E120">
    <cfRule type="expression" dxfId="8889" priority="503">
      <formula>B10="Level 5 - Biology"</formula>
    </cfRule>
  </conditionalFormatting>
  <conditionalFormatting sqref="E119">
    <cfRule type="expression" dxfId="8888" priority="504">
      <formula>B12="Level 5 - Biology"</formula>
    </cfRule>
  </conditionalFormatting>
  <conditionalFormatting sqref="C63:C64">
    <cfRule type="beginsWith" dxfId="8887" priority="270" stopIfTrue="1" operator="beginsWith" text="Functioning At Risk">
      <formula>LEFT(C63,LEN("Functioning At Risk"))="Functioning At Risk"</formula>
    </cfRule>
    <cfRule type="beginsWith" dxfId="8886" priority="271" stopIfTrue="1" operator="beginsWith" text="Not Functioning">
      <formula>LEFT(C63,LEN("Not Functioning"))="Not Functioning"</formula>
    </cfRule>
    <cfRule type="containsText" dxfId="8885" priority="272" operator="containsText" text="Functioning">
      <formula>NOT(ISERROR(SEARCH("Functioning",C63)))</formula>
    </cfRule>
  </conditionalFormatting>
  <conditionalFormatting sqref="D103 D95:D97">
    <cfRule type="beginsWith" dxfId="8884" priority="249" stopIfTrue="1" operator="beginsWith" text="Functioning At Risk">
      <formula>LEFT(D95,LEN("Functioning At Risk"))="Functioning At Risk"</formula>
    </cfRule>
    <cfRule type="beginsWith" dxfId="8883" priority="250" stopIfTrue="1" operator="beginsWith" text="Not Functioning">
      <formula>LEFT(D95,LEN("Not Functioning"))="Not Functioning"</formula>
    </cfRule>
    <cfRule type="containsText" dxfId="8882" priority="251" operator="containsText" text="Functioning">
      <formula>NOT(ISERROR(SEARCH("Functioning",D95)))</formula>
    </cfRule>
  </conditionalFormatting>
  <conditionalFormatting sqref="D98">
    <cfRule type="beginsWith" dxfId="8881" priority="246" stopIfTrue="1" operator="beginsWith" text="Functioning At Risk">
      <formula>LEFT(D98,LEN("Functioning At Risk"))="Functioning At Risk"</formula>
    </cfRule>
    <cfRule type="beginsWith" dxfId="8880" priority="247" stopIfTrue="1" operator="beginsWith" text="Not Functioning">
      <formula>LEFT(D98,LEN("Not Functioning"))="Not Functioning"</formula>
    </cfRule>
    <cfRule type="containsText" dxfId="8879" priority="248" operator="containsText" text="Functioning">
      <formula>NOT(ISERROR(SEARCH("Functioning",D98)))</formula>
    </cfRule>
  </conditionalFormatting>
  <conditionalFormatting sqref="D104">
    <cfRule type="beginsWith" dxfId="8878" priority="243" stopIfTrue="1" operator="beginsWith" text="Functioning At Risk">
      <formula>LEFT(D104,LEN("Functioning At Risk"))="Functioning At Risk"</formula>
    </cfRule>
    <cfRule type="beginsWith" dxfId="8877" priority="244" stopIfTrue="1" operator="beginsWith" text="Not Functioning">
      <formula>LEFT(D104,LEN("Not Functioning"))="Not Functioning"</formula>
    </cfRule>
    <cfRule type="containsText" dxfId="8876" priority="245" operator="containsText" text="Functioning">
      <formula>NOT(ISERROR(SEARCH("Functioning",D104)))</formula>
    </cfRule>
  </conditionalFormatting>
  <conditionalFormatting sqref="D99:D102">
    <cfRule type="beginsWith" dxfId="8875" priority="240" stopIfTrue="1" operator="beginsWith" text="Functioning At Risk">
      <formula>LEFT(D99,LEN("Functioning At Risk"))="Functioning At Risk"</formula>
    </cfRule>
    <cfRule type="beginsWith" dxfId="8874" priority="241" stopIfTrue="1" operator="beginsWith" text="Not Functioning">
      <formula>LEFT(D99,LEN("Not Functioning"))="Not Functioning"</formula>
    </cfRule>
    <cfRule type="containsText" dxfId="8873" priority="242" operator="containsText" text="Functioning">
      <formula>NOT(ISERROR(SEARCH("Functioning",D99)))</formula>
    </cfRule>
  </conditionalFormatting>
  <conditionalFormatting sqref="E108">
    <cfRule type="beginsWith" dxfId="8872" priority="231" stopIfTrue="1" operator="beginsWith" text="Functioning At Risk">
      <formula>LEFT(E108,LEN("Functioning At Risk"))="Functioning At Risk"</formula>
    </cfRule>
    <cfRule type="beginsWith" dxfId="8871" priority="232" stopIfTrue="1" operator="beginsWith" text="Not Functioning">
      <formula>LEFT(E108,LEN("Not Functioning"))="Not Functioning"</formula>
    </cfRule>
    <cfRule type="containsText" dxfId="8870" priority="233" operator="containsText" text="Functioning">
      <formula>NOT(ISERROR(SEARCH("Functioning",E108)))</formula>
    </cfRule>
  </conditionalFormatting>
  <conditionalFormatting sqref="C95:C97 C112:C113 C106:C107 C118 C110 C87:C90 C115:C116">
    <cfRule type="beginsWith" dxfId="8869" priority="228" stopIfTrue="1" operator="beginsWith" text="Functioning At Risk">
      <formula>LEFT(C87,LEN("Functioning At Risk"))="Functioning At Risk"</formula>
    </cfRule>
    <cfRule type="beginsWith" dxfId="8868" priority="229" stopIfTrue="1" operator="beginsWith" text="Not Functioning">
      <formula>LEFT(C87,LEN("Not Functioning"))="Not Functioning"</formula>
    </cfRule>
    <cfRule type="containsText" dxfId="8867" priority="230" operator="containsText" text="Functioning">
      <formula>NOT(ISERROR(SEARCH("Functioning",C87)))</formula>
    </cfRule>
  </conditionalFormatting>
  <conditionalFormatting sqref="C98">
    <cfRule type="beginsWith" dxfId="8866" priority="225" stopIfTrue="1" operator="beginsWith" text="Functioning At Risk">
      <formula>LEFT(C98,LEN("Functioning At Risk"))="Functioning At Risk"</formula>
    </cfRule>
    <cfRule type="beginsWith" dxfId="8865" priority="226" stopIfTrue="1" operator="beginsWith" text="Not Functioning">
      <formula>LEFT(C98,LEN("Not Functioning"))="Not Functioning"</formula>
    </cfRule>
    <cfRule type="containsText" dxfId="8864" priority="227" operator="containsText" text="Functioning">
      <formula>NOT(ISERROR(SEARCH("Functioning",C98)))</formula>
    </cfRule>
  </conditionalFormatting>
  <conditionalFormatting sqref="C105">
    <cfRule type="beginsWith" dxfId="8863" priority="222" stopIfTrue="1" operator="beginsWith" text="Functioning At Risk">
      <formula>LEFT(C105,LEN("Functioning At Risk"))="Functioning At Risk"</formula>
    </cfRule>
    <cfRule type="beginsWith" dxfId="8862" priority="223" stopIfTrue="1" operator="beginsWith" text="Not Functioning">
      <formula>LEFT(C105,LEN("Not Functioning"))="Not Functioning"</formula>
    </cfRule>
    <cfRule type="containsText" dxfId="8861" priority="224" operator="containsText" text="Functioning">
      <formula>NOT(ISERROR(SEARCH("Functioning",C105)))</formula>
    </cfRule>
  </conditionalFormatting>
  <conditionalFormatting sqref="C99:C102">
    <cfRule type="beginsWith" dxfId="8860" priority="219" stopIfTrue="1" operator="beginsWith" text="Functioning At Risk">
      <formula>LEFT(C99,LEN("Functioning At Risk"))="Functioning At Risk"</formula>
    </cfRule>
    <cfRule type="beginsWith" dxfId="8859" priority="220" stopIfTrue="1" operator="beginsWith" text="Not Functioning">
      <formula>LEFT(C99,LEN("Not Functioning"))="Not Functioning"</formula>
    </cfRule>
    <cfRule type="containsText" dxfId="8858" priority="221" operator="containsText" text="Functioning">
      <formula>NOT(ISERROR(SEARCH("Functioning",C99)))</formula>
    </cfRule>
  </conditionalFormatting>
  <conditionalFormatting sqref="C108">
    <cfRule type="beginsWith" dxfId="8857" priority="216" stopIfTrue="1" operator="beginsWith" text="Functioning At Risk">
      <formula>LEFT(C108,LEN("Functioning At Risk"))="Functioning At Risk"</formula>
    </cfRule>
    <cfRule type="beginsWith" dxfId="8856" priority="217" stopIfTrue="1" operator="beginsWith" text="Not Functioning">
      <formula>LEFT(C108,LEN("Not Functioning"))="Not Functioning"</formula>
    </cfRule>
    <cfRule type="containsText" dxfId="8855" priority="218" operator="containsText" text="Functioning">
      <formula>NOT(ISERROR(SEARCH("Functioning",C108)))</formula>
    </cfRule>
  </conditionalFormatting>
  <conditionalFormatting sqref="C109">
    <cfRule type="beginsWith" dxfId="8854" priority="213" stopIfTrue="1" operator="beginsWith" text="Functioning At Risk">
      <formula>LEFT(C109,LEN("Functioning At Risk"))="Functioning At Risk"</formula>
    </cfRule>
    <cfRule type="beginsWith" dxfId="8853" priority="214" stopIfTrue="1" operator="beginsWith" text="Not Functioning">
      <formula>LEFT(C109,LEN("Not Functioning"))="Not Functioning"</formula>
    </cfRule>
    <cfRule type="containsText" dxfId="8852" priority="215" operator="containsText" text="Functioning">
      <formula>NOT(ISERROR(SEARCH("Functioning",C109)))</formula>
    </cfRule>
  </conditionalFormatting>
  <conditionalFormatting sqref="C120">
    <cfRule type="beginsWith" dxfId="8851" priority="207" stopIfTrue="1" operator="beginsWith" text="Functioning At Risk">
      <formula>LEFT(C120,LEN("Functioning At Risk"))="Functioning At Risk"</formula>
    </cfRule>
    <cfRule type="beginsWith" dxfId="8850" priority="208" stopIfTrue="1" operator="beginsWith" text="Not Functioning">
      <formula>LEFT(C120,LEN("Not Functioning"))="Not Functioning"</formula>
    </cfRule>
    <cfRule type="containsText" dxfId="8849" priority="209" operator="containsText" text="Functioning">
      <formula>NOT(ISERROR(SEARCH("Functioning",C120)))</formula>
    </cfRule>
  </conditionalFormatting>
  <conditionalFormatting sqref="C119">
    <cfRule type="beginsWith" dxfId="8848" priority="210" stopIfTrue="1" operator="beginsWith" text="Functioning At Risk">
      <formula>LEFT(C119,LEN("Functioning At Risk"))="Functioning At Risk"</formula>
    </cfRule>
    <cfRule type="beginsWith" dxfId="8847" priority="211" stopIfTrue="1" operator="beginsWith" text="Not Functioning">
      <formula>LEFT(C119,LEN("Not Functioning"))="Not Functioning"</formula>
    </cfRule>
    <cfRule type="containsText" dxfId="8846" priority="212" operator="containsText" text="Functioning">
      <formula>NOT(ISERROR(SEARCH("Functioning",C119)))</formula>
    </cfRule>
  </conditionalFormatting>
  <conditionalFormatting sqref="C117">
    <cfRule type="beginsWith" dxfId="8845" priority="204" stopIfTrue="1" operator="beginsWith" text="Functioning At Risk">
      <formula>LEFT(C117,LEN("Functioning At Risk"))="Functioning At Risk"</formula>
    </cfRule>
    <cfRule type="beginsWith" dxfId="8844" priority="205" stopIfTrue="1" operator="beginsWith" text="Not Functioning">
      <formula>LEFT(C117,LEN("Not Functioning"))="Not Functioning"</formula>
    </cfRule>
    <cfRule type="containsText" dxfId="8843" priority="206" operator="containsText" text="Functioning">
      <formula>NOT(ISERROR(SEARCH("Functioning",C117)))</formula>
    </cfRule>
  </conditionalFormatting>
  <conditionalFormatting sqref="C103:C104">
    <cfRule type="beginsWith" dxfId="8842" priority="201" stopIfTrue="1" operator="beginsWith" text="Functioning At Risk">
      <formula>LEFT(C103,LEN("Functioning At Risk"))="Functioning At Risk"</formula>
    </cfRule>
    <cfRule type="beginsWith" dxfId="8841" priority="202" stopIfTrue="1" operator="beginsWith" text="Not Functioning">
      <formula>LEFT(C103,LEN("Not Functioning"))="Not Functioning"</formula>
    </cfRule>
    <cfRule type="containsText" dxfId="8840" priority="203" operator="containsText" text="Functioning">
      <formula>NOT(ISERROR(SEARCH("Functioning",C103)))</formula>
    </cfRule>
  </conditionalFormatting>
  <conditionalFormatting sqref="E55:E57">
    <cfRule type="beginsWith" dxfId="8839" priority="198" stopIfTrue="1" operator="beginsWith" text="Functioning At Risk">
      <formula>LEFT(E55,LEN("Functioning At Risk"))="Functioning At Risk"</formula>
    </cfRule>
    <cfRule type="beginsWith" dxfId="8838" priority="199" stopIfTrue="1" operator="beginsWith" text="Not Functioning">
      <formula>LEFT(E55,LEN("Not Functioning"))="Not Functioning"</formula>
    </cfRule>
    <cfRule type="containsText" dxfId="8837" priority="200" operator="containsText" text="Functioning">
      <formula>NOT(ISERROR(SEARCH("Functioning",E55)))</formula>
    </cfRule>
  </conditionalFormatting>
  <conditionalFormatting sqref="E59:E60">
    <cfRule type="beginsWith" dxfId="8836" priority="195" stopIfTrue="1" operator="beginsWith" text="Functioning At Risk">
      <formula>LEFT(E59,LEN("Functioning At Risk"))="Functioning At Risk"</formula>
    </cfRule>
    <cfRule type="beginsWith" dxfId="8835" priority="196" stopIfTrue="1" operator="beginsWith" text="Not Functioning">
      <formula>LEFT(E59,LEN("Not Functioning"))="Not Functioning"</formula>
    </cfRule>
    <cfRule type="containsText" dxfId="8834" priority="197" operator="containsText" text="Functioning">
      <formula>NOT(ISERROR(SEARCH("Functioning",E59)))</formula>
    </cfRule>
  </conditionalFormatting>
  <conditionalFormatting sqref="D5:D9">
    <cfRule type="beginsWith" dxfId="8833" priority="174" stopIfTrue="1" operator="beginsWith" text="Functioning At Risk">
      <formula>LEFT(D5,LEN("Functioning At Risk"))="Functioning At Risk"</formula>
    </cfRule>
    <cfRule type="beginsWith" dxfId="8832" priority="175" stopIfTrue="1" operator="beginsWith" text="Not Functioning">
      <formula>LEFT(D5,LEN("Not Functioning"))="Not Functioning"</formula>
    </cfRule>
    <cfRule type="containsText" dxfId="8831" priority="176" operator="containsText" text="Functioning">
      <formula>NOT(ISERROR(SEARCH("Functioning",D5)))</formula>
    </cfRule>
  </conditionalFormatting>
  <conditionalFormatting sqref="E95:E97">
    <cfRule type="beginsWith" dxfId="8830" priority="186" stopIfTrue="1" operator="beginsWith" text="Functioning At Risk">
      <formula>LEFT(E95,LEN("Functioning At Risk"))="Functioning At Risk"</formula>
    </cfRule>
    <cfRule type="beginsWith" dxfId="8829" priority="187" stopIfTrue="1" operator="beginsWith" text="Not Functioning">
      <formula>LEFT(E95,LEN("Not Functioning"))="Not Functioning"</formula>
    </cfRule>
    <cfRule type="containsText" dxfId="8828" priority="188" operator="containsText" text="Functioning">
      <formula>NOT(ISERROR(SEARCH("Functioning",E95)))</formula>
    </cfRule>
  </conditionalFormatting>
  <conditionalFormatting sqref="E99:E100">
    <cfRule type="beginsWith" dxfId="8827" priority="183" stopIfTrue="1" operator="beginsWith" text="Functioning At Risk">
      <formula>LEFT(E99,LEN("Functioning At Risk"))="Functioning At Risk"</formula>
    </cfRule>
    <cfRule type="beginsWith" dxfId="8826" priority="184" stopIfTrue="1" operator="beginsWith" text="Not Functioning">
      <formula>LEFT(E99,LEN("Not Functioning"))="Not Functioning"</formula>
    </cfRule>
    <cfRule type="containsText" dxfId="8825" priority="185" operator="containsText" text="Functioning">
      <formula>NOT(ISERROR(SEARCH("Functioning",E99)))</formula>
    </cfRule>
  </conditionalFormatting>
  <conditionalFormatting sqref="C28:D28 H29:K31 H35:K40 C32:D40 E47:E48 E65:E80 E87:E88 E105:E120">
    <cfRule type="expression" dxfId="8824" priority="173">
      <formula>$B$18="Ephemeral"</formula>
    </cfRule>
  </conditionalFormatting>
  <conditionalFormatting sqref="E47:E48 E65:E80 E87:E88 E105:E120">
    <cfRule type="expression" dxfId="8823" priority="172" stopIfTrue="1">
      <formula>ISBLANK($B$18)</formula>
    </cfRule>
  </conditionalFormatting>
  <conditionalFormatting sqref="A18">
    <cfRule type="beginsWith" dxfId="8822" priority="150" stopIfTrue="1" operator="beginsWith" text="Functioning At Risk">
      <formula>LEFT(A18,LEN("Functioning At Risk"))="Functioning At Risk"</formula>
    </cfRule>
    <cfRule type="beginsWith" dxfId="8821" priority="151" stopIfTrue="1" operator="beginsWith" text="Not Functioning">
      <formula>LEFT(A18,LEN("Not Functioning"))="Not Functioning"</formula>
    </cfRule>
    <cfRule type="containsText" dxfId="8820" priority="152" operator="containsText" text="Functioning">
      <formula>NOT(ISERROR(SEARCH("Functioning",A18)))</formula>
    </cfRule>
  </conditionalFormatting>
  <conditionalFormatting sqref="C51:D53">
    <cfRule type="beginsWith" dxfId="8819" priority="144" stopIfTrue="1" operator="beginsWith" text="Functioning At Risk">
      <formula>LEFT(C51,LEN("Functioning At Risk"))="Functioning At Risk"</formula>
    </cfRule>
    <cfRule type="beginsWith" dxfId="8818" priority="145" stopIfTrue="1" operator="beginsWith" text="Not Functioning">
      <formula>LEFT(C51,LEN("Not Functioning"))="Not Functioning"</formula>
    </cfRule>
    <cfRule type="containsText" dxfId="8817" priority="146" operator="containsText" text="Functioning">
      <formula>NOT(ISERROR(SEARCH("Functioning",C51)))</formula>
    </cfRule>
  </conditionalFormatting>
  <conditionalFormatting sqref="B51">
    <cfRule type="beginsWith" dxfId="8816" priority="141" stopIfTrue="1" operator="beginsWith" text="Functioning At Risk">
      <formula>LEFT(B51,LEN("Functioning At Risk"))="Functioning At Risk"</formula>
    </cfRule>
    <cfRule type="beginsWith" dxfId="8815" priority="142" stopIfTrue="1" operator="beginsWith" text="Not Functioning">
      <formula>LEFT(B51,LEN("Not Functioning"))="Not Functioning"</formula>
    </cfRule>
    <cfRule type="containsText" dxfId="8814" priority="143" operator="containsText" text="Functioning">
      <formula>NOT(ISERROR(SEARCH("Functioning",B51)))</formula>
    </cfRule>
  </conditionalFormatting>
  <conditionalFormatting sqref="E52">
    <cfRule type="beginsWith" dxfId="8813" priority="138" stopIfTrue="1" operator="beginsWith" text="Functioning At Risk">
      <formula>LEFT(E52,LEN("Functioning At Risk"))="Functioning At Risk"</formula>
    </cfRule>
    <cfRule type="beginsWith" dxfId="8812" priority="139" stopIfTrue="1" operator="beginsWith" text="Not Functioning">
      <formula>LEFT(E52,LEN("Not Functioning"))="Not Functioning"</formula>
    </cfRule>
    <cfRule type="containsText" dxfId="8811" priority="140" operator="containsText" text="Functioning">
      <formula>NOT(ISERROR(SEARCH("Functioning",E52)))</formula>
    </cfRule>
  </conditionalFormatting>
  <conditionalFormatting sqref="E51">
    <cfRule type="beginsWith" dxfId="8810" priority="135" stopIfTrue="1" operator="beginsWith" text="Functioning At Risk">
      <formula>LEFT(E51,LEN("Functioning At Risk"))="Functioning At Risk"</formula>
    </cfRule>
    <cfRule type="beginsWith" dxfId="8809" priority="136" stopIfTrue="1" operator="beginsWith" text="Not Functioning">
      <formula>LEFT(E51,LEN("Not Functioning"))="Not Functioning"</formula>
    </cfRule>
    <cfRule type="containsText" dxfId="8808" priority="137" operator="containsText" text="Functioning">
      <formula>NOT(ISERROR(SEARCH("Functioning",E51)))</formula>
    </cfRule>
  </conditionalFormatting>
  <conditionalFormatting sqref="E51">
    <cfRule type="expression" dxfId="8807" priority="134" stopIfTrue="1">
      <formula>ISBLANK($B$18)</formula>
    </cfRule>
  </conditionalFormatting>
  <conditionalFormatting sqref="E53:E54">
    <cfRule type="beginsWith" dxfId="8806" priority="131" stopIfTrue="1" operator="beginsWith" text="Functioning At Risk">
      <formula>LEFT(E53,LEN("Functioning At Risk"))="Functioning At Risk"</formula>
    </cfRule>
    <cfRule type="beginsWith" dxfId="8805" priority="132" stopIfTrue="1" operator="beginsWith" text="Not Functioning">
      <formula>LEFT(E53,LEN("Not Functioning"))="Not Functioning"</formula>
    </cfRule>
    <cfRule type="containsText" dxfId="8804" priority="133" operator="containsText" text="Functioning">
      <formula>NOT(ISERROR(SEARCH("Functioning",E53)))</formula>
    </cfRule>
  </conditionalFormatting>
  <conditionalFormatting sqref="C91:D93">
    <cfRule type="beginsWith" dxfId="8803" priority="125" stopIfTrue="1" operator="beginsWith" text="Functioning At Risk">
      <formula>LEFT(C91,LEN("Functioning At Risk"))="Functioning At Risk"</formula>
    </cfRule>
    <cfRule type="beginsWith" dxfId="8802" priority="126" stopIfTrue="1" operator="beginsWith" text="Not Functioning">
      <formula>LEFT(C91,LEN("Not Functioning"))="Not Functioning"</formula>
    </cfRule>
    <cfRule type="containsText" dxfId="8801" priority="127" operator="containsText" text="Functioning">
      <formula>NOT(ISERROR(SEARCH("Functioning",C91)))</formula>
    </cfRule>
  </conditionalFormatting>
  <conditionalFormatting sqref="B91">
    <cfRule type="beginsWith" dxfId="8800" priority="122" stopIfTrue="1" operator="beginsWith" text="Functioning At Risk">
      <formula>LEFT(B91,LEN("Functioning At Risk"))="Functioning At Risk"</formula>
    </cfRule>
    <cfRule type="beginsWith" dxfId="8799" priority="123" stopIfTrue="1" operator="beginsWith" text="Not Functioning">
      <formula>LEFT(B91,LEN("Not Functioning"))="Not Functioning"</formula>
    </cfRule>
    <cfRule type="containsText" dxfId="8798" priority="124" operator="containsText" text="Functioning">
      <formula>NOT(ISERROR(SEARCH("Functioning",B91)))</formula>
    </cfRule>
  </conditionalFormatting>
  <conditionalFormatting sqref="E92">
    <cfRule type="beginsWith" dxfId="8797" priority="119" stopIfTrue="1" operator="beginsWith" text="Functioning At Risk">
      <formula>LEFT(E92,LEN("Functioning At Risk"))="Functioning At Risk"</formula>
    </cfRule>
    <cfRule type="beginsWith" dxfId="8796" priority="120" stopIfTrue="1" operator="beginsWith" text="Not Functioning">
      <formula>LEFT(E92,LEN("Not Functioning"))="Not Functioning"</formula>
    </cfRule>
    <cfRule type="containsText" dxfId="8795" priority="121" operator="containsText" text="Functioning">
      <formula>NOT(ISERROR(SEARCH("Functioning",E92)))</formula>
    </cfRule>
  </conditionalFormatting>
  <conditionalFormatting sqref="E91">
    <cfRule type="beginsWith" dxfId="8794" priority="116" stopIfTrue="1" operator="beginsWith" text="Functioning At Risk">
      <formula>LEFT(E91,LEN("Functioning At Risk"))="Functioning At Risk"</formula>
    </cfRule>
    <cfRule type="beginsWith" dxfId="8793" priority="117" stopIfTrue="1" operator="beginsWith" text="Not Functioning">
      <formula>LEFT(E91,LEN("Not Functioning"))="Not Functioning"</formula>
    </cfRule>
    <cfRule type="containsText" dxfId="8792" priority="118" operator="containsText" text="Functioning">
      <formula>NOT(ISERROR(SEARCH("Functioning",E91)))</formula>
    </cfRule>
  </conditionalFormatting>
  <conditionalFormatting sqref="E91">
    <cfRule type="expression" dxfId="8791" priority="115" stopIfTrue="1">
      <formula>ISBLANK($B$18)</formula>
    </cfRule>
  </conditionalFormatting>
  <conditionalFormatting sqref="E93:E94">
    <cfRule type="beginsWith" dxfId="8790" priority="112" stopIfTrue="1" operator="beginsWith" text="Functioning At Risk">
      <formula>LEFT(E93,LEN("Functioning At Risk"))="Functioning At Risk"</formula>
    </cfRule>
    <cfRule type="beginsWith" dxfId="8789" priority="113" stopIfTrue="1" operator="beginsWith" text="Not Functioning">
      <formula>LEFT(E93,LEN("Not Functioning"))="Not Functioning"</formula>
    </cfRule>
    <cfRule type="containsText" dxfId="8788" priority="114" operator="containsText" text="Functioning">
      <formula>NOT(ISERROR(SEARCH("Functioning",E93)))</formula>
    </cfRule>
  </conditionalFormatting>
  <conditionalFormatting sqref="D18:D19 D15">
    <cfRule type="beginsWith" dxfId="8787" priority="109" stopIfTrue="1" operator="beginsWith" text="Functioning At Risk">
      <formula>LEFT(D15,LEN("Functioning At Risk"))="Functioning At Risk"</formula>
    </cfRule>
    <cfRule type="beginsWith" dxfId="8786" priority="110" stopIfTrue="1" operator="beginsWith" text="Not Functioning">
      <formula>LEFT(D15,LEN("Not Functioning"))="Not Functioning"</formula>
    </cfRule>
    <cfRule type="containsText" dxfId="8785" priority="111" operator="containsText" text="Functioning">
      <formula>NOT(ISERROR(SEARCH("Functioning",D15)))</formula>
    </cfRule>
  </conditionalFormatting>
  <conditionalFormatting sqref="D16">
    <cfRule type="beginsWith" dxfId="8784" priority="106" stopIfTrue="1" operator="beginsWith" text="Functioning At Risk">
      <formula>LEFT(D16,LEN("Functioning At Risk"))="Functioning At Risk"</formula>
    </cfRule>
    <cfRule type="beginsWith" dxfId="8783" priority="107" stopIfTrue="1" operator="beginsWith" text="Not Functioning">
      <formula>LEFT(D16,LEN("Not Functioning"))="Not Functioning"</formula>
    </cfRule>
    <cfRule type="containsText" dxfId="8782" priority="108" operator="containsText" text="Functioning">
      <formula>NOT(ISERROR(SEARCH("Functioning",D16)))</formula>
    </cfRule>
  </conditionalFormatting>
  <conditionalFormatting sqref="D20">
    <cfRule type="beginsWith" dxfId="8781" priority="103" stopIfTrue="1" operator="beginsWith" text="Functioning At Risk">
      <formula>LEFT(D20,LEN("Functioning At Risk"))="Functioning At Risk"</formula>
    </cfRule>
    <cfRule type="beginsWith" dxfId="8780" priority="104" stopIfTrue="1" operator="beginsWith" text="Not Functioning">
      <formula>LEFT(D20,LEN("Not Functioning"))="Not Functioning"</formula>
    </cfRule>
    <cfRule type="containsText" dxfId="8779" priority="105" operator="containsText" text="Functioning">
      <formula>NOT(ISERROR(SEARCH("Functioning",D20)))</formula>
    </cfRule>
  </conditionalFormatting>
  <conditionalFormatting sqref="H11">
    <cfRule type="beginsWith" dxfId="8778" priority="100" stopIfTrue="1" operator="beginsWith" text="Functioning At Risk">
      <formula>LEFT(H11,LEN("Functioning At Risk"))="Functioning At Risk"</formula>
    </cfRule>
    <cfRule type="beginsWith" dxfId="8777" priority="101" stopIfTrue="1" operator="beginsWith" text="Not Functioning">
      <formula>LEFT(H11,LEN("Not Functioning"))="Not Functioning"</formula>
    </cfRule>
    <cfRule type="containsText" dxfId="8776" priority="102" operator="containsText" text="Functioning">
      <formula>NOT(ISERROR(SEARCH("Functioning",H11)))</formula>
    </cfRule>
  </conditionalFormatting>
  <conditionalFormatting sqref="E49:E50">
    <cfRule type="beginsWith" dxfId="8775" priority="97" stopIfTrue="1" operator="beginsWith" text="Functioning At Risk">
      <formula>LEFT(E49,LEN("Functioning At Risk"))="Functioning At Risk"</formula>
    </cfRule>
    <cfRule type="beginsWith" dxfId="8774" priority="98" stopIfTrue="1" operator="beginsWith" text="Not Functioning">
      <formula>LEFT(E49,LEN("Not Functioning"))="Not Functioning"</formula>
    </cfRule>
    <cfRule type="containsText" dxfId="8773" priority="99" operator="containsText" text="Functioning">
      <formula>NOT(ISERROR(SEARCH("Functioning",E49)))</formula>
    </cfRule>
  </conditionalFormatting>
  <conditionalFormatting sqref="E89:E90">
    <cfRule type="beginsWith" dxfId="8772" priority="94" stopIfTrue="1" operator="beginsWith" text="Functioning At Risk">
      <formula>LEFT(E89,LEN("Functioning At Risk"))="Functioning At Risk"</formula>
    </cfRule>
    <cfRule type="beginsWith" dxfId="8771" priority="95" stopIfTrue="1" operator="beginsWith" text="Not Functioning">
      <formula>LEFT(E89,LEN("Not Functioning"))="Not Functioning"</formula>
    </cfRule>
    <cfRule type="containsText" dxfId="8770" priority="96" operator="containsText" text="Functioning">
      <formula>NOT(ISERROR(SEARCH("Functioning",E89)))</formula>
    </cfRule>
  </conditionalFormatting>
  <conditionalFormatting sqref="A6:A9">
    <cfRule type="beginsWith" dxfId="8769" priority="85" stopIfTrue="1" operator="beginsWith" text="Functioning At Risk">
      <formula>LEFT(A6,LEN("Functioning At Risk"))="Functioning At Risk"</formula>
    </cfRule>
    <cfRule type="beginsWith" dxfId="8768" priority="86" stopIfTrue="1" operator="beginsWith" text="Not Functioning">
      <formula>LEFT(A6,LEN("Not Functioning"))="Not Functioning"</formula>
    </cfRule>
    <cfRule type="containsText" dxfId="8767" priority="87" operator="containsText" text="Functioning">
      <formula>NOT(ISERROR(SEARCH("Functioning",A6)))</formula>
    </cfRule>
  </conditionalFormatting>
  <conditionalFormatting sqref="E61:E62">
    <cfRule type="beginsWith" dxfId="8766" priority="82" stopIfTrue="1" operator="beginsWith" text="Functioning At Risk">
      <formula>LEFT(E61,LEN("Functioning At Risk"))="Functioning At Risk"</formula>
    </cfRule>
    <cfRule type="beginsWith" dxfId="8765" priority="83" stopIfTrue="1" operator="beginsWith" text="Not Functioning">
      <formula>LEFT(E61,LEN("Not Functioning"))="Not Functioning"</formula>
    </cfRule>
    <cfRule type="containsText" dxfId="8764" priority="84" operator="containsText" text="Functioning">
      <formula>NOT(ISERROR(SEARCH("Functioning",E61)))</formula>
    </cfRule>
  </conditionalFormatting>
  <conditionalFormatting sqref="E63">
    <cfRule type="beginsWith" dxfId="8763" priority="79" stopIfTrue="1" operator="beginsWith" text="Functioning At Risk">
      <formula>LEFT(E63,LEN("Functioning At Risk"))="Functioning At Risk"</formula>
    </cfRule>
    <cfRule type="beginsWith" dxfId="8762" priority="80" stopIfTrue="1" operator="beginsWith" text="Not Functioning">
      <formula>LEFT(E63,LEN("Not Functioning"))="Not Functioning"</formula>
    </cfRule>
    <cfRule type="containsText" dxfId="8761" priority="81" operator="containsText" text="Functioning">
      <formula>NOT(ISERROR(SEARCH("Functioning",E63)))</formula>
    </cfRule>
  </conditionalFormatting>
  <conditionalFormatting sqref="E64">
    <cfRule type="beginsWith" dxfId="8760" priority="76" stopIfTrue="1" operator="beginsWith" text="Functioning At Risk">
      <formula>LEFT(E64,LEN("Functioning At Risk"))="Functioning At Risk"</formula>
    </cfRule>
    <cfRule type="beginsWith" dxfId="8759" priority="77" stopIfTrue="1" operator="beginsWith" text="Not Functioning">
      <formula>LEFT(E64,LEN("Not Functioning"))="Not Functioning"</formula>
    </cfRule>
    <cfRule type="containsText" dxfId="8758" priority="78" operator="containsText" text="Functioning">
      <formula>NOT(ISERROR(SEARCH("Functioning",E64)))</formula>
    </cfRule>
  </conditionalFormatting>
  <conditionalFormatting sqref="E101:E102">
    <cfRule type="beginsWith" dxfId="8757" priority="73" stopIfTrue="1" operator="beginsWith" text="Functioning At Risk">
      <formula>LEFT(E101,LEN("Functioning At Risk"))="Functioning At Risk"</formula>
    </cfRule>
    <cfRule type="beginsWith" dxfId="8756" priority="74" stopIfTrue="1" operator="beginsWith" text="Not Functioning">
      <formula>LEFT(E101,LEN("Not Functioning"))="Not Functioning"</formula>
    </cfRule>
    <cfRule type="containsText" dxfId="8755" priority="75" operator="containsText" text="Functioning">
      <formula>NOT(ISERROR(SEARCH("Functioning",E101)))</formula>
    </cfRule>
  </conditionalFormatting>
  <conditionalFormatting sqref="E103">
    <cfRule type="beginsWith" dxfId="8754" priority="70" stopIfTrue="1" operator="beginsWith" text="Functioning At Risk">
      <formula>LEFT(E103,LEN("Functioning At Risk"))="Functioning At Risk"</formula>
    </cfRule>
    <cfRule type="beginsWith" dxfId="8753" priority="71" stopIfTrue="1" operator="beginsWith" text="Not Functioning">
      <formula>LEFT(E103,LEN("Not Functioning"))="Not Functioning"</formula>
    </cfRule>
    <cfRule type="containsText" dxfId="8752" priority="72" operator="containsText" text="Functioning">
      <formula>NOT(ISERROR(SEARCH("Functioning",E103)))</formula>
    </cfRule>
  </conditionalFormatting>
  <conditionalFormatting sqref="E104">
    <cfRule type="beginsWith" dxfId="8751" priority="67" stopIfTrue="1" operator="beginsWith" text="Functioning At Risk">
      <formula>LEFT(E104,LEN("Functioning At Risk"))="Functioning At Risk"</formula>
    </cfRule>
    <cfRule type="beginsWith" dxfId="8750" priority="68" stopIfTrue="1" operator="beginsWith" text="Not Functioning">
      <formula>LEFT(E104,LEN("Not Functioning"))="Not Functioning"</formula>
    </cfRule>
    <cfRule type="containsText" dxfId="8749" priority="69" operator="containsText" text="Functioning">
      <formula>NOT(ISERROR(SEARCH("Functioning",E104)))</formula>
    </cfRule>
  </conditionalFormatting>
  <conditionalFormatting sqref="F70 F47:F48 F55:F58">
    <cfRule type="beginsWith" dxfId="8748" priority="52" stopIfTrue="1" operator="beginsWith" text="Functioning At Risk">
      <formula>LEFT(F47,LEN("Functioning At Risk"))="Functioning At Risk"</formula>
    </cfRule>
    <cfRule type="beginsWith" dxfId="8747" priority="53" stopIfTrue="1" operator="beginsWith" text="Not Functioning">
      <formula>LEFT(F47,LEN("Not Functioning"))="Not Functioning"</formula>
    </cfRule>
    <cfRule type="containsText" dxfId="8746" priority="54" operator="containsText" text="Functioning">
      <formula>NOT(ISERROR(SEARCH("Functioning",F47)))</formula>
    </cfRule>
  </conditionalFormatting>
  <conditionalFormatting sqref="F59:F60">
    <cfRule type="beginsWith" dxfId="8745" priority="49" stopIfTrue="1" operator="beginsWith" text="Functioning At Risk">
      <formula>LEFT(F59,LEN("Functioning At Risk"))="Functioning At Risk"</formula>
    </cfRule>
    <cfRule type="beginsWith" dxfId="8744" priority="50" stopIfTrue="1" operator="beginsWith" text="Not Functioning">
      <formula>LEFT(F59,LEN("Not Functioning"))="Not Functioning"</formula>
    </cfRule>
    <cfRule type="containsText" dxfId="8743" priority="51" operator="containsText" text="Functioning">
      <formula>NOT(ISERROR(SEARCH("Functioning",F59)))</formula>
    </cfRule>
  </conditionalFormatting>
  <conditionalFormatting sqref="F79:F80">
    <cfRule type="beginsWith" dxfId="8742" priority="46" stopIfTrue="1" operator="beginsWith" text="Functioning At Risk">
      <formula>LEFT(F79,LEN("Functioning At Risk"))="Functioning At Risk"</formula>
    </cfRule>
    <cfRule type="beginsWith" dxfId="8741" priority="47" stopIfTrue="1" operator="beginsWith" text="Not Functioning">
      <formula>LEFT(F79,LEN("Not Functioning"))="Not Functioning"</formula>
    </cfRule>
    <cfRule type="containsText" dxfId="8740" priority="48" operator="containsText" text="Functioning">
      <formula>NOT(ISERROR(SEARCH("Functioning",F79)))</formula>
    </cfRule>
  </conditionalFormatting>
  <conditionalFormatting sqref="F75:F78">
    <cfRule type="beginsWith" dxfId="8739" priority="43" stopIfTrue="1" operator="beginsWith" text="Functioning At Risk">
      <formula>LEFT(F75,LEN("Functioning At Risk"))="Functioning At Risk"</formula>
    </cfRule>
    <cfRule type="beginsWith" dxfId="8738" priority="44" stopIfTrue="1" operator="beginsWith" text="Not Functioning">
      <formula>LEFT(F75,LEN("Not Functioning"))="Not Functioning"</formula>
    </cfRule>
    <cfRule type="containsText" dxfId="8737" priority="45" operator="containsText" text="Functioning">
      <formula>NOT(ISERROR(SEARCH("Functioning",F75)))</formula>
    </cfRule>
  </conditionalFormatting>
  <conditionalFormatting sqref="F63">
    <cfRule type="beginsWith" dxfId="8736" priority="40" stopIfTrue="1" operator="beginsWith" text="Functioning At Risk">
      <formula>LEFT(F63,LEN("Functioning At Risk"))="Functioning At Risk"</formula>
    </cfRule>
    <cfRule type="beginsWith" dxfId="8735" priority="41" stopIfTrue="1" operator="beginsWith" text="Not Functioning">
      <formula>LEFT(F63,LEN("Not Functioning"))="Not Functioning"</formula>
    </cfRule>
    <cfRule type="containsText" dxfId="8734" priority="42" operator="containsText" text="Functioning">
      <formula>NOT(ISERROR(SEARCH("Functioning",F63)))</formula>
    </cfRule>
  </conditionalFormatting>
  <conditionalFormatting sqref="F49:F50">
    <cfRule type="beginsWith" dxfId="8733" priority="37" stopIfTrue="1" operator="beginsWith" text="Functioning At Risk">
      <formula>LEFT(F49,LEN("Functioning At Risk"))="Functioning At Risk"</formula>
    </cfRule>
    <cfRule type="beginsWith" dxfId="8732" priority="38" stopIfTrue="1" operator="beginsWith" text="Not Functioning">
      <formula>LEFT(F49,LEN("Not Functioning"))="Not Functioning"</formula>
    </cfRule>
    <cfRule type="containsText" dxfId="8731" priority="39" operator="containsText" text="Functioning">
      <formula>NOT(ISERROR(SEARCH("Functioning",F49)))</formula>
    </cfRule>
  </conditionalFormatting>
  <conditionalFormatting sqref="F52">
    <cfRule type="beginsWith" dxfId="8730" priority="34" stopIfTrue="1" operator="beginsWith" text="Functioning At Risk">
      <formula>LEFT(F52,LEN("Functioning At Risk"))="Functioning At Risk"</formula>
    </cfRule>
    <cfRule type="beginsWith" dxfId="8729" priority="35" stopIfTrue="1" operator="beginsWith" text="Not Functioning">
      <formula>LEFT(F52,LEN("Not Functioning"))="Not Functioning"</formula>
    </cfRule>
    <cfRule type="containsText" dxfId="8728" priority="36" operator="containsText" text="Functioning">
      <formula>NOT(ISERROR(SEARCH("Functioning",F52)))</formula>
    </cfRule>
  </conditionalFormatting>
  <conditionalFormatting sqref="F67">
    <cfRule type="beginsWith" dxfId="8727" priority="31" stopIfTrue="1" operator="beginsWith" text="Functioning At Risk">
      <formula>LEFT(F67,LEN("Functioning At Risk"))="Functioning At Risk"</formula>
    </cfRule>
    <cfRule type="beginsWith" dxfId="8726" priority="32" stopIfTrue="1" operator="beginsWith" text="Not Functioning">
      <formula>LEFT(F67,LEN("Not Functioning"))="Not Functioning"</formula>
    </cfRule>
    <cfRule type="containsText" dxfId="8725" priority="33" operator="containsText" text="Functioning">
      <formula>NOT(ISERROR(SEARCH("Functioning",F67)))</formula>
    </cfRule>
  </conditionalFormatting>
  <conditionalFormatting sqref="F64">
    <cfRule type="beginsWith" dxfId="8724" priority="28" stopIfTrue="1" operator="beginsWith" text="Functioning At Risk">
      <formula>LEFT(F64,LEN("Functioning At Risk"))="Functioning At Risk"</formula>
    </cfRule>
    <cfRule type="beginsWith" dxfId="8723" priority="29" stopIfTrue="1" operator="beginsWith" text="Not Functioning">
      <formula>LEFT(F64,LEN("Not Functioning"))="Not Functioning"</formula>
    </cfRule>
    <cfRule type="containsText" dxfId="8722" priority="30" operator="containsText" text="Functioning">
      <formula>NOT(ISERROR(SEARCH("Functioning",F64)))</formula>
    </cfRule>
  </conditionalFormatting>
  <conditionalFormatting sqref="F110 F87:F88 F95:F98">
    <cfRule type="beginsWith" dxfId="8721" priority="25" stopIfTrue="1" operator="beginsWith" text="Functioning At Risk">
      <formula>LEFT(F87,LEN("Functioning At Risk"))="Functioning At Risk"</formula>
    </cfRule>
    <cfRule type="beginsWith" dxfId="8720" priority="26" stopIfTrue="1" operator="beginsWith" text="Not Functioning">
      <formula>LEFT(F87,LEN("Not Functioning"))="Not Functioning"</formula>
    </cfRule>
    <cfRule type="containsText" dxfId="8719" priority="27" operator="containsText" text="Functioning">
      <formula>NOT(ISERROR(SEARCH("Functioning",F87)))</formula>
    </cfRule>
  </conditionalFormatting>
  <conditionalFormatting sqref="F99:F100">
    <cfRule type="beginsWith" dxfId="8718" priority="22" stopIfTrue="1" operator="beginsWith" text="Functioning At Risk">
      <formula>LEFT(F99,LEN("Functioning At Risk"))="Functioning At Risk"</formula>
    </cfRule>
    <cfRule type="beginsWith" dxfId="8717" priority="23" stopIfTrue="1" operator="beginsWith" text="Not Functioning">
      <formula>LEFT(F99,LEN("Not Functioning"))="Not Functioning"</formula>
    </cfRule>
    <cfRule type="containsText" dxfId="8716" priority="24" operator="containsText" text="Functioning">
      <formula>NOT(ISERROR(SEARCH("Functioning",F99)))</formula>
    </cfRule>
  </conditionalFormatting>
  <conditionalFormatting sqref="F119:F120">
    <cfRule type="beginsWith" dxfId="8715" priority="19" stopIfTrue="1" operator="beginsWith" text="Functioning At Risk">
      <formula>LEFT(F119,LEN("Functioning At Risk"))="Functioning At Risk"</formula>
    </cfRule>
    <cfRule type="beginsWith" dxfId="8714" priority="20" stopIfTrue="1" operator="beginsWith" text="Not Functioning">
      <formula>LEFT(F119,LEN("Not Functioning"))="Not Functioning"</formula>
    </cfRule>
    <cfRule type="containsText" dxfId="8713" priority="21" operator="containsText" text="Functioning">
      <formula>NOT(ISERROR(SEARCH("Functioning",F119)))</formula>
    </cfRule>
  </conditionalFormatting>
  <conditionalFormatting sqref="F115:F118">
    <cfRule type="beginsWith" dxfId="8712" priority="16" stopIfTrue="1" operator="beginsWith" text="Functioning At Risk">
      <formula>LEFT(F115,LEN("Functioning At Risk"))="Functioning At Risk"</formula>
    </cfRule>
    <cfRule type="beginsWith" dxfId="8711" priority="17" stopIfTrue="1" operator="beginsWith" text="Not Functioning">
      <formula>LEFT(F115,LEN("Not Functioning"))="Not Functioning"</formula>
    </cfRule>
    <cfRule type="containsText" dxfId="8710" priority="18" operator="containsText" text="Functioning">
      <formula>NOT(ISERROR(SEARCH("Functioning",F115)))</formula>
    </cfRule>
  </conditionalFormatting>
  <conditionalFormatting sqref="F103">
    <cfRule type="beginsWith" dxfId="8709" priority="13" stopIfTrue="1" operator="beginsWith" text="Functioning At Risk">
      <formula>LEFT(F103,LEN("Functioning At Risk"))="Functioning At Risk"</formula>
    </cfRule>
    <cfRule type="beginsWith" dxfId="8708" priority="14" stopIfTrue="1" operator="beginsWith" text="Not Functioning">
      <formula>LEFT(F103,LEN("Not Functioning"))="Not Functioning"</formula>
    </cfRule>
    <cfRule type="containsText" dxfId="8707" priority="15" operator="containsText" text="Functioning">
      <formula>NOT(ISERROR(SEARCH("Functioning",F103)))</formula>
    </cfRule>
  </conditionalFormatting>
  <conditionalFormatting sqref="F89:F90">
    <cfRule type="beginsWith" dxfId="8706" priority="10" stopIfTrue="1" operator="beginsWith" text="Functioning At Risk">
      <formula>LEFT(F89,LEN("Functioning At Risk"))="Functioning At Risk"</formula>
    </cfRule>
    <cfRule type="beginsWith" dxfId="8705" priority="11" stopIfTrue="1" operator="beginsWith" text="Not Functioning">
      <formula>LEFT(F89,LEN("Not Functioning"))="Not Functioning"</formula>
    </cfRule>
    <cfRule type="containsText" dxfId="8704" priority="12" operator="containsText" text="Functioning">
      <formula>NOT(ISERROR(SEARCH("Functioning",F89)))</formula>
    </cfRule>
  </conditionalFormatting>
  <conditionalFormatting sqref="F92">
    <cfRule type="beginsWith" dxfId="8703" priority="7" stopIfTrue="1" operator="beginsWith" text="Functioning At Risk">
      <formula>LEFT(F92,LEN("Functioning At Risk"))="Functioning At Risk"</formula>
    </cfRule>
    <cfRule type="beginsWith" dxfId="8702" priority="8" stopIfTrue="1" operator="beginsWith" text="Not Functioning">
      <formula>LEFT(F92,LEN("Not Functioning"))="Not Functioning"</formula>
    </cfRule>
    <cfRule type="containsText" dxfId="8701" priority="9" operator="containsText" text="Functioning">
      <formula>NOT(ISERROR(SEARCH("Functioning",F92)))</formula>
    </cfRule>
  </conditionalFormatting>
  <conditionalFormatting sqref="F107">
    <cfRule type="beginsWith" dxfId="8700" priority="4" stopIfTrue="1" operator="beginsWith" text="Functioning At Risk">
      <formula>LEFT(F107,LEN("Functioning At Risk"))="Functioning At Risk"</formula>
    </cfRule>
    <cfRule type="beginsWith" dxfId="8699" priority="5" stopIfTrue="1" operator="beginsWith" text="Not Functioning">
      <formula>LEFT(F107,LEN("Not Functioning"))="Not Functioning"</formula>
    </cfRule>
    <cfRule type="containsText" dxfId="8698" priority="6" operator="containsText" text="Functioning">
      <formula>NOT(ISERROR(SEARCH("Functioning",F107)))</formula>
    </cfRule>
  </conditionalFormatting>
  <conditionalFormatting sqref="F104">
    <cfRule type="beginsWith" dxfId="8697" priority="1" stopIfTrue="1" operator="beginsWith" text="Functioning At Risk">
      <formula>LEFT(F104,LEN("Functioning At Risk"))="Functioning At Risk"</formula>
    </cfRule>
    <cfRule type="beginsWith" dxfId="8696" priority="2" stopIfTrue="1" operator="beginsWith" text="Not Functioning">
      <formula>LEFT(F104,LEN("Not Functioning"))="Not Functioning"</formula>
    </cfRule>
    <cfRule type="containsText" dxfId="8695" priority="3" operator="containsText" text="Functioning">
      <formula>NOT(ISERROR(SEARCH("Functioning",F104)))</formula>
    </cfRule>
  </conditionalFormatting>
  <dataValidations count="14">
    <dataValidation type="decimal" allowBlank="1" showErrorMessage="1" prompt="The user should input a value for either basal area or density, not both. " sqref="E59:E62 E99:E102">
      <formula1>0</formula1>
      <formula2>5280</formula2>
    </dataValidation>
    <dataValidation allowBlank="1" showErrorMessage="1" prompt="The user should input a value for either basal area or density, not both. " sqref="E63:E64 E103:E104"/>
    <dataValidation allowBlank="1" showInputMessage="1" showErrorMessage="1" prompt="The user should not input values for all 4 measurement methods. If the user is not using TMI, then the remaining 3 measurement methods should be used together." sqref="E75:E78 E115:E118"/>
    <dataValidation allowBlank="1" showErrorMessage="1" prompt="The user can only input a value for either leaf litter processing rate or shredders for organic matter, not both. " sqref="E72 E112"/>
    <dataValidation type="decimal" allowBlank="1" showInputMessage="1" showErrorMessage="1" sqref="E55:E58 E95:E98">
      <formula1>0</formula1>
      <formula2>5280</formula2>
    </dataValidation>
    <dataValidation allowBlank="1" showInputMessage="1" showErrorMessage="1" prompt="This measurement method should be used in combination with either Erosion Rate or Dominant BEHI/NBS." sqref="E53 E93"/>
    <dataValidation allowBlank="1" showInputMessage="1" showErrorMessage="1" prompt="The user should input a value for either BEHI/NBS or Erosion Rate, not both. " sqref="E51 E91"/>
    <dataValidation allowBlank="1" showErrorMessage="1" prompt="Select catchment conditon level from the completed catchment assessment form. " sqref="E45:E46 E85:E86"/>
    <dataValidation type="list" allowBlank="1" showErrorMessage="1" sqref="B12">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52 E92">
      <formula1>BEHI.NBS</formula1>
    </dataValidation>
    <dataValidation type="list" allowBlank="1" showErrorMessage="1" sqref="B14">
      <formula1>BedMaterial</formula1>
    </dataValidation>
    <dataValidation allowBlank="1" showErrorMessage="1" sqref="B13 E105 E65 E54 E94"/>
    <dataValidation type="list" allowBlank="1" showErrorMessage="1" sqref="B10:B11">
      <formula1>StreamType</formula1>
    </dataValidation>
    <dataValidation allowBlank="1" showInputMessage="1" showErrorMessage="1" prompt="The user should only input a value for either LWDI or # Pieces, not both. " sqref="E49:E50 E89:E90"/>
  </dataValidations>
  <pageMargins left="0.25" right="0.25" top="0.75" bottom="0.75" header="0.3" footer="0.3"/>
  <pageSetup paperSize="3" fitToWidth="0" fitToHeight="0" orientation="landscape" r:id="rId1"/>
  <headerFooter>
    <oddHeader>&amp;C&amp;"-,Bold"TN SQT v1.0
Quantification Tool Spreadsheet Reach 2</oddHeader>
  </headerFooter>
  <rowBreaks count="2" manualBreakCount="2">
    <brk id="41" max="16383" man="1"/>
    <brk id="81" max="16383" man="1"/>
  </row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'Pull Down Notes'!$B$100:$B$103</xm:f>
          </x14:formula1>
          <xm:sqref>B21</xm:sqref>
        </x14:dataValidation>
        <x14:dataValidation type="list" allowBlank="1" showInputMessage="1" showErrorMessage="1">
          <x14:formula1>
            <xm:f>'Pull Down Notes'!$B$96:$B$98</xm:f>
          </x14:formula1>
          <xm:sqref>B20</xm:sqref>
        </x14:dataValidation>
        <x14:dataValidation type="list" allowBlank="1" showInputMessage="1" showErrorMessage="1">
          <x14:formula1>
            <xm:f>'Pull Down Notes'!$B$93:$B$94</xm:f>
          </x14:formula1>
          <xm:sqref>B19</xm:sqref>
        </x14:dataValidation>
        <x14:dataValidation type="list" allowBlank="1" showErrorMessage="1">
          <x14:formula1>
            <xm:f>'Pull Down Notes'!$B$107:$B$108</xm:f>
          </x14:formula1>
          <xm:sqref>B18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3"/>
  <sheetViews>
    <sheetView topLeftCell="A355" zoomScale="70" zoomScaleNormal="70" zoomScalePageLayoutView="70" workbookViewId="0">
      <selection activeCell="E358" sqref="E358"/>
    </sheetView>
  </sheetViews>
  <sheetFormatPr defaultColWidth="8.88671875" defaultRowHeight="14.4" x14ac:dyDescent="0.3"/>
  <cols>
    <col min="1" max="1" width="35.88671875" style="14" bestFit="1" customWidth="1"/>
    <col min="2" max="2" width="35.6640625" style="14" bestFit="1" customWidth="1"/>
    <col min="3" max="4" width="24" style="14" customWidth="1"/>
    <col min="5" max="6" width="12.88671875" style="14" customWidth="1"/>
    <col min="7" max="7" width="10.5546875" style="14" customWidth="1"/>
    <col min="8" max="8" width="10.6640625" style="14" customWidth="1"/>
    <col min="9" max="9" width="12.5546875" style="316" customWidth="1"/>
    <col min="10" max="10" width="10.5546875" style="14" customWidth="1"/>
    <col min="11" max="11" width="12.5546875" style="316" customWidth="1"/>
    <col min="12" max="12" width="18.5546875" style="14" customWidth="1"/>
    <col min="13" max="13" width="13.6640625" style="14" customWidth="1"/>
    <col min="14" max="16384" width="8.88671875" style="14"/>
  </cols>
  <sheetData>
    <row r="1" spans="1:15" ht="21" x14ac:dyDescent="0.4">
      <c r="A1" s="544" t="s">
        <v>131</v>
      </c>
      <c r="B1" s="545"/>
      <c r="C1" s="545"/>
      <c r="D1" s="545"/>
      <c r="E1" s="545"/>
      <c r="F1" s="546"/>
      <c r="G1" s="544" t="s">
        <v>18</v>
      </c>
      <c r="H1" s="545"/>
      <c r="I1" s="545"/>
      <c r="J1" s="545"/>
      <c r="K1" s="546"/>
      <c r="L1" s="21"/>
    </row>
    <row r="2" spans="1:15" ht="15.6" x14ac:dyDescent="0.3">
      <c r="A2" s="158" t="s">
        <v>1</v>
      </c>
      <c r="B2" s="158" t="s">
        <v>2</v>
      </c>
      <c r="C2" s="542" t="s">
        <v>3</v>
      </c>
      <c r="D2" s="644"/>
      <c r="E2" s="158" t="s">
        <v>15</v>
      </c>
      <c r="F2" s="158" t="s">
        <v>16</v>
      </c>
      <c r="G2" s="158" t="s">
        <v>19</v>
      </c>
      <c r="H2" s="158" t="s">
        <v>20</v>
      </c>
      <c r="I2" s="314" t="s">
        <v>20</v>
      </c>
      <c r="J2" s="158" t="s">
        <v>21</v>
      </c>
      <c r="K2" s="315" t="s">
        <v>21</v>
      </c>
      <c r="L2" s="21"/>
    </row>
    <row r="3" spans="1:15" ht="15.6" x14ac:dyDescent="0.3">
      <c r="A3" s="540" t="s">
        <v>60</v>
      </c>
      <c r="B3" s="299" t="s">
        <v>86</v>
      </c>
      <c r="C3" s="52" t="s">
        <v>388</v>
      </c>
      <c r="D3" s="52"/>
      <c r="E3" s="162"/>
      <c r="F3" s="338" t="str">
        <f>IF(E3="","",IF(E3&lt;=0,0,IF(E3&gt;=0.95,1,ROUND('Reference Standards'!C$14*E3+'Reference Standards'!C$15,2))))</f>
        <v/>
      </c>
      <c r="G3" s="83" t="str">
        <f>IFERROR(AVERAGE(F3),"")</f>
        <v/>
      </c>
      <c r="H3" s="522" t="str">
        <f>IFERROR(ROUND(AVERAGE(G3:G4),2),"")</f>
        <v/>
      </c>
      <c r="I3" s="519" t="str">
        <f>IF(H3="","",IF(H3&gt;0.69,"Functioning",IF(H3&gt;0.29,"Functioning At Risk",IF(H3&gt;-1,"Not Functioning"))))</f>
        <v/>
      </c>
      <c r="J3" s="559" t="str">
        <f>IF(AND(H3="",H5="",H7="",H29="",H33=""),"",ROUND((IF(H3="",0,H3)*0.2)+(IF(H5="",0,H5)*0.2)+(IF(H7="",0,H7)*0.2)+(IF(H29="",0,H29)*0.2)+(IF(H33="",0,H33)*0.2),2))</f>
        <v/>
      </c>
      <c r="K3" s="555" t="str">
        <f>IF(J3="","",IF(J3&lt;0.3, "Not Functioning",IF(OR(H3&lt;0.7,H5&lt;0.7,H7&lt;0.7,H29&lt;0.7,H33&lt;0.7),"Functioning At Risk",IF(J3&lt;0.7,"Functioning At Risk","Functioning"))))</f>
        <v/>
      </c>
      <c r="L3" s="21"/>
      <c r="N3" s="19"/>
    </row>
    <row r="4" spans="1:15" ht="15.6" x14ac:dyDescent="0.3">
      <c r="A4" s="541"/>
      <c r="B4" s="371" t="s">
        <v>128</v>
      </c>
      <c r="C4" s="373" t="s">
        <v>161</v>
      </c>
      <c r="D4" s="374"/>
      <c r="E4" s="43"/>
      <c r="F4" s="372" t="str">
        <f>IF(E4="","",IF(E4&gt;=1,1,IF(E4&lt;=0,0,ROUND(E4,2))))</f>
        <v/>
      </c>
      <c r="G4" s="367" t="str">
        <f>IFERROR(AVERAGE(F4:F4),"")</f>
        <v/>
      </c>
      <c r="H4" s="523"/>
      <c r="I4" s="519"/>
      <c r="J4" s="559"/>
      <c r="K4" s="555"/>
      <c r="L4" s="21"/>
      <c r="N4" s="19"/>
    </row>
    <row r="5" spans="1:15" ht="15.6" x14ac:dyDescent="0.3">
      <c r="A5" s="524" t="s">
        <v>6</v>
      </c>
      <c r="B5" s="572" t="s">
        <v>7</v>
      </c>
      <c r="C5" s="54" t="s">
        <v>8</v>
      </c>
      <c r="D5" s="54"/>
      <c r="E5" s="162"/>
      <c r="F5" s="339" t="str">
        <f>IF(E5="","",ROUND(IF(E5&gt;1.6,0,IF(E5&lt;=1,1,E5^2*'Reference Standards'!K$14+E5*'Reference Standards'!K$15+'Reference Standards'!K$16)),2))</f>
        <v/>
      </c>
      <c r="G5" s="579" t="str">
        <f>IFERROR(AVERAGE(F5:F6),"")</f>
        <v/>
      </c>
      <c r="H5" s="579" t="str">
        <f>IFERROR(ROUND(AVERAGE(G5),2),"")</f>
        <v/>
      </c>
      <c r="I5" s="569" t="str">
        <f>IF(H5="","",IF(H5&gt;0.69,"Functioning",IF(H5&gt;0.29,"Functioning At Risk",IF(H5&gt;-1,"Not Functioning"))))</f>
        <v/>
      </c>
      <c r="J5" s="559"/>
      <c r="K5" s="555"/>
      <c r="L5" s="21"/>
      <c r="N5" s="19"/>
      <c r="O5" s="19"/>
    </row>
    <row r="6" spans="1:15" ht="15.6" x14ac:dyDescent="0.3">
      <c r="A6" s="525"/>
      <c r="B6" s="572"/>
      <c r="C6" s="54" t="s">
        <v>9</v>
      </c>
      <c r="D6" s="54"/>
      <c r="E6" s="163"/>
      <c r="F6" s="339" t="str">
        <f>IF(E6="","",(IF(OR('Quantification Tool R2'!B$11="A",'Quantification Tool R2'!B$11="B",'Quantification Tool R2'!$B$11="Bc"),IF(E6&lt;1.2,0,IF(E6&gt;=2.2,1,ROUND(IF(E6&lt;1.4,E6*'Reference Standards'!$K$84+'Reference Standards'!$K$85,E6*'Reference Standards'!$L$84+'Reference Standards'!$L$85),2))),IF(OR('Quantification Tool R2'!B$11="C",'Quantification Tool R2'!B$11="E"),IF(E6&lt;2,0,IF(E6&gt;=5,1,ROUND(IF(E6&lt;2.4,E6*'Reference Standards'!$L$49+'Reference Standards'!$L$50,E6*'Reference Standards'!$K$49+'Reference Standards'!$K$50),2)))))))</f>
        <v/>
      </c>
      <c r="G6" s="581"/>
      <c r="H6" s="580"/>
      <c r="I6" s="570"/>
      <c r="J6" s="559"/>
      <c r="K6" s="555"/>
      <c r="L6" s="21"/>
      <c r="N6" s="19"/>
      <c r="O6" s="19"/>
    </row>
    <row r="7" spans="1:15" ht="15.6" x14ac:dyDescent="0.3">
      <c r="A7" s="526" t="s">
        <v>26</v>
      </c>
      <c r="B7" s="557" t="s">
        <v>27</v>
      </c>
      <c r="C7" s="60" t="s">
        <v>333</v>
      </c>
      <c r="D7" s="244"/>
      <c r="E7" s="61"/>
      <c r="F7" s="340" t="str">
        <f>IF(E7="","",IF(OR(LEFT('Quantification Tool R2'!$B$12,2)="65",LEFT('Quantification Tool R2'!$B$12,2)="66",LEFT('Quantification Tool R2'!$B$12,2)="71"),IF(E7&gt;=850,1,IF(E7&lt;250,ROUND('Reference Standards'!$S$17*(E7)+'Reference Standards'!$S$18,2),ROUND('Reference Standards'!$T$17*E7+'Reference Standards'!$T$18,2))),  IF(E7&gt;=345,1,IF(E7&lt;=180,ROUND('Reference Standards'!$U$17*(E7)+'Reference Standards'!$U$18,2),ROUND('Reference Standards'!$V$17*E7+'Reference Standards'!$V$18,2))))    )</f>
        <v/>
      </c>
      <c r="G7" s="528" t="str">
        <f>IFERROR(AVERAGE(F7:F8),"")</f>
        <v/>
      </c>
      <c r="H7" s="566" t="str">
        <f>IFERROR(ROUND(AVERAGE(G7:G28),2),"")</f>
        <v/>
      </c>
      <c r="I7" s="555" t="str">
        <f>IF(H7="","",IF(H7&gt;0.69,"Functioning",IF(H7&gt;0.29,"Functioning At Risk",IF(H7&gt;-1,"Not Functioning"))))</f>
        <v/>
      </c>
      <c r="J7" s="559"/>
      <c r="K7" s="555"/>
      <c r="L7" s="21"/>
      <c r="N7" s="19"/>
      <c r="O7" s="19"/>
    </row>
    <row r="8" spans="1:15" ht="15.6" x14ac:dyDescent="0.3">
      <c r="A8" s="520"/>
      <c r="B8" s="558"/>
      <c r="C8" s="63" t="s">
        <v>323</v>
      </c>
      <c r="D8" s="245"/>
      <c r="E8" s="53"/>
      <c r="F8" s="341" t="str">
        <f>IF(E8="","",IF(OR(LEFT('Quantification Tool R2'!$B$12,2)="65",LEFT('Quantification Tool R2'!$B$12,2)="66",LEFT('Quantification Tool R2'!$B$12,2)="71"),IF(E8&gt;=30,1,IF(E8&lt;13,ROUND('Reference Standards'!$S$53*(E8)+'Reference Standards'!$S$54,2),ROUND('Reference Standards'!$T$53*E8+'Reference Standards'!$T$54,2))),  IF(E8&gt;=16,1,IF(E8&lt;=9,ROUND('Reference Standards'!$U$53*(E8)+'Reference Standards'!$U$54,2),ROUND('Reference Standards'!$V$53*E8+'Reference Standards'!$V$54,2))))    )</f>
        <v/>
      </c>
      <c r="G8" s="530"/>
      <c r="H8" s="566"/>
      <c r="I8" s="555"/>
      <c r="J8" s="559"/>
      <c r="K8" s="555"/>
      <c r="L8" s="21"/>
      <c r="N8" s="19"/>
      <c r="O8" s="19"/>
    </row>
    <row r="9" spans="1:15" ht="15.6" x14ac:dyDescent="0.3">
      <c r="A9" s="520"/>
      <c r="B9" s="520" t="s">
        <v>395</v>
      </c>
      <c r="C9" s="58" t="s">
        <v>80</v>
      </c>
      <c r="D9" s="58"/>
      <c r="E9" s="165"/>
      <c r="F9" s="340" t="str">
        <f>IF(E9="","",ROUND(IF(E9&gt;0.7,0,IF(E9&lt;=0.1,1,E9^3*'Reference Standards'!S$87+E9^2*'Reference Standards'!S$88+E9*'Reference Standards'!S$89+'Reference Standards'!S$90)),2))</f>
        <v/>
      </c>
      <c r="G9" s="528" t="str">
        <f>IFERROR(ROUND(AVERAGE(F9:F12),2),"")</f>
        <v/>
      </c>
      <c r="H9" s="567"/>
      <c r="I9" s="555"/>
      <c r="J9" s="559"/>
      <c r="K9" s="555"/>
      <c r="L9" s="21"/>
      <c r="N9" s="19"/>
      <c r="O9" s="19"/>
    </row>
    <row r="10" spans="1:15" ht="15.6" x14ac:dyDescent="0.3">
      <c r="A10" s="520"/>
      <c r="B10" s="520"/>
      <c r="C10" s="58" t="s">
        <v>49</v>
      </c>
      <c r="D10" s="58"/>
      <c r="E10" s="165"/>
      <c r="F10" s="84" t="str">
        <f>IF(E10="","",IF(OR(E10="Ex/Ex",E10="Ex/VH"),0, IF(OR(E10="Ex/H",E10="VH/Ex",E10="VH/VH", E10="H/Ex",E10="H/VH",E10="M/Ex"),0.1,IF(OR(E10="Ex/M",E10="VH/H",E10="H/H", E10="M/VH"),0.2, IF(OR(E10="Ex/L",E10="VH/M",E10="H/M", E10="M/H",E10="L/Ex"),0.3, IF(OR(E10="Ex/VL",E10="VH/L",E10="H/L"),0.4, IF(OR(E10="VH/VL",E10="H/VL",E10="M/M", E10="L/VH"),0.5, IF(OR(E10="M/L",E10="L/H"),0.6, IF(OR(E10="M/VL",E10="L/M"),0.7, IF(OR(E10="L/L",E10="L/VL"),1))))))))))</f>
        <v/>
      </c>
      <c r="G10" s="529"/>
      <c r="H10" s="567"/>
      <c r="I10" s="555"/>
      <c r="J10" s="559"/>
      <c r="K10" s="555"/>
      <c r="L10" s="21"/>
      <c r="N10" s="19"/>
      <c r="O10" s="19"/>
    </row>
    <row r="11" spans="1:15" ht="15.6" x14ac:dyDescent="0.3">
      <c r="A11" s="520"/>
      <c r="B11" s="520"/>
      <c r="C11" s="58" t="s">
        <v>87</v>
      </c>
      <c r="D11" s="58"/>
      <c r="E11" s="165"/>
      <c r="F11" s="84" t="str">
        <f>IF(E11="","",ROUND(IF(E11&gt;40,0,IF(E11&lt;5,1,E11^3*'Reference Standards'!S$122+E11^2*'Reference Standards'!S$123+E11*'Reference Standards'!S$124+'Reference Standards'!S$125)),2))</f>
        <v/>
      </c>
      <c r="G11" s="529"/>
      <c r="H11" s="567"/>
      <c r="I11" s="555"/>
      <c r="J11" s="559"/>
      <c r="K11" s="555"/>
      <c r="L11" s="21"/>
      <c r="N11" s="19"/>
      <c r="O11" s="19"/>
    </row>
    <row r="12" spans="1:15" ht="15.6" x14ac:dyDescent="0.3">
      <c r="A12" s="520"/>
      <c r="B12" s="521"/>
      <c r="C12" s="59" t="s">
        <v>394</v>
      </c>
      <c r="D12" s="59"/>
      <c r="E12" s="167"/>
      <c r="F12" s="341" t="str">
        <f>IF(E12="","",ROUND(IF(E12&gt;=30,0,IF(E12&lt;=0,1,E12*'Reference Standards'!S$156+'Reference Standards'!S$157)),2))</f>
        <v/>
      </c>
      <c r="G12" s="530"/>
      <c r="H12" s="567"/>
      <c r="I12" s="555"/>
      <c r="J12" s="559"/>
      <c r="K12" s="555"/>
      <c r="L12" s="21"/>
      <c r="N12" s="19"/>
      <c r="O12" s="19"/>
    </row>
    <row r="13" spans="1:15" ht="15.6" x14ac:dyDescent="0.3">
      <c r="A13" s="520"/>
      <c r="B13" s="520" t="s">
        <v>50</v>
      </c>
      <c r="C13" s="60" t="s">
        <v>377</v>
      </c>
      <c r="D13" s="64"/>
      <c r="E13" s="136"/>
      <c r="F13" s="294" t="str">
        <f>IF(E13="","",ROUND(IF(E13&gt;9.2,1,E13*'Reference Standards'!$S$189+'Reference Standards'!$S$190),2))</f>
        <v/>
      </c>
      <c r="G13" s="552" t="str">
        <f>IFERROR(ROUND(AVERAGE(F13:F22),2),"")</f>
        <v/>
      </c>
      <c r="H13" s="567"/>
      <c r="I13" s="555"/>
      <c r="J13" s="559"/>
      <c r="K13" s="555"/>
      <c r="L13" s="21"/>
      <c r="N13" s="19"/>
      <c r="O13" s="19"/>
    </row>
    <row r="14" spans="1:15" ht="15.6" x14ac:dyDescent="0.3">
      <c r="A14" s="520"/>
      <c r="B14" s="520"/>
      <c r="C14" s="62" t="s">
        <v>378</v>
      </c>
      <c r="D14" s="58"/>
      <c r="E14" s="162"/>
      <c r="F14" s="294" t="str">
        <f>IF(E14="","",ROUND(IF(E14&gt;9.2,1,E14*'Reference Standards'!$S$189+'Reference Standards'!$S$190),2))</f>
        <v/>
      </c>
      <c r="G14" s="553"/>
      <c r="H14" s="567"/>
      <c r="I14" s="555"/>
      <c r="J14" s="559"/>
      <c r="K14" s="555"/>
      <c r="L14" s="21"/>
      <c r="N14" s="19"/>
      <c r="O14" s="19"/>
    </row>
    <row r="15" spans="1:15" ht="15.6" x14ac:dyDescent="0.3">
      <c r="A15" s="520"/>
      <c r="B15" s="520"/>
      <c r="C15" s="62" t="s">
        <v>379</v>
      </c>
      <c r="D15" s="58"/>
      <c r="E15" s="162"/>
      <c r="F15" s="294" t="str">
        <f>IF(E15="","",ROUND( IF(E15&gt;=200,1,IF(E15&lt;50, E15^2*'Reference Standards'!S$224+E15*'Reference Standards'!S$225+'Reference Standards'!S$226, E15*'Reference Standards'!T$224+'Reference Standards'!T$225)),2))</f>
        <v/>
      </c>
      <c r="G15" s="553"/>
      <c r="H15" s="567"/>
      <c r="I15" s="555"/>
      <c r="J15" s="559"/>
      <c r="K15" s="555"/>
      <c r="L15" s="21"/>
      <c r="N15" s="19"/>
      <c r="O15" s="19"/>
    </row>
    <row r="16" spans="1:15" ht="15.6" x14ac:dyDescent="0.3">
      <c r="A16" s="520"/>
      <c r="B16" s="520"/>
      <c r="C16" s="62" t="s">
        <v>380</v>
      </c>
      <c r="D16" s="58"/>
      <c r="E16" s="162"/>
      <c r="F16" s="294" t="str">
        <f>IF(E16="","",ROUND( IF(E16&gt;=200,1,IF(E16&lt;50, E16^2*'Reference Standards'!S$224+E16*'Reference Standards'!S$225+'Reference Standards'!S$226, E16*'Reference Standards'!T$224+'Reference Standards'!T$225)),2))</f>
        <v/>
      </c>
      <c r="G16" s="553"/>
      <c r="H16" s="567"/>
      <c r="I16" s="555"/>
      <c r="J16" s="559"/>
      <c r="K16" s="555"/>
      <c r="L16" s="21"/>
      <c r="N16" s="19"/>
      <c r="O16" s="19"/>
    </row>
    <row r="17" spans="1:15" ht="15.6" x14ac:dyDescent="0.3">
      <c r="A17" s="520"/>
      <c r="B17" s="520"/>
      <c r="C17" s="58" t="s">
        <v>381</v>
      </c>
      <c r="D17" s="58"/>
      <c r="E17" s="162"/>
      <c r="F17" s="294" t="str">
        <f>IF(E17="","",ROUND(IF(AND(E17&gt;=135,E17&lt;=262),1,IF(  E17&gt;=366,0.5, IF(E17&lt;135,E17*'Reference Standards'!S$259+'Reference Standards'!S$260, E17*'Reference Standards'!T$259+'Reference Standards'!T$260))),2))</f>
        <v/>
      </c>
      <c r="G17" s="553"/>
      <c r="H17" s="567"/>
      <c r="I17" s="555"/>
      <c r="J17" s="559"/>
      <c r="K17" s="555"/>
      <c r="L17" s="21"/>
      <c r="N17" s="19"/>
      <c r="O17" s="19"/>
    </row>
    <row r="18" spans="1:15" ht="15.6" x14ac:dyDescent="0.3">
      <c r="A18" s="520"/>
      <c r="B18" s="520"/>
      <c r="C18" s="58" t="s">
        <v>382</v>
      </c>
      <c r="D18" s="58"/>
      <c r="E18" s="162"/>
      <c r="F18" s="294" t="str">
        <f>IF(E18="","",ROUND(IF(AND(E18&gt;=135,E18&lt;=262),1,IF(  E18&gt;=366,0.5, IF(E18&lt;135,E18*'Reference Standards'!S$259+'Reference Standards'!S$260, E18*'Reference Standards'!T$259+'Reference Standards'!T$260))),2))</f>
        <v/>
      </c>
      <c r="G18" s="553"/>
      <c r="H18" s="567"/>
      <c r="I18" s="555"/>
      <c r="J18" s="559"/>
      <c r="K18" s="555"/>
      <c r="L18" s="21"/>
      <c r="N18" s="19"/>
      <c r="O18" s="19"/>
    </row>
    <row r="19" spans="1:15" ht="15.6" x14ac:dyDescent="0.3">
      <c r="A19" s="520"/>
      <c r="B19" s="520"/>
      <c r="C19" s="58" t="s">
        <v>383</v>
      </c>
      <c r="D19" s="58"/>
      <c r="E19" s="162"/>
      <c r="F19" s="84" t="str">
        <f>IF(E19="","",ROUND(IF(E19&gt;=75,1,IF(E19&lt;=0,0,E19*'Reference Standards'!S$330)),2))</f>
        <v/>
      </c>
      <c r="G19" s="553"/>
      <c r="H19" s="567"/>
      <c r="I19" s="555"/>
      <c r="J19" s="559"/>
      <c r="K19" s="555"/>
      <c r="L19" s="21"/>
      <c r="N19" s="19"/>
      <c r="O19" s="19"/>
    </row>
    <row r="20" spans="1:15" ht="15.6" x14ac:dyDescent="0.3">
      <c r="A20" s="520"/>
      <c r="B20" s="520"/>
      <c r="C20" s="58" t="s">
        <v>384</v>
      </c>
      <c r="D20" s="58"/>
      <c r="E20" s="162"/>
      <c r="F20" s="84" t="str">
        <f>IF(E20="","",ROUND(IF(E20&gt;=75,1,IF(E20&lt;=0,0,E20*'Reference Standards'!S$330)),2))</f>
        <v/>
      </c>
      <c r="G20" s="553"/>
      <c r="H20" s="567"/>
      <c r="I20" s="555"/>
      <c r="J20" s="559"/>
      <c r="K20" s="555"/>
      <c r="L20" s="21"/>
      <c r="N20" s="19"/>
      <c r="O20" s="19"/>
    </row>
    <row r="21" spans="1:15" ht="15.6" x14ac:dyDescent="0.3">
      <c r="A21" s="520"/>
      <c r="B21" s="520"/>
      <c r="C21" s="58" t="s">
        <v>385</v>
      </c>
      <c r="D21" s="58"/>
      <c r="E21" s="162"/>
      <c r="F21" s="294" t="str">
        <f>IF(E21="","",ROUND(IF(AND(E21&gt;=36.3,E21&lt;=68),1,IF(E21&gt;100,0,IF(E21&lt;36.3,(('Reference Standards'!S$297*(E21^2))+('Reference Standards'!S$298*E21)+'Reference Standards'!S$299),IF(E21&gt;68,(('Reference Standards'!T$297*(E21^2))+('Reference Standards'!T$298*E21)+'Reference Standards'!T$299))))),2))</f>
        <v/>
      </c>
      <c r="G21" s="553"/>
      <c r="H21" s="567"/>
      <c r="I21" s="555"/>
      <c r="J21" s="559"/>
      <c r="K21" s="555"/>
      <c r="L21" s="21"/>
      <c r="N21" s="19"/>
      <c r="O21" s="19"/>
    </row>
    <row r="22" spans="1:15" ht="15.6" x14ac:dyDescent="0.3">
      <c r="A22" s="520"/>
      <c r="B22" s="521"/>
      <c r="C22" s="58" t="s">
        <v>386</v>
      </c>
      <c r="D22" s="65"/>
      <c r="E22" s="162"/>
      <c r="F22" s="294" t="str">
        <f>IF(E22="","",ROUND(IF(AND(E22&gt;=36.3,E22&lt;=68),1,IF(E22&gt;100,0,IF(E22&lt;36.3,(('Reference Standards'!S$297*(E22^2))+('Reference Standards'!S$298*E22)+'Reference Standards'!S$299),IF(E22&gt;68,(('Reference Standards'!T$297*(E22^2))+('Reference Standards'!T$298*E22)+'Reference Standards'!T$299))))),2))</f>
        <v/>
      </c>
      <c r="G22" s="554"/>
      <c r="H22" s="567"/>
      <c r="I22" s="555"/>
      <c r="J22" s="559"/>
      <c r="K22" s="555"/>
      <c r="L22" s="21"/>
      <c r="N22" s="19"/>
      <c r="O22" s="19"/>
    </row>
    <row r="23" spans="1:15" ht="15.6" x14ac:dyDescent="0.3">
      <c r="A23" s="520"/>
      <c r="B23" s="56" t="s">
        <v>108</v>
      </c>
      <c r="C23" s="72" t="s">
        <v>130</v>
      </c>
      <c r="D23" s="58"/>
      <c r="E23" s="43"/>
      <c r="F23" s="82" t="str">
        <f>IF(E23="","",IF(OR('Quantification Tool R2'!B$14="Gravel",'Quantification Tool R2'!B$14="Cobble"),IF(E23&gt;0.1,1,IF(E23&lt;=0.01,0,ROUND(E23*'Reference Standards'!$S$362+'Reference Standards'!$S$363,2)))))</f>
        <v/>
      </c>
      <c r="G23" s="82" t="str">
        <f>IFERROR(AVERAGE(F23),"")</f>
        <v/>
      </c>
      <c r="H23" s="567"/>
      <c r="I23" s="555"/>
      <c r="J23" s="559"/>
      <c r="K23" s="555"/>
      <c r="L23" s="21"/>
      <c r="N23" s="19"/>
      <c r="O23" s="19"/>
    </row>
    <row r="24" spans="1:15" ht="15.6" x14ac:dyDescent="0.3">
      <c r="A24" s="520"/>
      <c r="B24" s="526" t="s">
        <v>51</v>
      </c>
      <c r="C24" s="64" t="s">
        <v>52</v>
      </c>
      <c r="D24" s="64"/>
      <c r="E24" s="166"/>
      <c r="F24" s="337" t="str">
        <f>IF(E24="","",IF(ISNUMBER('Quantification Tool R2'!$B$17),IF('Quantification Tool R2'!$B$17&lt;=2,IF(AND(E24&gt;=3,E24&lt;=5),1,IF(OR(E24&lt;=1,E24&gt;=7),0,ROUND(IF(E24&lt;3,E24*'Reference Standards'!S$398+'Reference Standards'!S$399,E24*'Reference Standards'!T$398+'Reference Standards'!T$399),2))),IF(E24&lt;=2.5,1,IF(E24&gt;=5.8,0,ROUND(E24*'Reference Standards'!S$430+'Reference Standards'!S$431,2))))))</f>
        <v/>
      </c>
      <c r="G24" s="528" t="str">
        <f>IFERROR(AVERAGE(F24:F27),"")</f>
        <v/>
      </c>
      <c r="H24" s="567"/>
      <c r="I24" s="555"/>
      <c r="J24" s="559"/>
      <c r="K24" s="555"/>
      <c r="L24" s="21"/>
      <c r="N24" s="19"/>
      <c r="O24" s="19"/>
    </row>
    <row r="25" spans="1:15" ht="15.6" x14ac:dyDescent="0.3">
      <c r="A25" s="520"/>
      <c r="B25" s="520"/>
      <c r="C25" s="58" t="s">
        <v>53</v>
      </c>
      <c r="D25" s="58"/>
      <c r="E25" s="165"/>
      <c r="F25" s="84" t="str">
        <f>IF(E25="","", IF( E25&gt;=2.4,1, IF(E25&lt;=1,0,  ROUND(IF(E25&lt;2.4, E25*'Reference Standards'!$S$464+'Reference Standards'!$S$465  ),2))))</f>
        <v/>
      </c>
      <c r="G25" s="529"/>
      <c r="H25" s="567"/>
      <c r="I25" s="555"/>
      <c r="J25" s="559"/>
      <c r="K25" s="555"/>
      <c r="L25" s="21"/>
      <c r="N25" s="19"/>
      <c r="O25" s="19"/>
    </row>
    <row r="26" spans="1:15" ht="15.6" x14ac:dyDescent="0.3">
      <c r="A26" s="520"/>
      <c r="B26" s="520"/>
      <c r="C26" s="58" t="s">
        <v>334</v>
      </c>
      <c r="D26" s="58"/>
      <c r="E26" s="165"/>
      <c r="F26" s="390" t="str">
        <f>IF(E26="","", IF(LEFT('Quantification Tool R2'!$B$12,2)="67",  IF( AND(E26&gt;=45,E26&lt;=65),1, IF(OR(E26&lt;=20,E26&gt;=90),0, ROUND(  IF(E26&lt;45, E26*'Reference Standards'!$S$498+'Reference Standards'!$S$499,E26*'Reference Standards'!$T$498+'Reference Standards'!$T$499),2))), IF(OR(  LEFT('Quantification Tool R2'!$B$12,2)="68", LEFT('Quantification Tool R2'!$B$12,2)="69",LEFT('Quantification Tool R2'!$B$12,2)="71"),  IF( AND(E26&gt;=30,E26&lt;=50),1, IF(OR(E26&lt;=10,E26&gt;=70),0, ROUND(  IF(E26&lt;30, E26*'Reference Standards'!$S$533+'Reference Standards'!$S$534,E26*'Reference Standards'!$T$533+'Reference Standards'!$T$534),2))), IF(LEFT('Quantification Tool R2'!$B$12,2)="66",  IF( AND(E26&gt;=20,E26&lt;=45),1, IF(OR(E26&lt;=0,E26&gt;=90),0, ROUND(  IF(E26&lt;20, E26*'Reference Standards'!$S$567+'Reference Standards'!$S$568,E26*'Reference Standards'!$T$567+'Reference Standards'!$T$568),2))), IF(OR(  LEFT('Quantification Tool R2'!$B$12,2)="65", LEFT('Quantification Tool R2'!$B$12,2)="74", LEFT('Quantification Tool R2'!$B$12,2)="73"),  IF( AND(E26&gt;=20,E26&lt;=30),1, IF(OR(E26&lt;=0,E26&gt;=50),0, ROUND(  IF(E26&lt;20, E26*'Reference Standards'!$S$601+'Reference Standards'!$S$602,E26*'Reference Standards'!$T$601+'Reference Standards'!$T$602),2))))))))</f>
        <v/>
      </c>
      <c r="G26" s="529"/>
      <c r="H26" s="567"/>
      <c r="I26" s="555"/>
      <c r="J26" s="559"/>
      <c r="K26" s="555"/>
      <c r="L26" s="21"/>
      <c r="N26" s="19"/>
      <c r="O26" s="19"/>
    </row>
    <row r="27" spans="1:15" ht="15.6" x14ac:dyDescent="0.3">
      <c r="A27" s="520"/>
      <c r="B27" s="521"/>
      <c r="C27" s="62" t="s">
        <v>210</v>
      </c>
      <c r="D27" s="58"/>
      <c r="E27" s="167"/>
      <c r="F27" s="391" t="str">
        <f>IF(E27="","",IF(E27&gt;=1.6,0,IF(E27&lt;=1,1,ROUND('Reference Standards'!$S$633*E27^3+'Reference Standards'!$S$634*E27^2+'Reference Standards'!$S$635*E27+'Reference Standards'!$S$636,2))))</f>
        <v/>
      </c>
      <c r="G27" s="530"/>
      <c r="H27" s="567"/>
      <c r="I27" s="555"/>
      <c r="J27" s="559"/>
      <c r="K27" s="555"/>
      <c r="L27" s="21"/>
      <c r="N27" s="19"/>
      <c r="O27" s="19"/>
    </row>
    <row r="28" spans="1:15" ht="15.6" x14ac:dyDescent="0.3">
      <c r="A28" s="521"/>
      <c r="B28" s="296" t="s">
        <v>55</v>
      </c>
      <c r="C28" s="242" t="s">
        <v>54</v>
      </c>
      <c r="D28" s="243"/>
      <c r="E28" s="163"/>
      <c r="F28" s="342" t="str">
        <f>IF(E28="","",IF(AND('Quantification Tool R2'!B$11="E",'Quantification Tool R2'!$B$14="Sand",'Quantification Tool R2'!$B$21="Unconfined Alluvial"),ROUND(IF(OR(E28&gt;1.8,E28&lt;1.3),0,IF(E28&lt;=1.6,1,E28*'Reference Standards'!S$667+'Reference Standards'!S$668)),2),    IF('Quantification Tool R2'!$B$21="Unconfined Alluvial",ROUND(IF(OR(E28&lt;1.2, E28&gt;1.5),0,IF(E28&lt;=1.4,1,E28*'Reference Standards'!$S$700+'Reference Standards'!$S$701)),2), IF('Quantification Tool R2'!$B$21="Confined Alluvial",ROUND(IF(E28&lt;1.15,0,IF(E28&lt;=1.4,E28*'Reference Standards'!$S$729+'Reference Standards'!$S$730,1)),2),  IF('Quantification Tool R2'!$B$21="Colluvial",ROUND(IF(E28&gt;1.3,0,IF(E28&gt;1.2,E28*'Reference Standards'!$S$760+'Reference Standards'!$S$761,1)),2) )))))</f>
        <v/>
      </c>
      <c r="G28" s="84" t="str">
        <f>IFERROR(AVERAGE(F28),"")</f>
        <v/>
      </c>
      <c r="H28" s="567"/>
      <c r="I28" s="555"/>
      <c r="J28" s="559"/>
      <c r="K28" s="555"/>
      <c r="L28" s="21"/>
      <c r="N28" s="19"/>
      <c r="O28" s="19"/>
    </row>
    <row r="29" spans="1:15" ht="15.6" x14ac:dyDescent="0.3">
      <c r="A29" s="537" t="s">
        <v>58</v>
      </c>
      <c r="B29" s="67" t="s">
        <v>88</v>
      </c>
      <c r="C29" s="70" t="s">
        <v>338</v>
      </c>
      <c r="D29" s="70"/>
      <c r="E29" s="43"/>
      <c r="F29" s="343" t="str">
        <f>IF(E29="","",ROUND(IF(E29&gt;=942,0,IF(E29&lt;=487,E29*'Reference Standards'!AB$15+'Reference Standards'!AB$16,E29*'Reference Standards'!$AC$15+'Reference Standards'!$AC$16)),2))</f>
        <v/>
      </c>
      <c r="G29" s="85" t="str">
        <f>IFERROR(AVERAGE(F29),"")</f>
        <v/>
      </c>
      <c r="H29" s="547" t="str">
        <f>IFERROR(ROUND(AVERAGE(G29:G32),2),"")</f>
        <v/>
      </c>
      <c r="I29" s="534" t="str">
        <f>IF(H29="","",IF(H29&gt;0.69,"Functioning",IF(H29&gt;0.29,"Functioning At Risk",IF(H29&gt;-1,"Not Functioning"))))</f>
        <v/>
      </c>
      <c r="J29" s="559"/>
      <c r="K29" s="555"/>
      <c r="L29" s="21"/>
      <c r="O29" s="19"/>
    </row>
    <row r="30" spans="1:15" ht="15.6" x14ac:dyDescent="0.3">
      <c r="A30" s="538"/>
      <c r="B30" s="297" t="s">
        <v>362</v>
      </c>
      <c r="C30" s="66" t="s">
        <v>354</v>
      </c>
      <c r="D30" s="66"/>
      <c r="E30" s="163"/>
      <c r="F30" s="344" t="str">
        <f>IF(E30="","",IF(OR('Quantification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June")),IF(E30&gt;93,0,IF(E30&lt;13,1,ROUND('Reference Standards'!$AB$53*E30^2+'Reference Standards'!$AB$54*E30+'Reference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R2'!$B$12="73b"),IF(E30&gt;94,0,IF(E30&lt;17,1,ROUND('Reference Standards'!$AC$53*E30^2+'Reference Standards'!$AC$54*E30+'Reference Standards'!$AC$55,2))),    IF(OR(AND(OR('Quantification Tool R2'!$B$12="68b",'Quantification Tool R2'!$B$12="71i"),'Quantification Tool R2'!$B$13&gt;2), 'Quantification Tool R2'!$B$12="71e"),IF(E30&gt;91,0,IF(E30&lt;24,1,ROUND('Reference Standards'!$AD$53*E30^2+'Reference Standards'!$AD$54*E30+'Reference Standards'!$AD$55,2))),  IF(OR(AND(OR('Quantification Tool R2'!$B$12="71f",'Quantification Tool R2'!$B$12="71g",'Quantification Tool R2'!$B$12="71h",'Quantification Tool R2'!$B$12="71i"),'Quantification Tool R2'!$B$13&lt;=2), AND('Quantification Tool R2'!$B$12="74a",'Quantification Tool R2'!$B$13&gt;2)),IF(E30&gt;95,0,IF(E30&lt;=36,1,ROUND('Reference Standards'!$AE$53*E30^2+'Reference Standards'!$AE$54*E30+'Reference Standards'!$AE$55,2))))))))</f>
        <v/>
      </c>
      <c r="G30" s="236" t="str">
        <f>IFERROR(AVERAGE(F30:F30),"")</f>
        <v/>
      </c>
      <c r="H30" s="548"/>
      <c r="I30" s="535"/>
      <c r="J30" s="559"/>
      <c r="K30" s="555"/>
      <c r="L30" s="21"/>
      <c r="O30" s="19"/>
    </row>
    <row r="31" spans="1:15" ht="15.6" x14ac:dyDescent="0.3">
      <c r="A31" s="538"/>
      <c r="B31" s="67" t="s">
        <v>81</v>
      </c>
      <c r="C31" s="68" t="s">
        <v>281</v>
      </c>
      <c r="D31" s="68"/>
      <c r="E31" s="162"/>
      <c r="F31" s="344" t="str">
        <f>IF(E31="","",IF(ISNUMBER('Quantification Tool R2'!$B$13),IF(OR('Quantification Tool R2'!$B$12="66e",'Quantification Tool R2'!$B$12="66f",'Quantification Tool R2'!$B$12="66g"),ROUND(IF(E31&gt;=0.61,0,IF(E31&lt;=0.01,1,IF(E31&lt;=0.06,E31*'Reference Standards'!$AD$197+'Reference Standards'!$AD$198,E31^2*'Reference Standards'!$AB$196+E31*'Reference Standards'!$AB$197+'Reference Standards'!$AB$198))),2),IF('Quantification Tool R2'!$B$12="68b",ROUND(IF(E31&gt;=1.1,0,IF(E31&lt;=0.17,1,IF(E31&lt;=0.22,E31*'Reference Standards'!$AE$197+'Reference Standards'!$AE$198,E31^2*'Reference Standards'!$AC$196+E31*'Reference Standards'!$AC$197+'Reference Standards'!$AC$198))),2),IF('Quantification Tool R2'!$B$13&lt;=2.5,IF('Quantification Tool R2'!$B$12="69de",ROUND(IF(E31&gt;=0.22,0,IF(E31&lt;=0.01,1,E31^2*'Reference Standards'!$AB$90+E31*'Reference Standards'!$AB$91+'Reference Standards'!$AB$92)),2),IF('Quantification Tool R2'!$B$12="68c",ROUND(IF(E31&gt;=0.87,0,IF(E31&lt;=0.01,1,E31^2*'Reference Standards'!$AC$90+E31*'Reference Standards'!$AC$91+'Reference Standards'!$AC$92)),2),IF('Quantification Tool R2'!$B$12="68a",ROUND(IF(E31&gt;=0.81,0,IF(E31&lt;=0.01,1,E31^2*'Reference Standards'!$AD$90+E31*'Reference Standards'!$AD$91+'Reference Standards'!$AD$92)),2),IF('Quantification Tool R2'!$B$12="65abei",ROUND(IF(E31&gt;=0.67,0,IF(E31&lt;=0.01,1,IF(E31&lt;=0.18,E31*'Reference Standards'!$AG$91+'Reference Standards'!$AG$92,E31*'Reference Standards'!$AE$91+'Reference Standards'!$AE$92))),2),IF('Quantification Tool R2'!$B$12="65j",ROUND(IF(E31&gt;=0.32,0,IF(E31&lt;=0.01,1,IF(E31&lt;=0.25,E31*'Reference Standards'!$AH$91+'Reference Standards'!$AH$92,E31*'Reference Standards'!$AF$91+'Reference Standards'!$AF$92))),2),IF('Quantification Tool R2'!$B$12="71f",ROUND(IF(E31&gt;=3,0,IF(E31&lt;=0,1,IF(E31&lt;=0.01,0.7,E31^2*'Reference Standards'!$AB$126+E31*'Reference Standards'!$AB$127+'Reference Standards'!$AB$128))),2),IF('Quantification Tool R2'!$B$12="74a",ROUND(IF(E31&gt;=0.14,0,IF(E31&lt;=0.01,1,IF(E31&lt;=0.02,0.7,E31^2*'Reference Standards'!$AC$126+E31*'Reference Standards'!$AC$127+'Reference Standards'!$AC$128))),2),IF(OR('Quantification Tool R2'!$B$12="67fhi",'Quantification Tool R2'!$B$12="67g"),ROUND(IF(E31&gt;=1.9,0,IF(E31&lt;=0.01,1,IF(E31&lt;=0.05,E31*'Reference Standards'!$AF$127+'Reference Standards'!$AF$128,E31^2*'Reference Standards'!$AD$126+E31*'Reference Standards'!$AD$127+'Reference Standards'!$AD$128))),2),IF('Quantification Tool R2'!$B$12="73a",ROUND(IF(E31&gt;=1.44,0,IF(E31&lt;=0.01,1,IF(E31&lt;=0.12,E31*'Reference Standards'!$AG$127+'Reference Standards'!$AG$128,E31^2*'Reference Standards'!$AE$126+E31*'Reference Standards'!$AE$127+'Reference Standards'!$AE$128))),2),IF('Quantification Tool R2'!$B$12="66d",ROUND(IF(E31&gt;=0.46,0,IF(E31&lt;=0.02,1,IF(E31&lt;=0.08,E31*'Reference Standards'!$AF$163+'Reference Standards'!$AF$164,E31^2*'Reference Standards'!$AB$162+E31*'Reference Standards'!$AB$163+'Reference Standards'!$AB$164))),2),IF(OR('Quantification Tool R2'!$B$12="71g",'Quantification Tool R2'!$B$12="71h",'Quantification Tool R2'!$B$12="71i"),ROUND(IF(E31&gt;=3,0,IF(E31&lt;=0.06,1,IF(E31&lt;=0.24,E31*'Reference Standards'!$AG$163+'Reference Standards'!$AG$164,E31^2*'Reference Standards'!$AC$162+E31*'Reference Standards'!$AC$163+'Reference Standards'!$AC$164))),2),IF('Quantification Tool R2'!$B$12="74b",ROUND(IF(E31&gt;=1.3,0,IF(E31&lt;=0.29,1,IF(E31&lt;=0.48,E31*'Reference Standards'!$AH$163+'Reference Standards'!$AH$164,E31^2*'Reference Standards'!$AD$162+E31*'Reference Standards'!$AD$163+'Reference Standards'!$AD$164))),2),IF('Quantification Tool R2'!$B$12="71e",ROUND(IF(E31&gt;=4.3,0,IF(E31&lt;=0.53,1,IF(E31&lt;=0.67,E31*'Reference Standards'!$AI$163+'Reference Standards'!$AI$164,E31^2*'Reference Standards'!$AE$162+E31*'Reference Standards'!$AE$163+'Reference Standards'!$AE$164))),2)))))))))))))),IF('Quantification Tool R2'!$B$13&gt;2.5,IF('Quantification Tool R2'!$B$12="73a",ROUND(IF(E31&gt;=0.55,0,IF(E31&lt;=0,1,E31^2*'Reference Standards'!$AB$232+E31*'Reference Standards'!$AB$233+'Reference Standards'!$AB$234)),2),IF('Quantification Tool R2'!$B$12="68a",ROUND(IF(E31&gt;=0.54,0,IF(E31&lt;=0,1,IF(E31&lt;=0.01,0.85,E31^2*'Reference Standards'!$AC$232+E31*'Reference Standards'!$AC$233+'Reference Standards'!$AC$234))),2),IF('Quantification Tool R2'!$B$12="74a",ROUND(IF(E31&gt;=0.47,0,IF(E31&lt;=0.01,1,IF(E31&lt;=0.02,0.7,E31^2*'Reference Standards'!$AD$232+E31*'Reference Standards'!$AD$233+'Reference Standards'!$AD$234))),2),IF('Quantification Tool R2'!$B$12="69de",ROUND(IF(E31&gt;=0.26,0,IF(E31&lt;=0.01,1,IF(E31&lt;=0.02,0.85,E31^2*'Reference Standards'!$AE$232+E31*'Reference Standards'!$AE$233+'Reference Standards'!$AE$234))),2),IF('Quantification Tool R2'!$B$12="71f",ROUND(IF(E31&gt;=0.87,0,IF(E31&lt;=0.01,1,IF(E31&lt;=0.04,E31*'Reference Standards'!$AF$269+'Reference Standards'!$AF$270,E31^2*'Reference Standards'!$AB$268+E31*'Reference Standards'!$AB$269+'Reference Standards'!$AB$270))),2),IF('Quantification Tool R2'!$B$12="65abei",ROUND(IF(E31&gt;=0.82,0,IF(E31&lt;=0.01,1,IF(E31&lt;=0.06,E31*'Reference Standards'!$AG$269+'Reference Standards'!$AG$270,E31^2*'Reference Standards'!$AC$268+E31*'Reference Standards'!$AC$269+'Reference Standards'!$AC$270))),2),IF('Quantification Tool R2'!$B$12="65j",ROUND(IF(E31&gt;=0.33,0,IF(E31&lt;=0.03,1,IF(E31&lt;=0.09,E31*'Reference Standards'!$AH$269+'Reference Standards'!$AH$270,E31^2*'Reference Standards'!$AD$268+E31*'Reference Standards'!$AD$269+'Reference Standards'!$AD$270))),2),IF('Quantification Tool R2'!$B$12="68c",ROUND(IF(E31&gt;=0.7,0,IF(E31&lt;=0.07,1,IF(E31&lt;=0.12,E31*'Reference Standards'!$AI$269+'Reference Standards'!$AI$270,E31^2*'Reference Standards'!$AE$268+E31*'Reference Standards'!$AE$269+'Reference Standards'!$AE$270))),2),IF(OR('Quantification Tool R2'!$B$12="67fhi",'Quantification Tool R2'!$B$12="67g"),ROUND(IF(E31&gt;=1.8,0,IF(E31&lt;=0.08,1,IF(E31&lt;=0.2,E31*'Reference Standards'!$AF$306+'Reference Standards'!$AF$307,E31^2*'Reference Standards'!$AB$305+E31*'Reference Standards'!$AB$306+'Reference Standards'!$AB$307))),2),IF('Quantification Tool R2'!$B$12="74b",ROUND(IF(E31&gt;=0.96,0,IF(E31&lt;=0.12,1,IF(E31&lt;=0.16,E31*'Reference Standards'!$AG$306+'Reference Standards'!$AG$307,E31^2*'Reference Standards'!$AC$305+E31*'Reference Standards'!$AC$306+'Reference Standards'!$AC$307))),2),IF('Quantification Tool R2'!$B$12="66d",ROUND(IF(E31&gt;=0.75,0,IF(E31&lt;=0.13,1,IF(E31&lt;=0.2,E31*'Reference Standards'!$AH$306+'Reference Standards'!$AH$307,E31^2*'Reference Standards'!$AD$305+E31*'Reference Standards'!$AD$306+'Reference Standards'!$AD$307))),2),IF(OR('Quantification Tool R2'!$B$12="71g",'Quantification Tool R2'!$B$12="71h",'Quantification Tool R2'!$B$12="71i"),ROUND(IF(E31&gt;=1.68,0,IF(E31&lt;=0.08,1,IF(E31&lt;=0.23,E31*'Reference Standards'!$AI$306+'Reference Standards'!$AI$307,E31^2*'Reference Standards'!$AE$305+E31*'Reference Standards'!$AE$306+'Reference Standards'!$AE$307))),2),IF('Quantification Tool R2'!$B$12="71e",ROUND(IF(E31&gt;=5.3,0,IF(E31&lt;=0.94,1,IF(E31&lt;=1.4,E31*'Reference Standards'!$AF$310+'Reference Standards'!$AF$311,E31^2*'Reference Standards'!$AB$309+E31*'Reference Standards'!$AB$310+'Reference Standards'!$AB$311))),2))))))))))))))))))))</f>
        <v/>
      </c>
      <c r="G31" s="86" t="str">
        <f>IFERROR(AVERAGE(F31),"")</f>
        <v/>
      </c>
      <c r="H31" s="548"/>
      <c r="I31" s="535"/>
      <c r="J31" s="559"/>
      <c r="K31" s="555"/>
      <c r="L31" s="21"/>
      <c r="O31" s="19"/>
    </row>
    <row r="32" spans="1:15" ht="15.6" x14ac:dyDescent="0.3">
      <c r="A32" s="539"/>
      <c r="B32" s="298" t="s">
        <v>82</v>
      </c>
      <c r="C32" s="66" t="s">
        <v>280</v>
      </c>
      <c r="D32" s="66"/>
      <c r="E32" s="136"/>
      <c r="F32" s="343" t="str">
        <f>IF(E32="","",IF(ISNUMBER('Quantification Tool R2'!$B$13),IF('Quantification Tool R2'!$B$13&gt;2.5,IF(OR('Quantification Tool R2'!$B$12="71h",'Quantification Tool R2'!$B$12="71i",'Quantification Tool R2'!$B$12="73a",'Quantification Tool R2'!$B$12="74a"),IF(E32&lt;=0.01,1,IF(OR('Quantification Tool R2'!$B$12="71h",'Quantification Tool R2'!$B$12="71i"),IF(E32&gt;0.37,0,ROUND(IF(E32&gt;0.03,'Reference Standards'!$AB$425*E32^2+'Reference Standards'!$AB$426*E32+'Reference Standards'!$AB$427,'Reference Standards'!$AF$426*E32+'Reference Standards'!$AF$427),2)),IF('Quantification Tool R2'!$B$12="73a",IF(E32&gt;0.405,0,ROUND(IF(E32&gt;0.046,'Reference Standards'!$AC$425*E32^2+'Reference Standards'!$AC$426*E32+'Reference Standards'!$AC$427,'Reference Standards'!$AG$426*E32+'Reference Standards'!$AG$427),2)),IF('Quantification Tool R2'!$B$12="74a",IF(E32&gt;0.3,0,ROUND(IF(E32&gt;0.052,'Reference Standards'!$AD$425*E32^2+'Reference Standards'!$AD$426*E32+'Reference Standards'!$AD$427,'Reference Standards'!$AH$426*E32+'Reference Standards'!$AH$427),2)))))),IF(E32&lt;=0.002,1,IF(OR('Quantification Tool R2'!$B$12="66d",'Quantification Tool R2'!$B$12="66e",'Quantification Tool R2'!$B$12="66g"),IF(E32&gt;0.053,0,ROUND(E32^2*'Reference Standards'!$AB$347+E32*'Reference Standards'!$AB$348+'Reference Standards'!$AB$349,2)),IF('Quantification Tool R2'!$B$12="68b",IF(E32&gt;0.05,0,ROUND(E32^2*'Reference Standards'!$AC$347+E32*'Reference Standards'!$AC$348+'Reference Standards'!$AC$349,2)),IF(OR('Quantification Tool R2'!$B$12="68a",'Quantification Tool R2'!$B$12="68c"),IF(E32&gt;0.07,0,ROUND(E32^2*'Reference Standards'!$AD$347+E32*'Reference Standards'!$AD$348+'Reference Standards'!$AD$349,2)),IF(OR('Quantification Tool R2'!$B$12="71f",'Quantification Tool R2'!$B$12="71g"),IF(E32&gt;0.13,0,ROUND(IF(E32&gt;0.042,E32*'Reference Standards'!$AE$348+'Reference Standards'!$AE$349,E32*'Reference Standards'!$AF$348+'Reference Standards'!$AF$349),2)),IF('Quantification Tool R2'!$B$12="67fhi",IF(E32&gt;0.16,0,ROUND(E32^2*'Reference Standards'!$AG$347+E32*'Reference Standards'!$AG$348+'Reference Standards'!$AG$349,2)),IF('Quantification Tool R2'!$B$12="65j",IF(E32&gt;0.035,0,ROUND(IF(E32&lt;=0.003,0.7,E32^2*'Reference Standards'!$AB$387+E32*'Reference Standards'!$AB$388+'Reference Standards'!$AB$389),2)),IF('Quantification Tool R2'!$B$12="69de",IF(E32&gt;0.037,0,ROUND(IF(E32&lt;=0.003,0.7,E32^2*'Reference Standards'!$AC$387+E32*'Reference Standards'!$AC$388+'Reference Standards'!$AC$389),2)),IF('Quantification Tool R2'!$B$12="71e",IF(E32&gt;0.23,0,ROUND(IF(E32&lt;=0.003,0.7,E32^2*'Reference Standards'!$AD$387+E32*'Reference Standards'!$AD$388+'Reference Standards'!$AD$389),2)),IF('Quantification Tool R2'!$B$12="66f",IF(E32&gt;0.06,0,ROUND(IF(E32&lt;=0.003,0.85,IF(E32&lt;=0.004,0.7,E32^2*'Reference Standards'!$AE$387+E32*'Reference Standards'!$AE$388+'Reference Standards'!$AE$389)),2)),IF('Quantification Tool R2'!$B$12="67g",IF(E32&gt;0.11,0,ROUND(IF(E32&lt;=0.01,E32*'Reference Standards'!$AH$388+'Reference Standards'!$AH$389,E32^2*'Reference Standards'!$AF$387+E32*'Reference Standards'!$AF$388+'Reference Standards'!$AF$389),2)),IF('Quantification Tool R2'!$B$12="74b",IF(E32&gt;0.49,0,ROUND(IF(E32&lt;=0.01,E32*'Reference Standards'!$AH$388+'Reference Standards'!$AH$389,E32^2*'Reference Standards'!$AG$387+E32*'Reference Standards'!$AG$388+'Reference Standards'!$AG$389),2)),IF('Quantification Tool R2'!$B$12="65abei",IF(E32&gt;0.199,0,ROUND(IF(E32&lt;=0.01,E32*'Reference Standards'!$AI$426+'Reference Standards'!$AI$427,E32^2*'Reference Standards'!$AE$425+E32*'Reference Standards'!$AE$426+'Reference Standards'!$AE$427),2)))))))))))))))),IF('Quantification Tool R2'!$B$13&lt;=2.5,IF(OR('Quantification Tool R2'!$B$12="66d",'Quantification Tool R2'!$B$12="66e",'Quantification Tool R2'!$B$12="66g"),IF(E32&gt;0.05,0,ROUND(IF(E32&lt;=0.002,1,IF(E32&lt;=0.005,E32*'Reference Standards'!$AF$464+'Reference Standards'!$AF$465,E32^2*'Reference Standards'!$AB$463+E32*'Reference Standards'!$AB$464+'Reference Standards'!$AB$465)),2)),IF('Quantification Tool R2'!$B$12="67fhi",IF(E32&gt;0.1,0,ROUND(IF(E32&lt;=0.002,1,IF(E32&lt;=0.006,E32*'Reference Standards'!$AG$464+'Reference Standards'!$AG$465,E32^2*'Reference Standards'!$AC$463+E32*'Reference Standards'!$AC$464+'Reference Standards'!$AC$465)),2)),IF('Quantification Tool R2'!$B$12="65abei",IF(E32&gt;0.13,0,ROUND(IF(E32&lt;=0.003,1,IF(E32&lt;=0.008,E32*'Reference Standards'!$AH$464+'Reference Standards'!$AH$465,E32^2*'Reference Standards'!$AD$463+E32*'Reference Standards'!$AD$464+'Reference Standards'!$AD$465)),2)),IF('Quantification Tool R2'!$B$12="68b",IF(E32&gt;0.043,0,ROUND(IF(E32&lt;=0.004,1,IF(E32&lt;=0.005,0.7,E32^2*'Reference Standards'!$AE$463+E32*'Reference Standards'!$AE$464+'Reference Standards'!$AE$465)),2)),IF('Quantification Tool R2'!$B$12="69de",IF(E32&gt;=0.034,0,ROUND(IF(E32&lt;=0.003,1,IF(E32&lt;=0.006,E32*'Reference Standards'!$AG$500+'Reference Standards'!$AG$501,E32*'Reference Standards'!$AB$500+'Reference Standards'!$AB$501)),2)),IF(OR('Quantification Tool R2'!$B$12="68a",'Quantification Tool R2'!$B$12="68c"),IF(E32&gt;0.202,0,ROUND(IF(E32&lt;=0.003,1,IF(E32&lt;=0.006,E32*'Reference Standards'!$AG$500+'Reference Standards'!$AG$501,IF(E32&gt;=0.04,E32*'Reference Standards'!$AC$500+'Reference Standards'!$AC$501,E32*'Reference Standards'!$AE$500+'Reference Standards'!$AE$501))),2)),IF(OR('Quantification Tool R2'!$B$12="71f",'Quantification Tool R2'!$B$12="71g"),IF(E32&gt;0.631,0,ROUND(IF(E32&lt;=0.003,1,IF(E32&lt;=0.006,E32*'Reference Standards'!$AG$500+'Reference Standards'!$AG$501,IF(E32&gt;=0.17,E32*'Reference Standards'!$AD$500+'Reference Standards'!$AD$501,E32*'Reference Standards'!$AF$500+'Reference Standards'!$AF$501))),2)),IF('Quantification Tool R2'!$B$12="71e",IF(E32&gt;1.23,0,ROUND(IF(E32&lt;=0.004,1,IF(E32&lt;=0.006,E32*'Reference Standards'!$AF$538+'Reference Standards'!$AF$539,E32^2*'Reference Standards'!$AB$537+E32*'Reference Standards'!$AB$538+'Reference Standards'!$AB$539)),2)),IF('Quantification Tool R2'!$B$12="67g",IF(E32&gt;0.11,0,ROUND(IF(E32&lt;=0.006,1,IF(E32&lt;=0.011,E32*'Reference Standards'!$AG$538+'Reference Standards'!$AG$539,E32^2*'Reference Standards'!$AC$537+E32*'Reference Standards'!$AC$538+'Reference Standards'!$AC$539)),2)),IF('Quantification Tool R2'!$B$12="65j",IF(E32&gt;0.046,0,ROUND(IF(E32&lt;=0.007,1,IF(E32&lt;=0.012,E32*'Reference Standards'!$AH$538+'Reference Standards'!$AH$539,E32^2*'Reference Standards'!$AD$537+E32*'Reference Standards'!$AD$538+'Reference Standards'!$AD$539)),2)),IF('Quantification Tool R2'!$B$12="66f",IF(E32&gt;0.081,0,ROUND(IF(E32&lt;=0.008,1,IF(E32&lt;=0.011,E32*'Reference Standards'!$AI$538+'Reference Standards'!$AI$539,E32^2*'Reference Standards'!$AE$537+E32*'Reference Standards'!$AE$538+'Reference Standards'!$AE$539)),2)),IF(OR('Quantification Tool R2'!$B$12="71h",'Quantification Tool R2'!$B$12="71i"),IF(E32&gt;0.37,0,ROUND(IF(E32&lt;=0.013,1,IF(E32&lt;=0.032,E32*'Reference Standards'!$AH$576+'Reference Standards'!$AH$577,IF(E32&lt;=0.3,E32*'Reference Standards'!$AF$576+'Reference Standards'!$AF$577,E32*'Reference Standards'!$AB$576+'Reference Standards'!$AB$577))),2)),IF('Quantification Tool R2'!$B$12="73a",IF(E32&gt;0.448,0,ROUND(IF(E32&lt;=0.071,1,IF(E32&lt;=0.086,E32*'Reference Standards'!$AJ$576+'Reference Standards'!$AJ$577,IF(E32&lt;=0.165,E32*'Reference Standards'!$AG$576+'Reference Standards'!$AG$577,E32*'Reference Standards'!$AE$576+'Reference Standards'!$AE$577))),2)),IF('Quantification Tool R2'!$B$12="74b",IF(E32&gt;0.43,0,ROUND(IF(E32&lt;=0.018,1,IF(E32&lt;=0.019,0.85,IF(E32&lt;=0.02,0.7,E32^2*'Reference Standards'!$AC$575+E32*'Reference Standards'!$AC$576+'Reference Standards'!$AC$577))),2)),IF('Quantification Tool R2'!$B$12="74a",IF(E32&gt;0.217,0,ROUND(IF(E32&lt;=0.02,1,IF(E32&lt;=0.033,E32*'Reference Standards'!$AI$576+'Reference Standards'!$AI$577,E32^2*'Reference Standards'!$AD$575+E32*'Reference Standards'!$AD$576+'Reference Standards'!$AD$577)),2)))))))))))))))))))))</f>
        <v/>
      </c>
      <c r="G32" s="87" t="str">
        <f>IFERROR(AVERAGE(F32),"")</f>
        <v/>
      </c>
      <c r="H32" s="549"/>
      <c r="I32" s="536"/>
      <c r="J32" s="559"/>
      <c r="K32" s="555"/>
      <c r="L32" s="21"/>
      <c r="O32" s="19"/>
    </row>
    <row r="33" spans="1:15" ht="15.6" x14ac:dyDescent="0.3">
      <c r="A33" s="550" t="s">
        <v>59</v>
      </c>
      <c r="B33" s="560" t="s">
        <v>340</v>
      </c>
      <c r="C33" s="125" t="s">
        <v>331</v>
      </c>
      <c r="D33" s="126"/>
      <c r="E33" s="166"/>
      <c r="F33" s="345" t="str">
        <f>IF(E33="","",IF(OR('Quantification Tool R2'!B$12="73a",'Quantification Tool R2'!B$12="73b"),IF(E33&lt;1,0,IF(E33&gt;=30,1,ROUND(IF(E33&lt;22,'Reference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531" t="str">
        <f>IFERROR(AVERAGE(F33:F36),"")</f>
        <v/>
      </c>
      <c r="H33" s="568" t="str">
        <f>IFERROR(ROUND(AVERAGE(G33:G38),2),"")</f>
        <v/>
      </c>
      <c r="I33" s="519" t="str">
        <f>IF(H33="","",IF(H33&gt;0.69,"Functioning",IF(H33&gt;0.29,"Functioning At Risk",IF(H33&gt;-1,"Not Functioning"))))</f>
        <v/>
      </c>
      <c r="J33" s="559"/>
      <c r="K33" s="555"/>
      <c r="L33" s="21"/>
      <c r="O33" s="19"/>
    </row>
    <row r="34" spans="1:15" ht="15.6" x14ac:dyDescent="0.3">
      <c r="A34" s="556"/>
      <c r="B34" s="561"/>
      <c r="C34" s="174" t="s">
        <v>335</v>
      </c>
      <c r="D34" s="175"/>
      <c r="E34" s="165"/>
      <c r="F34" s="346" t="str">
        <f>IF(E34="","",IF(AND('Quantification Tool R2'!$B$12="74b",'Quantification Tool R2'!$B$13&lt;=2),IF(E34&lt;0,0,IF(E34&gt;15.6,0.69,ROUND('Reference Standards'!$AL$54*E34^2+'Reference Standards'!$AL$55*E34+'Reference Standards'!$AL$56,2))),IF(AND('Quantification Tool R2'!$B$12="65abei",'Quantification Tool R2'!$B$13&lt;=2),IF(E34&lt;0,0,IF(E34&gt;=20,0.69,ROUND('Reference Standards'!$AM$54*E34^2+'Reference Standards'!$AM$55*E34+'Reference Standards'!$AM$56,2))),IF(OR(AND('Quantification Tool R2'!$B$12="74a",'Quantification Tool R2'!$B$13&gt;2,'Quantification Tool R2'!$B$19="January - June"),AND('Quantification Tool R2'!$B$12="71i",'Quantification Tool R2'!$B$13&gt;2,'Quantification Tool R2'!$B$20="SQBANK")),IF(E34&lt;0,0,IF(E34&gt;24.7,0.69,ROUND('Reference Standards'!$AN$54*E34^2+'Reference Standards'!$AN$55*E34+'Reference Standards'!$AN$56,2))),IF(OR('Quantification Tool R2'!$B$12="74b",'Quantification Tool R2'!$B$12="65abei"),IF(E34&lt;0,0,IF(E34&gt;32.7,0.69,ROUND('Reference Standards'!$AO$54*E34^2+'Reference Standards'!$AO$55*E34+'Reference Standards'!$AO$56,2))),IF(AND('Quantification Tool R2'!$B$12="68b",'Quantification Tool R2'!$B$13&gt;2),IF(E34&lt;0,0,IF(E34&gt;41.2,0.69,ROUND('Reference Standards'!$AP$54*E34^2+'Reference Standards'!$AP$55*E34+'Reference Standards'!$AP$56,2))),IF(OR(AND('Quantification Tool R2'!$B$12="71i",'Quantification Tool R2'!$B$13&lt;=2),AND(OR('Quantification Tool R2'!$B$12="68c",'Quantification Tool R2'!$B$12="68d"),'Quantification Tool R2'!$B$19="January - June")),IF(E34&lt;0,0,IF(E34&gt;49.2,0.69,ROUND('Reference Standards'!$AL$94*E34^2+'Reference Standards'!$AL$95*E34+'Reference Standards'!$AL$96,2))),IF(OR(AND('Quantification Tool R2'!$B$12="68a",'Quantification Tool R2'!$B$19="January - June"),AND(OR('Quantification Tool R2'!$B$12="68c",'Quantification Tool R2'!$B$12="68d"),'Quantification Tool R2'!$B$19="July - December")),IF(E34&lt;0,0,IF(E34&gt;53.4,0.69,ROUND('Reference Standards'!$AM$94*E34^2+'Reference Standards'!$AM$95*E34+'Reference Standards'!$AM$96,2))),IF(OR(AND('Quantification Tool R2'!$B$12="71i",'Quantification Tool R2'!$B$13&gt;2,'Quantification Tool R2'!$B$20="SQKICK"),AND(OR('Quantification Tool R2'!$B$12="67fhi",'Quantification Tool R2'!$B$12="67g"),'Quantification Tool R2'!$B$13&lt;=2),'Quantification Tool R2'!$B$12="65j"),IF(E34&lt;0,0,IF(E34&gt;57.8,0.69,ROUND('Reference Standards'!$AN$94*E34^2+'Reference Standards'!$AN$95*E34+'Reference Standards'!$AN$96,2))),IF(OR(AND('Quantification Tool R2'!$B$12="74a",'Quantification Tool R2'!$B$13&gt;2,'Quantification Tool R2'!$B$19="July - December"),AND(OR('Quantification Tool R2'!$B$12="67fhi",'Quantification Tool R2'!$B$12="67g"),'Quantification Tool R2'!$B$13&gt;2),'Quantification Tool R2'!$B$12="69de"),IF(E34&lt;0,0,IF(E34&gt;62.5,0.69,ROUND('Reference Standards'!$AO$94*E34^2+'Reference Standards'!$AO$95*E34+'Reference Standards'!$AO$96,2))),  IF(OR('Quantification Tool R2'!$B$12="66d",'Quantification Tool R2'!$B$12="66e",'Quantification Tool R2'!$B$12="66ik",'Quantification Tool R2'!$B$12="71e",'Quantification Tool R2'!$B$12="71f",'Quantification Tool R2'!$B$12="71g",'Quantification Tool R2'!$B$12="71h"),IF(E34&lt;0,0,IF(E34&gt;66.5,0.69,ROUND('Reference Standards'!$AP$94*E34^2+'Reference Standards'!$AP$95*E34+'Reference Standards'!$AP$96,2))),IF(OR('Quantification Tool R2'!$B$12="66f",'Quantification Tool R2'!$B$12="66g",'Quantification Tool R2'!$B$12="66j",AND('Quantification Tool R2'!$B$12="68a",'Quantification Tool R2'!$B$19="July - December")), IF(E34&lt;0,0,IF(E34&gt;69,0.69,ROUND('Reference Standards'!$AQ$94*E34^2+'Reference Standards'!$AQ$95*E34+'Reference Standards'!$AQ$96,2))))   )))))))))))</f>
        <v/>
      </c>
      <c r="G34" s="531"/>
      <c r="H34" s="568"/>
      <c r="I34" s="519"/>
      <c r="J34" s="559"/>
      <c r="K34" s="555"/>
      <c r="L34" s="21"/>
      <c r="O34" s="19"/>
    </row>
    <row r="35" spans="1:15" ht="15.6" x14ac:dyDescent="0.3">
      <c r="A35" s="556"/>
      <c r="B35" s="561"/>
      <c r="C35" s="174" t="s">
        <v>339</v>
      </c>
      <c r="D35" s="175"/>
      <c r="E35" s="165"/>
      <c r="F35" s="346" t="str">
        <f>IF(E35="","",IF(AND('Quantification Tool R2'!$B$12="74b",'Quantification Tool R2'!$B$13&lt;=2),IF(E35&lt;0,0,IF(E35&gt;8.1,0.69,ROUND('Reference Standards'!$AL$131*E35^2+'Reference Standards'!$AL$132*E35+'Reference Standards'!$AL$133,2))),IF(OR('Quantification Tool R2'!$B$12="73a",'Quantification Tool R2'!$B$12="73b"),IF(E35&lt;0,0,IF(E35&gt;=28,0.69,ROUND('Reference Standards'!$AM$131*E35^2+'Reference Standards'!$AM$132*E35+'Reference Standards'!$AM$133,2))),IF(AND('Quantification Tool R2'!$B$12="74a",'Quantification Tool R2'!$B$13&gt;2,'Quantification Tool R2'!$B$19="January - June"),IF(E35&lt;0,0,IF(E35&gt;=32.5,0.69,ROUND('Reference Standards'!$AN$131*E35^2+'Reference Standards'!$AN$132*E35+'Reference Standards'!$AN$133,2))),IF(AND('Quantification Tool R2'!$B$12="71i",'Quantification Tool R2'!$B$13&gt;2,'Quantification Tool R2'!$B$20="SQBANK"),IF(E35&lt;0,0,IF(E35&gt;=37,0.69,ROUND('Reference Standards'!$AO$131*E35^2+'Reference Standards'!$AO$132*E35+'Reference Standards'!$AO$133,2))),IF(OR(AND(OR('Quantification Tool R2'!$B$12="65abei",'Quantification Tool R2'!$B$12="74b"),'Quantification Tool R2'!$B$13&gt;2),AND('Quantification Tool R2'!$B$12="71i",'Quantification Tool R2'!$B$13&gt;2,'Quantification Tool R2'!$B$20="SQKICK")),IF(E35&lt;0,0,IF(E35&gt;42.6,0.69,ROUND('Reference Standards'!$AP$131*E35^2+'Reference Standards'!$AP$132*E35+'Reference Standards'!$AP$133,2))),     IF(OR(AND('Quantification Tool R2'!$B$12="65abei",'Quantification Tool R2'!$B$13&lt;=2),AND(OR('Quantification Tool R2'!$B$12="68c",'Quantification Tool R2'!$B$12="68d"),'Quantification Tool R2'!$B$19="July - December"),'Quantification Tool R2'!$B$12="71e"),IF(E35&lt;0,0,IF(E35&gt;=48,0.69,ROUND('Reference Standards'!$AL$171*E35^2+'Reference Standards'!$AL$172*E35+'Reference Standards'!$AL$173,2))),IF(OR('Quantification Tool R2'!$B$12="65j",'Quantification Tool R2'!$B$12="67fhi",'Quantification Tool R2'!$B$12="67g",AND('Quantification Tool R2'!$B$12="74a",'Quantification Tool R2'!$B$19="July - December",'Quantification Tool R2'!$B$13&gt;2),AND('Quantification Tool R2'!$B$12="71i",'Quantification Tool R2'!$B$13&lt;=2)),IF(E35&lt;0,0,IF(E35&gt;=53,0.69,ROUND('Reference Standards'!$AM$171*E35^2+'Reference Standards'!$AM$172*E35+'Reference Standards'!$AM$173,2))),IF(OR(AND(OR('Quantification Tool R2'!$B$12="68b",'Quantification Tool R2'!$B$12="71f",'Quantification Tool R2'!$B$12="71g",'Quantification Tool R2'!$B$12="71h"),'Quantification Tool R2'!$B$13&gt;2),'Quantification Tool R2'!$B$12="68a"),IF(E35&lt;0,0,IF(E35&gt;=57,0.69,ROUND('Reference Standards'!$AN$171*E35^2+'Reference Standards'!$AN$172*E35+'Reference Standards'!$AN$173,2))),IF(OR('Quantification Tool R2'!$B$12="66f",'Quantification Tool R2'!$B$12="66g",'Quantification Tool R2'!$B$12="66j",AND(OR('Quantification Tool R2'!$B$12="71f",'Quantification Tool R2'!$B$12="71g",'Quantification Tool R2'!$B$12="71h"),'Quantification Tool R2'!$B$13&lt;=2)),IF(E35&lt;0,0,IF(E35&gt;=60,0.69,ROUND('Reference Standards'!$AO$171*E35^2+'Reference Standards'!$AO$172*E35+'Reference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December")),IF(E35&lt;0,0,IF(E35&gt;=67.5,0.69,ROUND('Reference Standards'!$AP$171*E35^2+'Reference Standards'!$AP$172*E35+'Reference Standards'!$AP$173,2))),IF(AND('Quantification Tool R2'!$B$12="69de",'Quantification Tool R2'!$B$19="January - June"), IF(E35&lt;0,0,IF(E35&gt;=72,0.69,ROUND('Reference Standards'!$AQ$171*E35^2+'Reference Standards'!$AQ$172*E35+'Reference Standards'!$AQ$173,2))))   )))))))))))</f>
        <v/>
      </c>
      <c r="G35" s="531"/>
      <c r="H35" s="568"/>
      <c r="I35" s="519"/>
      <c r="J35" s="559"/>
      <c r="K35" s="555"/>
      <c r="L35" s="21"/>
      <c r="O35" s="19"/>
    </row>
    <row r="36" spans="1:15" ht="15.6" x14ac:dyDescent="0.3">
      <c r="A36" s="556"/>
      <c r="B36" s="562"/>
      <c r="C36" s="127" t="s">
        <v>336</v>
      </c>
      <c r="D36" s="71"/>
      <c r="E36" s="167"/>
      <c r="F36" s="346" t="str">
        <f>IF(E36="","",IF(OR('Quantification Tool R2'!$B$12="67fhi",'Quantification Tool R2'!$B$12="67g",'Quantification Tool R2'!$B$12="71e",'Quantification Tool R2'!$B$12="73a",'Quantification Tool R2'!$B$12="73b",AND(OR('Quantification Tool R2'!$B$12="71f",'Quantification Tool R2'!$B$12="71g",'Quantification Tool R2'!$B$12="71h"),'Quantification Tool R2'!$B$13&gt;2)),IF(E36&gt;100,0,IF(E36&lt;15,0.69,ROUND('Reference Standards'!$AL$208*E36^2+'Reference Standards'!$AL$209*E36+'Reference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),IF(E36&gt;100,0,IF(E36&lt;19,0.69,ROUND('Reference Standards'!$AM$208*E36^2+'Reference Standards'!$AM$209*E36+'Reference Standards'!$AM$210,2))),    IF(OR(AND('Quantification Tool R2'!$B$12="69de",'Quantification Tool R2'!$B$19="January - June"),AND('Quantification Tool R2'!$B$12="71i",'Quantification Tool R2'!$B$13&gt;2,'Quantification Tool R2'!$B$20="SQKICK" )),IF(E36&gt;100,0,IF(E36&lt;22,0.69,ROUND('Reference Standards'!$AN$208*E36^2+'Reference Standards'!$AN$209*E36+'Reference Standards'!$AN$210,2))),    IF(OR('Quantification Tool R2'!$B$12="65j",AND('Quantification Tool R2'!$B$12="68b",'Quantification Tool R2'!$B$13&gt;2)),IF(E36&gt;100,0,IF(E36&lt;24,0.69,ROUND('Reference Standards'!$AO$208*E36^2+'Reference Standards'!$AO$209*E36+'Reference Standards'!$AO$210,2))),    IF(AND(OR('Quantification Tool R2'!$B$12="65abei",'Quantification Tool R2'!$B$12="71f",'Quantification Tool R2'!$B$12="71g",'Quantification Tool R2'!$B$12="71h"),'Quantification Tool R2'!$B$13&lt;=2),IF(E36&gt;95,0,IF(E36&lt;33,0.69,ROUND('Reference Standards'!$AL$246*E36^2+'Reference Standards'!$AL$247*E36+'Reference Standards'!$AL$248,2))),   IF(AND(OR('Quantification Tool R2'!$B$12="65abei",'Quantification Tool R2'!$B$12="74b"),'Quantification Tool R2'!$B$13&gt;2),IF(E36&gt;97,0,IF(E36&lt;36,0.69,ROUND('Reference Standards'!$AM$246*E36^2+'Reference Standards'!$AM$247*E36+'Reference Standards'!$AM$248,2))),  IF(AND('Quantification Tool R2'!$B$12="74a",'Quantification Tool R2'!$B$19="January - June",'Quantification Tool R2'!$B$13&gt;2),IF(E36&gt;93,0,IF(E36&lt;52,0.69,ROUND('Reference Standards'!$AN$246*E36^2+'Reference Standards'!$AN$247*E36+'Reference Standards'!$AN$248,2))),   IF(AND('Quantification Tool R2'!$B$12="74b",'Quantification Tool R2'!$B$13&lt;=2),IF(E36&gt;97,0,IF(E36&lt;62,0.69,ROUND('Reference Standards'!$AO$246*E36^2+'Reference Standards'!$AO$247*E36+'Reference Standards'!$AO$248,2)))  )))))))))</f>
        <v/>
      </c>
      <c r="G36" s="531"/>
      <c r="H36" s="568"/>
      <c r="I36" s="519"/>
      <c r="J36" s="559"/>
      <c r="K36" s="555"/>
      <c r="L36" s="21"/>
      <c r="O36" s="19"/>
    </row>
    <row r="37" spans="1:15" ht="15.6" x14ac:dyDescent="0.3">
      <c r="A37" s="556"/>
      <c r="B37" s="563" t="s">
        <v>74</v>
      </c>
      <c r="C37" s="125" t="s">
        <v>211</v>
      </c>
      <c r="D37" s="126"/>
      <c r="E37" s="166"/>
      <c r="F37" s="345" t="str">
        <f>IF(E37="","",IF(E37=1,0.15,IF(E37=3,0.5,IF(E37=5,0.85,0))))</f>
        <v/>
      </c>
      <c r="G37" s="564" t="str">
        <f>IFERROR(AVERAGE(F37:F38),"")</f>
        <v/>
      </c>
      <c r="H37" s="568"/>
      <c r="I37" s="519"/>
      <c r="J37" s="559"/>
      <c r="K37" s="555"/>
      <c r="L37" s="21"/>
    </row>
    <row r="38" spans="1:15" ht="15.6" x14ac:dyDescent="0.3">
      <c r="A38" s="551"/>
      <c r="B38" s="563"/>
      <c r="C38" s="127" t="s">
        <v>332</v>
      </c>
      <c r="D38" s="71"/>
      <c r="E38" s="167"/>
      <c r="F38" s="347" t="str">
        <f>IF(E38="","",IF(E38=1,0.15,IF(E38=3,0.5,IF(E38=5,0.85,0))))</f>
        <v/>
      </c>
      <c r="G38" s="565"/>
      <c r="H38" s="568"/>
      <c r="I38" s="519"/>
      <c r="J38" s="559"/>
      <c r="K38" s="555"/>
      <c r="L38" s="21"/>
    </row>
    <row r="39" spans="1:15" x14ac:dyDescent="0.3">
      <c r="J39" s="13"/>
      <c r="K39" s="317"/>
      <c r="L39" s="21"/>
    </row>
    <row r="40" spans="1:15" ht="21" x14ac:dyDescent="0.4">
      <c r="A40" s="148" t="s">
        <v>135</v>
      </c>
      <c r="B40" s="246"/>
      <c r="C40" s="249" t="s">
        <v>324</v>
      </c>
      <c r="D40" s="246"/>
      <c r="E40" s="247"/>
      <c r="F40" s="248"/>
      <c r="G40" s="544" t="s">
        <v>18</v>
      </c>
      <c r="H40" s="545"/>
      <c r="I40" s="545"/>
      <c r="J40" s="545"/>
      <c r="K40" s="546"/>
      <c r="L40" s="21"/>
    </row>
    <row r="41" spans="1:15" ht="15.6" x14ac:dyDescent="0.3">
      <c r="A41" s="158" t="s">
        <v>1</v>
      </c>
      <c r="B41" s="158" t="s">
        <v>2</v>
      </c>
      <c r="C41" s="542" t="s">
        <v>3</v>
      </c>
      <c r="D41" s="644"/>
      <c r="E41" s="158" t="s">
        <v>15</v>
      </c>
      <c r="F41" s="158" t="s">
        <v>16</v>
      </c>
      <c r="G41" s="158" t="s">
        <v>19</v>
      </c>
      <c r="H41" s="158" t="s">
        <v>20</v>
      </c>
      <c r="I41" s="314" t="s">
        <v>20</v>
      </c>
      <c r="J41" s="158" t="s">
        <v>21</v>
      </c>
      <c r="K41" s="315" t="s">
        <v>21</v>
      </c>
    </row>
    <row r="42" spans="1:15" ht="15.6" x14ac:dyDescent="0.3">
      <c r="A42" s="540" t="s">
        <v>60</v>
      </c>
      <c r="B42" s="308" t="s">
        <v>86</v>
      </c>
      <c r="C42" s="52" t="s">
        <v>388</v>
      </c>
      <c r="D42" s="52"/>
      <c r="E42" s="162"/>
      <c r="F42" s="338" t="str">
        <f>IF(E42="","",IF(E42&lt;=0,0,IF(E42&gt;=0.95,1,ROUND('Reference Standards'!C$14*E42+'Reference Standards'!C$15,2))))</f>
        <v/>
      </c>
      <c r="G42" s="83" t="str">
        <f>IFERROR(AVERAGE(F42),"")</f>
        <v/>
      </c>
      <c r="H42" s="522" t="str">
        <f>IFERROR(ROUND(AVERAGE(G42:G43),2),"")</f>
        <v/>
      </c>
      <c r="I42" s="519" t="str">
        <f>IF(H42="","",IF(H42&gt;0.69,"Functioning",IF(H42&gt;0.29,"Functioning At Risk",IF(H42&gt;-1,"Not Functioning"))))</f>
        <v/>
      </c>
      <c r="J42" s="559" t="str">
        <f>IF(AND(H42="",H44="",H46="",H68="",H72=""),"",ROUND((IF(H42="",0,H42)*0.2)+(IF(H44="",0,H44)*0.2)+(IF(H46="",0,H46)*0.2)+(IF(H68="",0,H68)*0.2)+(IF(H72="",0,H72)*0.2),2))</f>
        <v/>
      </c>
      <c r="K42" s="555" t="str">
        <f>IF(J42="","",IF(J42&lt;0.3, "Not Functioning",IF(OR(H42&lt;0.7,H44&lt;0.7,H46&lt;0.7,H68&lt;0.7,H72&lt;0.7),"Functioning At Risk",IF(J42&lt;0.7,"Functioning At Risk","Functioning"))))</f>
        <v/>
      </c>
    </row>
    <row r="43" spans="1:15" ht="15.6" x14ac:dyDescent="0.3">
      <c r="A43" s="541"/>
      <c r="B43" s="371" t="s">
        <v>128</v>
      </c>
      <c r="C43" s="373" t="s">
        <v>161</v>
      </c>
      <c r="D43" s="374"/>
      <c r="E43" s="43"/>
      <c r="F43" s="372" t="str">
        <f>IF(E43="","",IF(E43&gt;=1,1,IF(E43&lt;=0,0,ROUND(E43,2))))</f>
        <v/>
      </c>
      <c r="G43" s="367" t="str">
        <f>IFERROR(AVERAGE(F43:F43),"")</f>
        <v/>
      </c>
      <c r="H43" s="523"/>
      <c r="I43" s="519"/>
      <c r="J43" s="559"/>
      <c r="K43" s="555"/>
    </row>
    <row r="44" spans="1:15" ht="15.6" x14ac:dyDescent="0.3">
      <c r="A44" s="524" t="s">
        <v>6</v>
      </c>
      <c r="B44" s="572" t="s">
        <v>7</v>
      </c>
      <c r="C44" s="54" t="s">
        <v>8</v>
      </c>
      <c r="D44" s="54"/>
      <c r="E44" s="162"/>
      <c r="F44" s="339" t="str">
        <f>IF(E44="","",ROUND(IF(E44&gt;1.6,0,IF(E44&lt;=1,1,E44^2*'Reference Standards'!K$14+E44*'Reference Standards'!K$15+'Reference Standards'!K$16)),2))</f>
        <v/>
      </c>
      <c r="G44" s="579" t="str">
        <f>IFERROR(AVERAGE(F44:F45),"")</f>
        <v/>
      </c>
      <c r="H44" s="579" t="str">
        <f>IFERROR(ROUND(AVERAGE(G44),2),"")</f>
        <v/>
      </c>
      <c r="I44" s="569" t="str">
        <f>IF(H44="","",IF(H44&gt;0.69,"Functioning",IF(H44&gt;0.29,"Functioning At Risk",IF(H44&gt;-1,"Not Functioning"))))</f>
        <v/>
      </c>
      <c r="J44" s="559"/>
      <c r="K44" s="555"/>
    </row>
    <row r="45" spans="1:15" ht="15.6" x14ac:dyDescent="0.3">
      <c r="A45" s="525"/>
      <c r="B45" s="572"/>
      <c r="C45" s="54" t="s">
        <v>9</v>
      </c>
      <c r="D45" s="54"/>
      <c r="E45" s="163"/>
      <c r="F45" s="339" t="str">
        <f>IF(E45="","",(IF(OR('Quantification Tool R2'!B$11="A",'Quantification Tool R2'!B$11="B",'Quantification Tool R2'!$B$11="Bc"),IF(E45&lt;1.2,0,IF(E45&gt;=2.2,1,ROUND(IF(E45&lt;1.4,E45*'Reference Standards'!$K$84+'Reference Standards'!$K$85,E45*'Reference Standards'!$L$84+'Reference Standards'!$L$85),2))),IF(OR('Quantification Tool R2'!B$11="C",'Quantification Tool R2'!B$11="E"),IF(E45&lt;2,0,IF(E45&gt;=5,1,ROUND(IF(E45&lt;2.4,E45*'Reference Standards'!$L$49+'Reference Standards'!$L$50,E45*'Reference Standards'!$K$49+'Reference Standards'!$K$50),2)))))))</f>
        <v/>
      </c>
      <c r="G45" s="581"/>
      <c r="H45" s="580"/>
      <c r="I45" s="570"/>
      <c r="J45" s="559"/>
      <c r="K45" s="555"/>
    </row>
    <row r="46" spans="1:15" ht="15.6" x14ac:dyDescent="0.3">
      <c r="A46" s="526" t="s">
        <v>26</v>
      </c>
      <c r="B46" s="557" t="s">
        <v>27</v>
      </c>
      <c r="C46" s="60" t="s">
        <v>333</v>
      </c>
      <c r="D46" s="244"/>
      <c r="E46" s="61"/>
      <c r="F46" s="340" t="str">
        <f>IF(E46="","",IF(OR(LEFT('Quantification Tool R2'!$B$12,2)="65",LEFT('Quantification Tool R2'!$B$12,2)="66",LEFT('Quantification Tool R2'!$B$12,2)="71"),IF(E46&gt;=850,1,IF(E46&lt;250,ROUND('Reference Standards'!$S$17*(E46)+'Reference Standards'!$S$18,2),ROUND('Reference Standards'!$T$17*E46+'Reference Standards'!$T$18,2))),  IF(E46&gt;=345,1,IF(E46&lt;=180,ROUND('Reference Standards'!$U$17*(E46)+'Reference Standards'!$U$18,2),ROUND('Reference Standards'!$V$17*E46+'Reference Standards'!$V$18,2))))    )</f>
        <v/>
      </c>
      <c r="G46" s="528" t="str">
        <f>IFERROR(AVERAGE(F46:F47),"")</f>
        <v/>
      </c>
      <c r="H46" s="566" t="str">
        <f>IFERROR(ROUND(AVERAGE(G46:G67),2),"")</f>
        <v/>
      </c>
      <c r="I46" s="555" t="str">
        <f>IF(H46="","",IF(H46&gt;0.69,"Functioning",IF(H46&gt;0.29,"Functioning At Risk",IF(H46&gt;-1,"Not Functioning"))))</f>
        <v/>
      </c>
      <c r="J46" s="559"/>
      <c r="K46" s="555"/>
    </row>
    <row r="47" spans="1:15" ht="15.6" x14ac:dyDescent="0.3">
      <c r="A47" s="520"/>
      <c r="B47" s="558"/>
      <c r="C47" s="63" t="s">
        <v>323</v>
      </c>
      <c r="D47" s="245"/>
      <c r="E47" s="53"/>
      <c r="F47" s="341" t="str">
        <f>IF(E47="","",IF(OR(LEFT('Quantification Tool R2'!$B$12,2)="65",LEFT('Quantification Tool R2'!$B$12,2)="66",LEFT('Quantification Tool R2'!$B$12,2)="71"),IF(E47&gt;=30,1,IF(E47&lt;13,ROUND('Reference Standards'!$S$53*(E47)+'Reference Standards'!$S$54,2),ROUND('Reference Standards'!$T$53*E47+'Reference Standards'!$T$54,2))),  IF(E47&gt;=16,1,IF(E47&lt;=9,ROUND('Reference Standards'!$U$53*(E47)+'Reference Standards'!$U$54,2),ROUND('Reference Standards'!$V$53*E47+'Reference Standards'!$V$54,2))))    )</f>
        <v/>
      </c>
      <c r="G47" s="530"/>
      <c r="H47" s="566"/>
      <c r="I47" s="555"/>
      <c r="J47" s="559"/>
      <c r="K47" s="555"/>
    </row>
    <row r="48" spans="1:15" ht="15.6" x14ac:dyDescent="0.3">
      <c r="A48" s="520"/>
      <c r="B48" s="520" t="s">
        <v>395</v>
      </c>
      <c r="C48" s="58" t="s">
        <v>80</v>
      </c>
      <c r="D48" s="58"/>
      <c r="E48" s="165"/>
      <c r="F48" s="340" t="str">
        <f>IF(E48="","",ROUND(IF(E48&gt;0.7,0,IF(E48&lt;=0.1,1,E48^3*'Reference Standards'!S$87+E48^2*'Reference Standards'!S$88+E48*'Reference Standards'!S$89+'Reference Standards'!S$90)),2))</f>
        <v/>
      </c>
      <c r="G48" s="528" t="str">
        <f>IFERROR(ROUND(AVERAGE(F48:F51),2),"")</f>
        <v/>
      </c>
      <c r="H48" s="567"/>
      <c r="I48" s="555"/>
      <c r="J48" s="559"/>
      <c r="K48" s="555"/>
    </row>
    <row r="49" spans="1:13" ht="15.6" x14ac:dyDescent="0.3">
      <c r="A49" s="520"/>
      <c r="B49" s="520"/>
      <c r="C49" s="58" t="s">
        <v>49</v>
      </c>
      <c r="D49" s="58"/>
      <c r="E49" s="165"/>
      <c r="F49" s="84" t="str">
        <f>IF(E49="","",IF(OR(E49="Ex/Ex",E49="Ex/VH"),0, IF(OR(E49="Ex/H",E49="VH/Ex",E49="VH/VH", E49="H/Ex",E49="H/VH",E49="M/Ex"),0.1,IF(OR(E49="Ex/M",E49="VH/H",E49="H/H", E49="M/VH"),0.2, IF(OR(E49="Ex/L",E49="VH/M",E49="H/M", E49="M/H",E49="L/Ex"),0.3, IF(OR(E49="Ex/VL",E49="VH/L",E49="H/L"),0.4, IF(OR(E49="VH/VL",E49="H/VL",E49="M/M", E49="L/VH"),0.5, IF(OR(E49="M/L",E49="L/H"),0.6, IF(OR(E49="M/VL",E49="L/M"),0.7, IF(OR(E49="L/L",E49="L/VL"),1))))))))))</f>
        <v/>
      </c>
      <c r="G49" s="529"/>
      <c r="H49" s="567"/>
      <c r="I49" s="555"/>
      <c r="J49" s="559"/>
      <c r="K49" s="555"/>
    </row>
    <row r="50" spans="1:13" ht="15.6" x14ac:dyDescent="0.3">
      <c r="A50" s="520"/>
      <c r="B50" s="520"/>
      <c r="C50" s="58" t="s">
        <v>87</v>
      </c>
      <c r="D50" s="58"/>
      <c r="E50" s="165"/>
      <c r="F50" s="84" t="str">
        <f>IF(E50="","",ROUND(IF(E50&gt;40,0,IF(E50&lt;5,1,E50^3*'Reference Standards'!S$122+E50^2*'Reference Standards'!S$123+E50*'Reference Standards'!S$124+'Reference Standards'!S$125)),2))</f>
        <v/>
      </c>
      <c r="G50" s="529"/>
      <c r="H50" s="567"/>
      <c r="I50" s="555"/>
      <c r="J50" s="559"/>
      <c r="K50" s="555"/>
    </row>
    <row r="51" spans="1:13" ht="15.6" x14ac:dyDescent="0.3">
      <c r="A51" s="520"/>
      <c r="B51" s="521"/>
      <c r="C51" s="59" t="s">
        <v>394</v>
      </c>
      <c r="D51" s="59"/>
      <c r="E51" s="167"/>
      <c r="F51" s="341" t="str">
        <f>IF(E51="","",ROUND(IF(E51&gt;=30,0,IF(E51&lt;=0,1,E51*'Reference Standards'!S$156+'Reference Standards'!S$157)),2))</f>
        <v/>
      </c>
      <c r="G51" s="530"/>
      <c r="H51" s="567"/>
      <c r="I51" s="555"/>
      <c r="J51" s="559"/>
      <c r="K51" s="555"/>
    </row>
    <row r="52" spans="1:13" ht="15.6" x14ac:dyDescent="0.3">
      <c r="A52" s="520"/>
      <c r="B52" s="520" t="s">
        <v>50</v>
      </c>
      <c r="C52" s="60" t="s">
        <v>377</v>
      </c>
      <c r="D52" s="64"/>
      <c r="E52" s="136"/>
      <c r="F52" s="294" t="str">
        <f>IF(E52="","",ROUND(IF(E52&gt;9.2,1,E52*'Reference Standards'!$S$189+'Reference Standards'!$S$190),2))</f>
        <v/>
      </c>
      <c r="G52" s="552" t="str">
        <f>IFERROR(ROUND(AVERAGE(F52:F61),2),"")</f>
        <v/>
      </c>
      <c r="H52" s="567"/>
      <c r="I52" s="555"/>
      <c r="J52" s="559"/>
      <c r="K52" s="555"/>
    </row>
    <row r="53" spans="1:13" ht="15.6" x14ac:dyDescent="0.3">
      <c r="A53" s="520"/>
      <c r="B53" s="520"/>
      <c r="C53" s="62" t="s">
        <v>378</v>
      </c>
      <c r="D53" s="58"/>
      <c r="E53" s="162"/>
      <c r="F53" s="294" t="str">
        <f>IF(E53="","",ROUND(IF(E53&gt;9.2,1,E53*'Reference Standards'!$S$189+'Reference Standards'!$S$190),2))</f>
        <v/>
      </c>
      <c r="G53" s="553"/>
      <c r="H53" s="567"/>
      <c r="I53" s="555"/>
      <c r="J53" s="559"/>
      <c r="K53" s="555"/>
    </row>
    <row r="54" spans="1:13" ht="15.6" x14ac:dyDescent="0.3">
      <c r="A54" s="520"/>
      <c r="B54" s="520"/>
      <c r="C54" s="62" t="s">
        <v>379</v>
      </c>
      <c r="D54" s="58"/>
      <c r="E54" s="162"/>
      <c r="F54" s="294" t="str">
        <f>IF(E54="","",ROUND( IF(E54&gt;=200,1,IF(E54&lt;50, E54^2*'Reference Standards'!S$224+E54*'Reference Standards'!S$225+'Reference Standards'!S$226, E54*'Reference Standards'!T$224+'Reference Standards'!T$225)),2))</f>
        <v/>
      </c>
      <c r="G54" s="553"/>
      <c r="H54" s="567"/>
      <c r="I54" s="555"/>
      <c r="J54" s="559"/>
      <c r="K54" s="555"/>
    </row>
    <row r="55" spans="1:13" ht="15.6" x14ac:dyDescent="0.3">
      <c r="A55" s="520"/>
      <c r="B55" s="520"/>
      <c r="C55" s="62" t="s">
        <v>380</v>
      </c>
      <c r="D55" s="58"/>
      <c r="E55" s="162"/>
      <c r="F55" s="294" t="str">
        <f>IF(E55="","",ROUND( IF(E55&gt;=200,1,IF(E55&lt;50, E55^2*'Reference Standards'!S$224+E55*'Reference Standards'!S$225+'Reference Standards'!S$226, E55*'Reference Standards'!T$224+'Reference Standards'!T$225)),2))</f>
        <v/>
      </c>
      <c r="G55" s="553"/>
      <c r="H55" s="567"/>
      <c r="I55" s="555"/>
      <c r="J55" s="559"/>
      <c r="K55" s="555"/>
    </row>
    <row r="56" spans="1:13" ht="15.6" x14ac:dyDescent="0.3">
      <c r="A56" s="520"/>
      <c r="B56" s="520"/>
      <c r="C56" s="58" t="s">
        <v>381</v>
      </c>
      <c r="D56" s="58"/>
      <c r="E56" s="162"/>
      <c r="F56" s="294" t="str">
        <f>IF(E56="","",ROUND(IF(AND(E56&gt;=135,E56&lt;=262),1,IF(  E56&gt;=366,0.5, IF(E56&lt;135,E56*'Reference Standards'!S$259+'Reference Standards'!S$260, E56*'Reference Standards'!T$259+'Reference Standards'!T$260))),2))</f>
        <v/>
      </c>
      <c r="G56" s="553"/>
      <c r="H56" s="567"/>
      <c r="I56" s="555"/>
      <c r="J56" s="559"/>
      <c r="K56" s="555"/>
    </row>
    <row r="57" spans="1:13" ht="15.6" x14ac:dyDescent="0.3">
      <c r="A57" s="520"/>
      <c r="B57" s="520"/>
      <c r="C57" s="58" t="s">
        <v>382</v>
      </c>
      <c r="D57" s="58"/>
      <c r="E57" s="162"/>
      <c r="F57" s="294" t="str">
        <f>IF(E57="","",ROUND(IF(AND(E57&gt;=135,E57&lt;=262),1,IF(  E57&gt;=366,0.5, IF(E57&lt;135,E57*'Reference Standards'!S$259+'Reference Standards'!S$260, E57*'Reference Standards'!T$259+'Reference Standards'!T$260))),2))</f>
        <v/>
      </c>
      <c r="G57" s="553"/>
      <c r="H57" s="567"/>
      <c r="I57" s="555"/>
      <c r="J57" s="559"/>
      <c r="K57" s="555"/>
    </row>
    <row r="58" spans="1:13" ht="15.6" x14ac:dyDescent="0.3">
      <c r="A58" s="520"/>
      <c r="B58" s="520"/>
      <c r="C58" s="58" t="s">
        <v>383</v>
      </c>
      <c r="D58" s="58"/>
      <c r="E58" s="162"/>
      <c r="F58" s="84" t="str">
        <f>IF(E58="","",ROUND(IF(E58&gt;=75,1,IF(E58&lt;=0,0,E58*'Reference Standards'!S$330)),2))</f>
        <v/>
      </c>
      <c r="G58" s="553"/>
      <c r="H58" s="567"/>
      <c r="I58" s="555"/>
      <c r="J58" s="559"/>
      <c r="K58" s="555"/>
    </row>
    <row r="59" spans="1:13" ht="15.6" x14ac:dyDescent="0.3">
      <c r="A59" s="520"/>
      <c r="B59" s="520"/>
      <c r="C59" s="58" t="s">
        <v>384</v>
      </c>
      <c r="D59" s="58"/>
      <c r="E59" s="162"/>
      <c r="F59" s="84" t="str">
        <f>IF(E59="","",ROUND(IF(E59&gt;=75,1,IF(E59&lt;=0,0,E59*'Reference Standards'!S$330)),2))</f>
        <v/>
      </c>
      <c r="G59" s="553"/>
      <c r="H59" s="567"/>
      <c r="I59" s="555"/>
      <c r="J59" s="559"/>
      <c r="K59" s="555"/>
    </row>
    <row r="60" spans="1:13" ht="15.6" x14ac:dyDescent="0.3">
      <c r="A60" s="520"/>
      <c r="B60" s="520"/>
      <c r="C60" s="58" t="s">
        <v>385</v>
      </c>
      <c r="D60" s="58"/>
      <c r="E60" s="162"/>
      <c r="F60" s="294" t="str">
        <f>IF(E60="","",ROUND(IF(AND(E60&gt;=36.3,E60&lt;=68),1,IF(E60&gt;100,0,IF(E60&lt;36.3,(('Reference Standards'!S$297*(E60^2))+('Reference Standards'!S$298*E60)+'Reference Standards'!S$299),IF(E60&gt;68,(('Reference Standards'!T$297*(E60^2))+('Reference Standards'!T$298*E60)+'Reference Standards'!T$299))))),2))</f>
        <v/>
      </c>
      <c r="G60" s="553"/>
      <c r="H60" s="567"/>
      <c r="I60" s="555"/>
      <c r="J60" s="559"/>
      <c r="K60" s="555"/>
      <c r="M60" s="21"/>
    </row>
    <row r="61" spans="1:13" ht="15.6" x14ac:dyDescent="0.3">
      <c r="A61" s="520"/>
      <c r="B61" s="521"/>
      <c r="C61" s="58" t="s">
        <v>386</v>
      </c>
      <c r="D61" s="65"/>
      <c r="E61" s="162"/>
      <c r="F61" s="294" t="str">
        <f>IF(E61="","",ROUND(IF(AND(E61&gt;=36.3,E61&lt;=68),1,IF(E61&gt;100,0,IF(E61&lt;36.3,(('Reference Standards'!S$297*(E61^2))+('Reference Standards'!S$298*E61)+'Reference Standards'!S$299),IF(E61&gt;68,(('Reference Standards'!T$297*(E61^2))+('Reference Standards'!T$298*E61)+'Reference Standards'!T$299))))),2))</f>
        <v/>
      </c>
      <c r="G61" s="554"/>
      <c r="H61" s="567"/>
      <c r="I61" s="555"/>
      <c r="J61" s="559"/>
      <c r="K61" s="555"/>
    </row>
    <row r="62" spans="1:13" ht="15.6" x14ac:dyDescent="0.3">
      <c r="A62" s="520"/>
      <c r="B62" s="56" t="s">
        <v>108</v>
      </c>
      <c r="C62" s="72" t="s">
        <v>130</v>
      </c>
      <c r="D62" s="58"/>
      <c r="E62" s="43"/>
      <c r="F62" s="82" t="str">
        <f>IF(E62="","",IF(OR('Quantification Tool R2'!B$14="Gravel",'Quantification Tool R2'!B$14="Cobble"),IF(E62&gt;0.1,1,IF(E62&lt;=0.01,0,ROUND(E62*'Reference Standards'!$S$362+'Reference Standards'!$S$363,2)))))</f>
        <v/>
      </c>
      <c r="G62" s="82" t="str">
        <f>IFERROR(AVERAGE(F62),"")</f>
        <v/>
      </c>
      <c r="H62" s="567"/>
      <c r="I62" s="555"/>
      <c r="J62" s="559"/>
      <c r="K62" s="555"/>
    </row>
    <row r="63" spans="1:13" ht="15.6" x14ac:dyDescent="0.3">
      <c r="A63" s="520"/>
      <c r="B63" s="526" t="s">
        <v>51</v>
      </c>
      <c r="C63" s="64" t="s">
        <v>52</v>
      </c>
      <c r="D63" s="64"/>
      <c r="E63" s="166"/>
      <c r="F63" s="337" t="str">
        <f>IF(E63="","",IF(ISNUMBER('Quantification Tool R2'!$B$17),IF('Quantification Tool R2'!$B$17&lt;=2,IF(AND(E63&gt;=3,E63&lt;=5),1,IF(OR(E63&lt;=1,E63&gt;=7),0,ROUND(IF(E63&lt;3,E63*'Reference Standards'!S$398+'Reference Standards'!S$399,E63*'Reference Standards'!T$398+'Reference Standards'!T$399),2))),IF(E63&lt;=2.5,1,IF(E63&gt;=5.8,0,ROUND(E63*'Reference Standards'!S$430+'Reference Standards'!S$431,2))))))</f>
        <v/>
      </c>
      <c r="G63" s="528" t="str">
        <f>IFERROR(AVERAGE(F63:F66),"")</f>
        <v/>
      </c>
      <c r="H63" s="567"/>
      <c r="I63" s="555"/>
      <c r="J63" s="559"/>
      <c r="K63" s="555"/>
    </row>
    <row r="64" spans="1:13" ht="15.6" x14ac:dyDescent="0.3">
      <c r="A64" s="520"/>
      <c r="B64" s="520"/>
      <c r="C64" s="58" t="s">
        <v>53</v>
      </c>
      <c r="D64" s="58"/>
      <c r="E64" s="165"/>
      <c r="F64" s="84" t="str">
        <f>IF(E64="","", IF( E64&gt;=2.4,1, IF(E64&lt;=1,0,  ROUND(IF(E64&lt;2.4, E64*'Reference Standards'!$S$464+'Reference Standards'!$S$465  ),2))))</f>
        <v/>
      </c>
      <c r="G64" s="529"/>
      <c r="H64" s="567"/>
      <c r="I64" s="555"/>
      <c r="J64" s="559"/>
      <c r="K64" s="555"/>
    </row>
    <row r="65" spans="1:12" ht="15.6" x14ac:dyDescent="0.3">
      <c r="A65" s="520"/>
      <c r="B65" s="520"/>
      <c r="C65" s="58" t="s">
        <v>334</v>
      </c>
      <c r="D65" s="58"/>
      <c r="E65" s="165"/>
      <c r="F65" s="390" t="str">
        <f>IF(E65="","", IF(LEFT('Quantification Tool R2'!$B$12,2)="67",  IF( AND(E65&gt;=45,E65&lt;=65),1, IF(OR(E65&lt;=20,E65&gt;=90),0, ROUND(  IF(E65&lt;45, E65*'Reference Standards'!$S$498+'Reference Standards'!$S$499,E65*'Reference Standards'!$T$498+'Reference Standards'!$T$499),2))), IF(OR(  LEFT('Quantification Tool R2'!$B$12,2)="68", LEFT('Quantification Tool R2'!$B$12,2)="69",LEFT('Quantification Tool R2'!$B$12,2)="71"),  IF( AND(E65&gt;=30,E65&lt;=50),1, IF(OR(E65&lt;=10,E65&gt;=70),0, ROUND(  IF(E65&lt;30, E65*'Reference Standards'!$S$533+'Reference Standards'!$S$534,E65*'Reference Standards'!$T$533+'Reference Standards'!$T$534),2))), IF(LEFT('Quantification Tool R2'!$B$12,2)="66",  IF( AND(E65&gt;=20,E65&lt;=45),1, IF(OR(E65&lt;=0,E65&gt;=90),0, ROUND(  IF(E65&lt;20, E65*'Reference Standards'!$S$567+'Reference Standards'!$S$568,E65*'Reference Standards'!$T$567+'Reference Standards'!$T$568),2))), IF(OR(  LEFT('Quantification Tool R2'!$B$12,2)="65", LEFT('Quantification Tool R2'!$B$12,2)="74", LEFT('Quantification Tool R2'!$B$12,2)="73"),  IF( AND(E65&gt;=20,E65&lt;=30),1, IF(OR(E65&lt;=0,E65&gt;=50),0, ROUND(  IF(E65&lt;20, E65*'Reference Standards'!$S$601+'Reference Standards'!$S$602,E65*'Reference Standards'!$T$601+'Reference Standards'!$T$602),2))))))))</f>
        <v/>
      </c>
      <c r="G65" s="529"/>
      <c r="H65" s="567"/>
      <c r="I65" s="555"/>
      <c r="J65" s="559"/>
      <c r="K65" s="555"/>
    </row>
    <row r="66" spans="1:12" ht="15.6" x14ac:dyDescent="0.3">
      <c r="A66" s="520"/>
      <c r="B66" s="521"/>
      <c r="C66" s="62" t="s">
        <v>210</v>
      </c>
      <c r="D66" s="58"/>
      <c r="E66" s="167"/>
      <c r="F66" s="391" t="str">
        <f>IF(E66="","",IF(E66&gt;=1.6,0,IF(E66&lt;=1,1,ROUND('Reference Standards'!$S$633*E66^3+'Reference Standards'!$S$634*E66^2+'Reference Standards'!$S$635*E66+'Reference Standards'!$S$636,2))))</f>
        <v/>
      </c>
      <c r="G66" s="530"/>
      <c r="H66" s="567"/>
      <c r="I66" s="555"/>
      <c r="J66" s="559"/>
      <c r="K66" s="555"/>
      <c r="L66" s="13"/>
    </row>
    <row r="67" spans="1:12" ht="15.6" x14ac:dyDescent="0.3">
      <c r="A67" s="521"/>
      <c r="B67" s="309" t="s">
        <v>55</v>
      </c>
      <c r="C67" s="242" t="s">
        <v>54</v>
      </c>
      <c r="D67" s="243"/>
      <c r="E67" s="163"/>
      <c r="F67" s="342" t="str">
        <f>IF(E67="","",IF(AND('Quantification Tool R2'!B$11="E",'Quantification Tool R2'!$B$14="Sand",'Quantification Tool R2'!$B$21="Unconfined Alluvial"),ROUND(IF(OR(E67&gt;1.8,E67&lt;1.3),0,IF(E67&lt;=1.6,1,E67*'Reference Standards'!S$667+'Reference Standards'!S$668)),2),    IF('Quantification Tool R2'!$B$21="Unconfined Alluvial",ROUND(IF(OR(E67&lt;1.2, E67&gt;1.5),0,IF(E67&lt;=1.4,1,E67*'Reference Standards'!$S$700+'Reference Standards'!$S$701)),2), IF('Quantification Tool R2'!$B$21="Confined Alluvial",ROUND(IF(E67&lt;1.15,0,IF(E67&lt;=1.4,E67*'Reference Standards'!$S$729+'Reference Standards'!$S$730,1)),2),  IF('Quantification Tool R2'!$B$21="Colluvial",ROUND(IF(E67&gt;1.3,0,IF(E67&gt;1.2,E67*'Reference Standards'!$S$760+'Reference Standards'!$S$761,1)),2) )))))</f>
        <v/>
      </c>
      <c r="G67" s="84" t="str">
        <f>IFERROR(AVERAGE(F67),"")</f>
        <v/>
      </c>
      <c r="H67" s="567"/>
      <c r="I67" s="555"/>
      <c r="J67" s="559"/>
      <c r="K67" s="555"/>
      <c r="L67" s="13"/>
    </row>
    <row r="68" spans="1:12" ht="15.6" x14ac:dyDescent="0.3">
      <c r="A68" s="537" t="s">
        <v>58</v>
      </c>
      <c r="B68" s="67" t="s">
        <v>88</v>
      </c>
      <c r="C68" s="70" t="s">
        <v>338</v>
      </c>
      <c r="D68" s="70"/>
      <c r="E68" s="43"/>
      <c r="F68" s="343" t="str">
        <f>IF(E68="","",ROUND(IF(E68&gt;=942,0,IF(E68&lt;=487,E68*'Reference Standards'!AB$15+'Reference Standards'!AB$16,E68*'Reference Standards'!$AC$15+'Reference Standards'!$AC$16)),2))</f>
        <v/>
      </c>
      <c r="G68" s="85" t="str">
        <f>IFERROR(AVERAGE(F68),"")</f>
        <v/>
      </c>
      <c r="H68" s="547" t="str">
        <f>IFERROR(ROUND(AVERAGE(G68:G71),2),"")</f>
        <v/>
      </c>
      <c r="I68" s="534" t="str">
        <f>IF(H68="","",IF(H68&gt;0.69,"Functioning",IF(H68&gt;0.29,"Functioning At Risk",IF(H68&gt;-1,"Not Functioning"))))</f>
        <v/>
      </c>
      <c r="J68" s="559"/>
      <c r="K68" s="555"/>
      <c r="L68" s="21"/>
    </row>
    <row r="69" spans="1:12" ht="15.6" x14ac:dyDescent="0.3">
      <c r="A69" s="538"/>
      <c r="B69" s="306" t="s">
        <v>362</v>
      </c>
      <c r="C69" s="66" t="s">
        <v>354</v>
      </c>
      <c r="D69" s="66"/>
      <c r="E69" s="163"/>
      <c r="F69" s="344" t="str">
        <f>IF(E69="","",IF(OR('Quantification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June")),IF(E69&gt;93,0,IF(E69&lt;13,1,ROUND('Reference Standards'!$AB$53*E69^2+'Reference Standards'!$AB$54*E69+'Reference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R2'!$B$12="73b"),IF(E69&gt;94,0,IF(E69&lt;17,1,ROUND('Reference Standards'!$AC$53*E69^2+'Reference Standards'!$AC$54*E69+'Reference Standards'!$AC$55,2))),    IF(OR(AND(OR('Quantification Tool R2'!$B$12="68b",'Quantification Tool R2'!$B$12="71i"),'Quantification Tool R2'!$B$13&gt;2), 'Quantification Tool R2'!$B$12="71e"),IF(E69&gt;91,0,IF(E69&lt;24,1,ROUND('Reference Standards'!$AD$53*E69^2+'Reference Standards'!$AD$54*E69+'Reference Standards'!$AD$55,2))),  IF(OR(AND(OR('Quantification Tool R2'!$B$12="71f",'Quantification Tool R2'!$B$12="71g",'Quantification Tool R2'!$B$12="71h",'Quantification Tool R2'!$B$12="71i"),'Quantification Tool R2'!$B$13&lt;=2), AND('Quantification Tool R2'!$B$12="74a",'Quantification Tool R2'!$B$13&gt;2)),IF(E69&gt;95,0,IF(E69&lt;=36,1,ROUND('Reference Standards'!$AE$53*E69^2+'Reference Standards'!$AE$54*E69+'Reference Standards'!$AE$55,2))))))))</f>
        <v/>
      </c>
      <c r="G69" s="236" t="str">
        <f>IFERROR(AVERAGE(F69:F69),"")</f>
        <v/>
      </c>
      <c r="H69" s="548"/>
      <c r="I69" s="535"/>
      <c r="J69" s="559"/>
      <c r="K69" s="555"/>
      <c r="L69" s="21"/>
    </row>
    <row r="70" spans="1:12" ht="15.6" x14ac:dyDescent="0.3">
      <c r="A70" s="538"/>
      <c r="B70" s="67" t="s">
        <v>81</v>
      </c>
      <c r="C70" s="68" t="s">
        <v>281</v>
      </c>
      <c r="D70" s="68"/>
      <c r="E70" s="162"/>
      <c r="F70" s="344" t="str">
        <f>IF(E70="","",IF(ISNUMBER('Quantification Tool R2'!$B$13),IF(OR('Quantification Tool R2'!$B$12="66e",'Quantification Tool R2'!$B$12="66f",'Quantification Tool R2'!$B$12="66g"),ROUND(IF(E70&gt;=0.61,0,IF(E70&lt;=0.01,1,IF(E70&lt;=0.06,E70*'Reference Standards'!$AD$197+'Reference Standards'!$AD$198,E70^2*'Reference Standards'!$AB$196+E70*'Reference Standards'!$AB$197+'Reference Standards'!$AB$198))),2),IF('Quantification Tool R2'!$B$12="68b",ROUND(IF(E70&gt;=1.1,0,IF(E70&lt;=0.17,1,IF(E70&lt;=0.22,E70*'Reference Standards'!$AE$197+'Reference Standards'!$AE$198,E70^2*'Reference Standards'!$AC$196+E70*'Reference Standards'!$AC$197+'Reference Standards'!$AC$198))),2),IF('Quantification Tool R2'!$B$13&lt;=2.5,IF('Quantification Tool R2'!$B$12="69de",ROUND(IF(E70&gt;=0.22,0,IF(E70&lt;=0.01,1,E70^2*'Reference Standards'!$AB$90+E70*'Reference Standards'!$AB$91+'Reference Standards'!$AB$92)),2),IF('Quantification Tool R2'!$B$12="68c",ROUND(IF(E70&gt;=0.87,0,IF(E70&lt;=0.01,1,E70^2*'Reference Standards'!$AC$90+E70*'Reference Standards'!$AC$91+'Reference Standards'!$AC$92)),2),IF('Quantification Tool R2'!$B$12="68a",ROUND(IF(E70&gt;=0.81,0,IF(E70&lt;=0.01,1,E70^2*'Reference Standards'!$AD$90+E70*'Reference Standards'!$AD$91+'Reference Standards'!$AD$92)),2),IF('Quantification Tool R2'!$B$12="65abei",ROUND(IF(E70&gt;=0.67,0,IF(E70&lt;=0.01,1,IF(E70&lt;=0.18,E70*'Reference Standards'!$AG$91+'Reference Standards'!$AG$92,E70*'Reference Standards'!$AE$91+'Reference Standards'!$AE$92))),2),IF('Quantification Tool R2'!$B$12="65j",ROUND(IF(E70&gt;=0.32,0,IF(E70&lt;=0.01,1,IF(E70&lt;=0.25,E70*'Reference Standards'!$AH$91+'Reference Standards'!$AH$92,E70*'Reference Standards'!$AF$91+'Reference Standards'!$AF$92))),2),IF('Quantification Tool R2'!$B$12="71f",ROUND(IF(E70&gt;=3,0,IF(E70&lt;=0,1,IF(E70&lt;=0.01,0.7,E70^2*'Reference Standards'!$AB$126+E70*'Reference Standards'!$AB$127+'Reference Standards'!$AB$128))),2),IF('Quantification Tool R2'!$B$12="74a",ROUND(IF(E70&gt;=0.14,0,IF(E70&lt;=0.01,1,IF(E70&lt;=0.02,0.7,E70^2*'Reference Standards'!$AC$126+E70*'Reference Standards'!$AC$127+'Reference Standards'!$AC$128))),2),IF(OR('Quantification Tool R2'!$B$12="67fhi",'Quantification Tool R2'!$B$12="67g"),ROUND(IF(E70&gt;=1.9,0,IF(E70&lt;=0.01,1,IF(E70&lt;=0.05,E70*'Reference Standards'!$AF$127+'Reference Standards'!$AF$128,E70^2*'Reference Standards'!$AD$126+E70*'Reference Standards'!$AD$127+'Reference Standards'!$AD$128))),2),IF('Quantification Tool R2'!$B$12="73a",ROUND(IF(E70&gt;=1.44,0,IF(E70&lt;=0.01,1,IF(E70&lt;=0.12,E70*'Reference Standards'!$AG$127+'Reference Standards'!$AG$128,E70^2*'Reference Standards'!$AE$126+E70*'Reference Standards'!$AE$127+'Reference Standards'!$AE$128))),2),IF('Quantification Tool R2'!$B$12="66d",ROUND(IF(E70&gt;=0.46,0,IF(E70&lt;=0.02,1,IF(E70&lt;=0.08,E70*'Reference Standards'!$AF$163+'Reference Standards'!$AF$164,E70^2*'Reference Standards'!$AB$162+E70*'Reference Standards'!$AB$163+'Reference Standards'!$AB$164))),2),IF(OR('Quantification Tool R2'!$B$12="71g",'Quantification Tool R2'!$B$12="71h",'Quantification Tool R2'!$B$12="71i"),ROUND(IF(E70&gt;=3,0,IF(E70&lt;=0.06,1,IF(E70&lt;=0.24,E70*'Reference Standards'!$AG$163+'Reference Standards'!$AG$164,E70^2*'Reference Standards'!$AC$162+E70*'Reference Standards'!$AC$163+'Reference Standards'!$AC$164))),2),IF('Quantification Tool R2'!$B$12="74b",ROUND(IF(E70&gt;=1.3,0,IF(E70&lt;=0.29,1,IF(E70&lt;=0.48,E70*'Reference Standards'!$AH$163+'Reference Standards'!$AH$164,E70^2*'Reference Standards'!$AD$162+E70*'Reference Standards'!$AD$163+'Reference Standards'!$AD$164))),2),IF('Quantification Tool R2'!$B$12="71e",ROUND(IF(E70&gt;=4.3,0,IF(E70&lt;=0.53,1,IF(E70&lt;=0.67,E70*'Reference Standards'!$AI$163+'Reference Standards'!$AI$164,E70^2*'Reference Standards'!$AE$162+E70*'Reference Standards'!$AE$163+'Reference Standards'!$AE$164))),2)))))))))))))),IF('Quantification Tool R2'!$B$13&gt;2.5,IF('Quantification Tool R2'!$B$12="73a",ROUND(IF(E70&gt;=0.55,0,IF(E70&lt;=0,1,E70^2*'Reference Standards'!$AB$232+E70*'Reference Standards'!$AB$233+'Reference Standards'!$AB$234)),2),IF('Quantification Tool R2'!$B$12="68a",ROUND(IF(E70&gt;=0.54,0,IF(E70&lt;=0,1,IF(E70&lt;=0.01,0.85,E70^2*'Reference Standards'!$AC$232+E70*'Reference Standards'!$AC$233+'Reference Standards'!$AC$234))),2),IF('Quantification Tool R2'!$B$12="74a",ROUND(IF(E70&gt;=0.47,0,IF(E70&lt;=0.01,1,IF(E70&lt;=0.02,0.7,E70^2*'Reference Standards'!$AD$232+E70*'Reference Standards'!$AD$233+'Reference Standards'!$AD$234))),2),IF('Quantification Tool R2'!$B$12="69de",ROUND(IF(E70&gt;=0.26,0,IF(E70&lt;=0.01,1,IF(E70&lt;=0.02,0.85,E70^2*'Reference Standards'!$AE$232+E70*'Reference Standards'!$AE$233+'Reference Standards'!$AE$234))),2),IF('Quantification Tool R2'!$B$12="71f",ROUND(IF(E70&gt;=0.87,0,IF(E70&lt;=0.01,1,IF(E70&lt;=0.04,E70*'Reference Standards'!$AF$269+'Reference Standards'!$AF$270,E70^2*'Reference Standards'!$AB$268+E70*'Reference Standards'!$AB$269+'Reference Standards'!$AB$270))),2),IF('Quantification Tool R2'!$B$12="65abei",ROUND(IF(E70&gt;=0.82,0,IF(E70&lt;=0.01,1,IF(E70&lt;=0.06,E70*'Reference Standards'!$AG$269+'Reference Standards'!$AG$270,E70^2*'Reference Standards'!$AC$268+E70*'Reference Standards'!$AC$269+'Reference Standards'!$AC$270))),2),IF('Quantification Tool R2'!$B$12="65j",ROUND(IF(E70&gt;=0.33,0,IF(E70&lt;=0.03,1,IF(E70&lt;=0.09,E70*'Reference Standards'!$AH$269+'Reference Standards'!$AH$270,E70^2*'Reference Standards'!$AD$268+E70*'Reference Standards'!$AD$269+'Reference Standards'!$AD$270))),2),IF('Quantification Tool R2'!$B$12="68c",ROUND(IF(E70&gt;=0.7,0,IF(E70&lt;=0.07,1,IF(E70&lt;=0.12,E70*'Reference Standards'!$AI$269+'Reference Standards'!$AI$270,E70^2*'Reference Standards'!$AE$268+E70*'Reference Standards'!$AE$269+'Reference Standards'!$AE$270))),2),IF(OR('Quantification Tool R2'!$B$12="67fhi",'Quantification Tool R2'!$B$12="67g"),ROUND(IF(E70&gt;=1.8,0,IF(E70&lt;=0.08,1,IF(E70&lt;=0.2,E70*'Reference Standards'!$AF$306+'Reference Standards'!$AF$307,E70^2*'Reference Standards'!$AB$305+E70*'Reference Standards'!$AB$306+'Reference Standards'!$AB$307))),2),IF('Quantification Tool R2'!$B$12="74b",ROUND(IF(E70&gt;=0.96,0,IF(E70&lt;=0.12,1,IF(E70&lt;=0.16,E70*'Reference Standards'!$AG$306+'Reference Standards'!$AG$307,E70^2*'Reference Standards'!$AC$305+E70*'Reference Standards'!$AC$306+'Reference Standards'!$AC$307))),2),IF('Quantification Tool R2'!$B$12="66d",ROUND(IF(E70&gt;=0.75,0,IF(E70&lt;=0.13,1,IF(E70&lt;=0.2,E70*'Reference Standards'!$AH$306+'Reference Standards'!$AH$307,E70^2*'Reference Standards'!$AD$305+E70*'Reference Standards'!$AD$306+'Reference Standards'!$AD$307))),2),IF(OR('Quantification Tool R2'!$B$12="71g",'Quantification Tool R2'!$B$12="71h",'Quantification Tool R2'!$B$12="71i"),ROUND(IF(E70&gt;=1.68,0,IF(E70&lt;=0.08,1,IF(E70&lt;=0.23,E70*'Reference Standards'!$AI$306+'Reference Standards'!$AI$307,E70^2*'Reference Standards'!$AE$305+E70*'Reference Standards'!$AE$306+'Reference Standards'!$AE$307))),2),IF('Quantification Tool R2'!$B$12="71e",ROUND(IF(E70&gt;=5.3,0,IF(E70&lt;=0.94,1,IF(E70&lt;=1.4,E70*'Reference Standards'!$AF$310+'Reference Standards'!$AF$311,E70^2*'Reference Standards'!$AB$309+E70*'Reference Standards'!$AB$310+'Reference Standards'!$AB$311))),2))))))))))))))))))))</f>
        <v/>
      </c>
      <c r="G70" s="86" t="str">
        <f>IFERROR(AVERAGE(F70),"")</f>
        <v/>
      </c>
      <c r="H70" s="548"/>
      <c r="I70" s="535"/>
      <c r="J70" s="559"/>
      <c r="K70" s="555"/>
      <c r="L70" s="21"/>
    </row>
    <row r="71" spans="1:12" ht="15.6" x14ac:dyDescent="0.3">
      <c r="A71" s="539"/>
      <c r="B71" s="307" t="s">
        <v>82</v>
      </c>
      <c r="C71" s="66" t="s">
        <v>280</v>
      </c>
      <c r="D71" s="66"/>
      <c r="E71" s="136"/>
      <c r="F71" s="343" t="str">
        <f>IF(E71="","",IF(ISNUMBER('Quantification Tool R2'!$B$13),IF('Quantification Tool R2'!$B$13&gt;2.5,IF(OR('Quantification Tool R2'!$B$12="71h",'Quantification Tool R2'!$B$12="71i",'Quantification Tool R2'!$B$12="73a",'Quantification Tool R2'!$B$12="74a"),IF(E71&lt;=0.01,1,IF(OR('Quantification Tool R2'!$B$12="71h",'Quantification Tool R2'!$B$12="71i"),IF(E71&gt;0.37,0,ROUND(IF(E71&gt;0.03,'Reference Standards'!$AB$425*E71^2+'Reference Standards'!$AB$426*E71+'Reference Standards'!$AB$427,'Reference Standards'!$AF$426*E71+'Reference Standards'!$AF$427),2)),IF('Quantification Tool R2'!$B$12="73a",IF(E71&gt;0.405,0,ROUND(IF(E71&gt;0.046,'Reference Standards'!$AC$425*E71^2+'Reference Standards'!$AC$426*E71+'Reference Standards'!$AC$427,'Reference Standards'!$AG$426*E71+'Reference Standards'!$AG$427),2)),IF('Quantification Tool R2'!$B$12="74a",IF(E71&gt;0.3,0,ROUND(IF(E71&gt;0.052,'Reference Standards'!$AD$425*E71^2+'Reference Standards'!$AD$426*E71+'Reference Standards'!$AD$427,'Reference Standards'!$AH$426*E71+'Reference Standards'!$AH$427),2)))))),IF(E71&lt;=0.002,1,IF(OR('Quantification Tool R2'!$B$12="66d",'Quantification Tool R2'!$B$12="66e",'Quantification Tool R2'!$B$12="66g"),IF(E71&gt;0.053,0,ROUND(E71^2*'Reference Standards'!$AB$347+E71*'Reference Standards'!$AB$348+'Reference Standards'!$AB$349,2)),IF('Quantification Tool R2'!$B$12="68b",IF(E71&gt;0.05,0,ROUND(E71^2*'Reference Standards'!$AC$347+E71*'Reference Standards'!$AC$348+'Reference Standards'!$AC$349,2)),IF(OR('Quantification Tool R2'!$B$12="68a",'Quantification Tool R2'!$B$12="68c"),IF(E71&gt;0.07,0,ROUND(E71^2*'Reference Standards'!$AD$347+E71*'Reference Standards'!$AD$348+'Reference Standards'!$AD$349,2)),IF(OR('Quantification Tool R2'!$B$12="71f",'Quantification Tool R2'!$B$12="71g"),IF(E71&gt;0.13,0,ROUND(IF(E71&gt;0.042,E71*'Reference Standards'!$AE$348+'Reference Standards'!$AE$349,E71*'Reference Standards'!$AF$348+'Reference Standards'!$AF$349),2)),IF('Quantification Tool R2'!$B$12="67fhi",IF(E71&gt;0.16,0,ROUND(E71^2*'Reference Standards'!$AG$347+E71*'Reference Standards'!$AG$348+'Reference Standards'!$AG$349,2)),IF('Quantification Tool R2'!$B$12="65j",IF(E71&gt;0.035,0,ROUND(IF(E71&lt;=0.003,0.7,E71^2*'Reference Standards'!$AB$387+E71*'Reference Standards'!$AB$388+'Reference Standards'!$AB$389),2)),IF('Quantification Tool R2'!$B$12="69de",IF(E71&gt;0.037,0,ROUND(IF(E71&lt;=0.003,0.7,E71^2*'Reference Standards'!$AC$387+E71*'Reference Standards'!$AC$388+'Reference Standards'!$AC$389),2)),IF('Quantification Tool R2'!$B$12="71e",IF(E71&gt;0.23,0,ROUND(IF(E71&lt;=0.003,0.7,E71^2*'Reference Standards'!$AD$387+E71*'Reference Standards'!$AD$388+'Reference Standards'!$AD$389),2)),IF('Quantification Tool R2'!$B$12="66f",IF(E71&gt;0.06,0,ROUND(IF(E71&lt;=0.003,0.85,IF(E71&lt;=0.004,0.7,E71^2*'Reference Standards'!$AE$387+E71*'Reference Standards'!$AE$388+'Reference Standards'!$AE$389)),2)),IF('Quantification Tool R2'!$B$12="67g",IF(E71&gt;0.11,0,ROUND(IF(E71&lt;=0.01,E71*'Reference Standards'!$AH$388+'Reference Standards'!$AH$389,E71^2*'Reference Standards'!$AF$387+E71*'Reference Standards'!$AF$388+'Reference Standards'!$AF$389),2)),IF('Quantification Tool R2'!$B$12="74b",IF(E71&gt;0.49,0,ROUND(IF(E71&lt;=0.01,E71*'Reference Standards'!$AH$388+'Reference Standards'!$AH$389,E71^2*'Reference Standards'!$AG$387+E71*'Reference Standards'!$AG$388+'Reference Standards'!$AG$389),2)),IF('Quantification Tool R2'!$B$12="65abei",IF(E71&gt;0.199,0,ROUND(IF(E71&lt;=0.01,E71*'Reference Standards'!$AI$426+'Reference Standards'!$AI$427,E71^2*'Reference Standards'!$AE$425+E71*'Reference Standards'!$AE$426+'Reference Standards'!$AE$427),2)))))))))))))))),IF('Quantification Tool R2'!$B$13&lt;=2.5,IF(OR('Quantification Tool R2'!$B$12="66d",'Quantification Tool R2'!$B$12="66e",'Quantification Tool R2'!$B$12="66g"),IF(E71&gt;0.05,0,ROUND(IF(E71&lt;=0.002,1,IF(E71&lt;=0.005,E71*'Reference Standards'!$AF$464+'Reference Standards'!$AF$465,E71^2*'Reference Standards'!$AB$463+E71*'Reference Standards'!$AB$464+'Reference Standards'!$AB$465)),2)),IF('Quantification Tool R2'!$B$12="67fhi",IF(E71&gt;0.1,0,ROUND(IF(E71&lt;=0.002,1,IF(E71&lt;=0.006,E71*'Reference Standards'!$AG$464+'Reference Standards'!$AG$465,E71^2*'Reference Standards'!$AC$463+E71*'Reference Standards'!$AC$464+'Reference Standards'!$AC$465)),2)),IF('Quantification Tool R2'!$B$12="65abei",IF(E71&gt;0.13,0,ROUND(IF(E71&lt;=0.003,1,IF(E71&lt;=0.008,E71*'Reference Standards'!$AH$464+'Reference Standards'!$AH$465,E71^2*'Reference Standards'!$AD$463+E71*'Reference Standards'!$AD$464+'Reference Standards'!$AD$465)),2)),IF('Quantification Tool R2'!$B$12="68b",IF(E71&gt;0.043,0,ROUND(IF(E71&lt;=0.004,1,IF(E71&lt;=0.005,0.7,E71^2*'Reference Standards'!$AE$463+E71*'Reference Standards'!$AE$464+'Reference Standards'!$AE$465)),2)),IF('Quantification Tool R2'!$B$12="69de",IF(E71&gt;=0.034,0,ROUND(IF(E71&lt;=0.003,1,IF(E71&lt;=0.006,E71*'Reference Standards'!$AG$500+'Reference Standards'!$AG$501,E71*'Reference Standards'!$AB$500+'Reference Standards'!$AB$501)),2)),IF(OR('Quantification Tool R2'!$B$12="68a",'Quantification Tool R2'!$B$12="68c"),IF(E71&gt;0.202,0,ROUND(IF(E71&lt;=0.003,1,IF(E71&lt;=0.006,E71*'Reference Standards'!$AG$500+'Reference Standards'!$AG$501,IF(E71&gt;=0.04,E71*'Reference Standards'!$AC$500+'Reference Standards'!$AC$501,E71*'Reference Standards'!$AE$500+'Reference Standards'!$AE$501))),2)),IF(OR('Quantification Tool R2'!$B$12="71f",'Quantification Tool R2'!$B$12="71g"),IF(E71&gt;0.631,0,ROUND(IF(E71&lt;=0.003,1,IF(E71&lt;=0.006,E71*'Reference Standards'!$AG$500+'Reference Standards'!$AG$501,IF(E71&gt;=0.17,E71*'Reference Standards'!$AD$500+'Reference Standards'!$AD$501,E71*'Reference Standards'!$AF$500+'Reference Standards'!$AF$501))),2)),IF('Quantification Tool R2'!$B$12="71e",IF(E71&gt;1.23,0,ROUND(IF(E71&lt;=0.004,1,IF(E71&lt;=0.006,E71*'Reference Standards'!$AF$538+'Reference Standards'!$AF$539,E71^2*'Reference Standards'!$AB$537+E71*'Reference Standards'!$AB$538+'Reference Standards'!$AB$539)),2)),IF('Quantification Tool R2'!$B$12="67g",IF(E71&gt;0.11,0,ROUND(IF(E71&lt;=0.006,1,IF(E71&lt;=0.011,E71*'Reference Standards'!$AG$538+'Reference Standards'!$AG$539,E71^2*'Reference Standards'!$AC$537+E71*'Reference Standards'!$AC$538+'Reference Standards'!$AC$539)),2)),IF('Quantification Tool R2'!$B$12="65j",IF(E71&gt;0.046,0,ROUND(IF(E71&lt;=0.007,1,IF(E71&lt;=0.012,E71*'Reference Standards'!$AH$538+'Reference Standards'!$AH$539,E71^2*'Reference Standards'!$AD$537+E71*'Reference Standards'!$AD$538+'Reference Standards'!$AD$539)),2)),IF('Quantification Tool R2'!$B$12="66f",IF(E71&gt;0.081,0,ROUND(IF(E71&lt;=0.008,1,IF(E71&lt;=0.011,E71*'Reference Standards'!$AI$538+'Reference Standards'!$AI$539,E71^2*'Reference Standards'!$AE$537+E71*'Reference Standards'!$AE$538+'Reference Standards'!$AE$539)),2)),IF(OR('Quantification Tool R2'!$B$12="71h",'Quantification Tool R2'!$B$12="71i"),IF(E71&gt;0.37,0,ROUND(IF(E71&lt;=0.013,1,IF(E71&lt;=0.032,E71*'Reference Standards'!$AH$576+'Reference Standards'!$AH$577,IF(E71&lt;=0.3,E71*'Reference Standards'!$AF$576+'Reference Standards'!$AF$577,E71*'Reference Standards'!$AB$576+'Reference Standards'!$AB$577))),2)),IF('Quantification Tool R2'!$B$12="73a",IF(E71&gt;0.448,0,ROUND(IF(E71&lt;=0.071,1,IF(E71&lt;=0.086,E71*'Reference Standards'!$AJ$576+'Reference Standards'!$AJ$577,IF(E71&lt;=0.165,E71*'Reference Standards'!$AG$576+'Reference Standards'!$AG$577,E71*'Reference Standards'!$AE$576+'Reference Standards'!$AE$577))),2)),IF('Quantification Tool R2'!$B$12="74b",IF(E71&gt;0.43,0,ROUND(IF(E71&lt;=0.018,1,IF(E71&lt;=0.019,0.85,IF(E71&lt;=0.02,0.7,E71^2*'Reference Standards'!$AC$575+E71*'Reference Standards'!$AC$576+'Reference Standards'!$AC$577))),2)),IF('Quantification Tool R2'!$B$12="74a",IF(E71&gt;0.217,0,ROUND(IF(E71&lt;=0.02,1,IF(E71&lt;=0.033,E71*'Reference Standards'!$AI$576+'Reference Standards'!$AI$577,E71^2*'Reference Standards'!$AD$575+E71*'Reference Standards'!$AD$576+'Reference Standards'!$AD$577)),2)))))))))))))))))))))</f>
        <v/>
      </c>
      <c r="G71" s="87" t="str">
        <f>IFERROR(AVERAGE(F71),"")</f>
        <v/>
      </c>
      <c r="H71" s="549"/>
      <c r="I71" s="536"/>
      <c r="J71" s="559"/>
      <c r="K71" s="555"/>
      <c r="L71" s="21"/>
    </row>
    <row r="72" spans="1:12" ht="15.6" x14ac:dyDescent="0.3">
      <c r="A72" s="550" t="s">
        <v>59</v>
      </c>
      <c r="B72" s="560" t="s">
        <v>340</v>
      </c>
      <c r="C72" s="125" t="s">
        <v>331</v>
      </c>
      <c r="D72" s="126"/>
      <c r="E72" s="166"/>
      <c r="F72" s="345" t="str">
        <f>IF(E72="","",IF(OR('Quantification Tool R2'!B$12="73a",'Quantification Tool R2'!B$12="73b"),IF(E72&lt;1,0,IF(E72&gt;=30,1,ROUND(IF(E72&lt;22,'Reference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531" t="str">
        <f>IFERROR(AVERAGE(F72:F75),"")</f>
        <v/>
      </c>
      <c r="H72" s="568" t="str">
        <f>IFERROR(ROUND(AVERAGE(G72:G77),2),"")</f>
        <v/>
      </c>
      <c r="I72" s="519" t="str">
        <f>IF(H72="","",IF(H72&gt;0.69,"Functioning",IF(H72&gt;0.29,"Functioning At Risk",IF(H72&gt;-1,"Not Functioning"))))</f>
        <v/>
      </c>
      <c r="J72" s="559"/>
      <c r="K72" s="555"/>
      <c r="L72" s="21"/>
    </row>
    <row r="73" spans="1:12" ht="15.6" x14ac:dyDescent="0.3">
      <c r="A73" s="556"/>
      <c r="B73" s="561"/>
      <c r="C73" s="174" t="s">
        <v>335</v>
      </c>
      <c r="D73" s="175"/>
      <c r="E73" s="165"/>
      <c r="F73" s="346" t="str">
        <f>IF(E73="","",IF(AND('Quantification Tool R2'!$B$12="74b",'Quantification Tool R2'!$B$13&lt;=2),IF(E73&lt;0,0,IF(E73&gt;15.6,0.69,ROUND('Reference Standards'!$AL$54*E73^2+'Reference Standards'!$AL$55*E73+'Reference Standards'!$AL$56,2))),IF(AND('Quantification Tool R2'!$B$12="65abei",'Quantification Tool R2'!$B$13&lt;=2),IF(E73&lt;0,0,IF(E73&gt;=20,0.69,ROUND('Reference Standards'!$AM$54*E73^2+'Reference Standards'!$AM$55*E73+'Reference Standards'!$AM$56,2))),IF(OR(AND('Quantification Tool R2'!$B$12="74a",'Quantification Tool R2'!$B$13&gt;2,'Quantification Tool R2'!$B$19="January - June"),AND('Quantification Tool R2'!$B$12="71i",'Quantification Tool R2'!$B$13&gt;2,'Quantification Tool R2'!$B$20="SQBANK")),IF(E73&lt;0,0,IF(E73&gt;24.7,0.69,ROUND('Reference Standards'!$AN$54*E73^2+'Reference Standards'!$AN$55*E73+'Reference Standards'!$AN$56,2))),IF(OR('Quantification Tool R2'!$B$12="74b",'Quantification Tool R2'!$B$12="65abei"),IF(E73&lt;0,0,IF(E73&gt;32.7,0.69,ROUND('Reference Standards'!$AO$54*E73^2+'Reference Standards'!$AO$55*E73+'Reference Standards'!$AO$56,2))),IF(AND('Quantification Tool R2'!$B$12="68b",'Quantification Tool R2'!$B$13&gt;2),IF(E73&lt;0,0,IF(E73&gt;41.2,0.69,ROUND('Reference Standards'!$AP$54*E73^2+'Reference Standards'!$AP$55*E73+'Reference Standards'!$AP$56,2))),IF(OR(AND('Quantification Tool R2'!$B$12="71i",'Quantification Tool R2'!$B$13&lt;=2),AND(OR('Quantification Tool R2'!$B$12="68c",'Quantification Tool R2'!$B$12="68d"),'Quantification Tool R2'!$B$19="January - June")),IF(E73&lt;0,0,IF(E73&gt;49.2,0.69,ROUND('Reference Standards'!$AL$94*E73^2+'Reference Standards'!$AL$95*E73+'Reference Standards'!$AL$96,2))),IF(OR(AND('Quantification Tool R2'!$B$12="68a",'Quantification Tool R2'!$B$19="January - June"),AND(OR('Quantification Tool R2'!$B$12="68c",'Quantification Tool R2'!$B$12="68d"),'Quantification Tool R2'!$B$19="July - December")),IF(E73&lt;0,0,IF(E73&gt;53.4,0.69,ROUND('Reference Standards'!$AM$94*E73^2+'Reference Standards'!$AM$95*E73+'Reference Standards'!$AM$96,2))),IF(OR(AND('Quantification Tool R2'!$B$12="71i",'Quantification Tool R2'!$B$13&gt;2,'Quantification Tool R2'!$B$20="SQKICK"),AND(OR('Quantification Tool R2'!$B$12="67fhi",'Quantification Tool R2'!$B$12="67g"),'Quantification Tool R2'!$B$13&lt;=2),'Quantification Tool R2'!$B$12="65j"),IF(E73&lt;0,0,IF(E73&gt;57.8,0.69,ROUND('Reference Standards'!$AN$94*E73^2+'Reference Standards'!$AN$95*E73+'Reference Standards'!$AN$96,2))),IF(OR(AND('Quantification Tool R2'!$B$12="74a",'Quantification Tool R2'!$B$13&gt;2,'Quantification Tool R2'!$B$19="July - December"),AND(OR('Quantification Tool R2'!$B$12="67fhi",'Quantification Tool R2'!$B$12="67g"),'Quantification Tool R2'!$B$13&gt;2),'Quantification Tool R2'!$B$12="69de"),IF(E73&lt;0,0,IF(E73&gt;62.5,0.69,ROUND('Reference Standards'!$AO$94*E73^2+'Reference Standards'!$AO$95*E73+'Reference Standards'!$AO$96,2))),  IF(OR('Quantification Tool R2'!$B$12="66d",'Quantification Tool R2'!$B$12="66e",'Quantification Tool R2'!$B$12="66ik",'Quantification Tool R2'!$B$12="71e",'Quantification Tool R2'!$B$12="71f",'Quantification Tool R2'!$B$12="71g",'Quantification Tool R2'!$B$12="71h"),IF(E73&lt;0,0,IF(E73&gt;66.5,0.69,ROUND('Reference Standards'!$AP$94*E73^2+'Reference Standards'!$AP$95*E73+'Reference Standards'!$AP$96,2))),IF(OR('Quantification Tool R2'!$B$12="66f",'Quantification Tool R2'!$B$12="66g",'Quantification Tool R2'!$B$12="66j",AND('Quantification Tool R2'!$B$12="68a",'Quantification Tool R2'!$B$19="July - December")), IF(E73&lt;0,0,IF(E73&gt;69,0.69,ROUND('Reference Standards'!$AQ$94*E73^2+'Reference Standards'!$AQ$95*E73+'Reference Standards'!$AQ$96,2))))   )))))))))))</f>
        <v/>
      </c>
      <c r="G73" s="531"/>
      <c r="H73" s="568"/>
      <c r="I73" s="519"/>
      <c r="J73" s="559"/>
      <c r="K73" s="555"/>
      <c r="L73" s="21"/>
    </row>
    <row r="74" spans="1:12" ht="15.6" x14ac:dyDescent="0.3">
      <c r="A74" s="556"/>
      <c r="B74" s="561"/>
      <c r="C74" s="174" t="s">
        <v>339</v>
      </c>
      <c r="D74" s="175"/>
      <c r="E74" s="165"/>
      <c r="F74" s="346" t="str">
        <f>IF(E74="","",IF(AND('Quantification Tool R2'!$B$12="74b",'Quantification Tool R2'!$B$13&lt;=2),IF(E74&lt;0,0,IF(E74&gt;8.1,0.69,ROUND('Reference Standards'!$AL$131*E74^2+'Reference Standards'!$AL$132*E74+'Reference Standards'!$AL$133,2))),IF(OR('Quantification Tool R2'!$B$12="73a",'Quantification Tool R2'!$B$12="73b"),IF(E74&lt;0,0,IF(E74&gt;=28,0.69,ROUND('Reference Standards'!$AM$131*E74^2+'Reference Standards'!$AM$132*E74+'Reference Standards'!$AM$133,2))),IF(AND('Quantification Tool R2'!$B$12="74a",'Quantification Tool R2'!$B$13&gt;2,'Quantification Tool R2'!$B$19="January - June"),IF(E74&lt;0,0,IF(E74&gt;=32.5,0.69,ROUND('Reference Standards'!$AN$131*E74^2+'Reference Standards'!$AN$132*E74+'Reference Standards'!$AN$133,2))),IF(AND('Quantification Tool R2'!$B$12="71i",'Quantification Tool R2'!$B$13&gt;2,'Quantification Tool R2'!$B$20="SQBANK"),IF(E74&lt;0,0,IF(E74&gt;=37,0.69,ROUND('Reference Standards'!$AO$131*E74^2+'Reference Standards'!$AO$132*E74+'Reference Standards'!$AO$133,2))),IF(OR(AND(OR('Quantification Tool R2'!$B$12="65abei",'Quantification Tool R2'!$B$12="74b"),'Quantification Tool R2'!$B$13&gt;2),AND('Quantification Tool R2'!$B$12="71i",'Quantification Tool R2'!$B$13&gt;2,'Quantification Tool R2'!$B$20="SQKICK")),IF(E74&lt;0,0,IF(E74&gt;42.6,0.69,ROUND('Reference Standards'!$AP$131*E74^2+'Reference Standards'!$AP$132*E74+'Reference Standards'!$AP$133,2))),     IF(OR(AND('Quantification Tool R2'!$B$12="65abei",'Quantification Tool R2'!$B$13&lt;=2),AND(OR('Quantification Tool R2'!$B$12="68c",'Quantification Tool R2'!$B$12="68d"),'Quantification Tool R2'!$B$19="July - December"),'Quantification Tool R2'!$B$12="71e"),IF(E74&lt;0,0,IF(E74&gt;=48,0.69,ROUND('Reference Standards'!$AL$171*E74^2+'Reference Standards'!$AL$172*E74+'Reference Standards'!$AL$173,2))),IF(OR('Quantification Tool R2'!$B$12="65j",'Quantification Tool R2'!$B$12="67fhi",'Quantification Tool R2'!$B$12="67g",AND('Quantification Tool R2'!$B$12="74a",'Quantification Tool R2'!$B$19="July - December",'Quantification Tool R2'!$B$13&gt;2),AND('Quantification Tool R2'!$B$12="71i",'Quantification Tool R2'!$B$13&lt;=2)),IF(E74&lt;0,0,IF(E74&gt;=53,0.69,ROUND('Reference Standards'!$AM$171*E74^2+'Reference Standards'!$AM$172*E74+'Reference Standards'!$AM$173,2))),IF(OR(AND(OR('Quantification Tool R2'!$B$12="68b",'Quantification Tool R2'!$B$12="71f",'Quantification Tool R2'!$B$12="71g",'Quantification Tool R2'!$B$12="71h"),'Quantification Tool R2'!$B$13&gt;2),'Quantification Tool R2'!$B$12="68a"),IF(E74&lt;0,0,IF(E74&gt;=57,0.69,ROUND('Reference Standards'!$AN$171*E74^2+'Reference Standards'!$AN$172*E74+'Reference Standards'!$AN$173,2))),IF(OR('Quantification Tool R2'!$B$12="66f",'Quantification Tool R2'!$B$12="66g",'Quantification Tool R2'!$B$12="66j",AND(OR('Quantification Tool R2'!$B$12="71f",'Quantification Tool R2'!$B$12="71g",'Quantification Tool R2'!$B$12="71h"),'Quantification Tool R2'!$B$13&lt;=2)),IF(E74&lt;0,0,IF(E74&gt;=60,0.69,ROUND('Reference Standards'!$AO$171*E74^2+'Reference Standards'!$AO$172*E74+'Reference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December")),IF(E74&lt;0,0,IF(E74&gt;=67.5,0.69,ROUND('Reference Standards'!$AP$171*E74^2+'Reference Standards'!$AP$172*E74+'Reference Standards'!$AP$173,2))),IF(AND('Quantification Tool R2'!$B$12="69de",'Quantification Tool R2'!$B$19="January - June"), IF(E74&lt;0,0,IF(E74&gt;=72,0.69,ROUND('Reference Standards'!$AQ$171*E74^2+'Reference Standards'!$AQ$172*E74+'Reference Standards'!$AQ$173,2))))   )))))))))))</f>
        <v/>
      </c>
      <c r="G74" s="531"/>
      <c r="H74" s="568"/>
      <c r="I74" s="519"/>
      <c r="J74" s="559"/>
      <c r="K74" s="555"/>
      <c r="L74" s="21"/>
    </row>
    <row r="75" spans="1:12" ht="15.6" x14ac:dyDescent="0.3">
      <c r="A75" s="556"/>
      <c r="B75" s="562"/>
      <c r="C75" s="127" t="s">
        <v>336</v>
      </c>
      <c r="D75" s="71"/>
      <c r="E75" s="167"/>
      <c r="F75" s="346" t="str">
        <f>IF(E75="","",IF(OR('Quantification Tool R2'!$B$12="67fhi",'Quantification Tool R2'!$B$12="67g",'Quantification Tool R2'!$B$12="71e",'Quantification Tool R2'!$B$12="73a",'Quantification Tool R2'!$B$12="73b",AND(OR('Quantification Tool R2'!$B$12="71f",'Quantification Tool R2'!$B$12="71g",'Quantification Tool R2'!$B$12="71h"),'Quantification Tool R2'!$B$13&gt;2)),IF(E75&gt;100,0,IF(E75&lt;15,0.69,ROUND('Reference Standards'!$AL$208*E75^2+'Reference Standards'!$AL$209*E75+'Reference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),IF(E75&gt;100,0,IF(E75&lt;19,0.69,ROUND('Reference Standards'!$AM$208*E75^2+'Reference Standards'!$AM$209*E75+'Reference Standards'!$AM$210,2))),    IF(OR(AND('Quantification Tool R2'!$B$12="69de",'Quantification Tool R2'!$B$19="January - June"),AND('Quantification Tool R2'!$B$12="71i",'Quantification Tool R2'!$B$13&gt;2,'Quantification Tool R2'!$B$20="SQKICK" )),IF(E75&gt;100,0,IF(E75&lt;22,0.69,ROUND('Reference Standards'!$AN$208*E75^2+'Reference Standards'!$AN$209*E75+'Reference Standards'!$AN$210,2))),    IF(OR('Quantification Tool R2'!$B$12="65j",AND('Quantification Tool R2'!$B$12="68b",'Quantification Tool R2'!$B$13&gt;2)),IF(E75&gt;100,0,IF(E75&lt;24,0.69,ROUND('Reference Standards'!$AO$208*E75^2+'Reference Standards'!$AO$209*E75+'Reference Standards'!$AO$210,2))),    IF(AND(OR('Quantification Tool R2'!$B$12="65abei",'Quantification Tool R2'!$B$12="71f",'Quantification Tool R2'!$B$12="71g",'Quantification Tool R2'!$B$12="71h"),'Quantification Tool R2'!$B$13&lt;=2),IF(E75&gt;95,0,IF(E75&lt;33,0.69,ROUND('Reference Standards'!$AL$246*E75^2+'Reference Standards'!$AL$247*E75+'Reference Standards'!$AL$248,2))),   IF(AND(OR('Quantification Tool R2'!$B$12="65abei",'Quantification Tool R2'!$B$12="74b"),'Quantification Tool R2'!$B$13&gt;2),IF(E75&gt;97,0,IF(E75&lt;36,0.69,ROUND('Reference Standards'!$AM$246*E75^2+'Reference Standards'!$AM$247*E75+'Reference Standards'!$AM$248,2))),  IF(AND('Quantification Tool R2'!$B$12="74a",'Quantification Tool R2'!$B$19="January - June",'Quantification Tool R2'!$B$13&gt;2),IF(E75&gt;93,0,IF(E75&lt;52,0.69,ROUND('Reference Standards'!$AN$246*E75^2+'Reference Standards'!$AN$247*E75+'Reference Standards'!$AN$248,2))),   IF(AND('Quantification Tool R2'!$B$12="74b",'Quantification Tool R2'!$B$13&lt;=2),IF(E75&gt;97,0,IF(E75&lt;62,0.69,ROUND('Reference Standards'!$AO$246*E75^2+'Reference Standards'!$AO$247*E75+'Reference Standards'!$AO$248,2)))  )))))))))</f>
        <v/>
      </c>
      <c r="G75" s="531"/>
      <c r="H75" s="568"/>
      <c r="I75" s="519"/>
      <c r="J75" s="559"/>
      <c r="K75" s="555"/>
      <c r="L75" s="21"/>
    </row>
    <row r="76" spans="1:12" ht="15.6" x14ac:dyDescent="0.3">
      <c r="A76" s="556"/>
      <c r="B76" s="563" t="s">
        <v>74</v>
      </c>
      <c r="C76" s="125" t="s">
        <v>211</v>
      </c>
      <c r="D76" s="126"/>
      <c r="E76" s="166"/>
      <c r="F76" s="345" t="str">
        <f>IF(E76="","",IF(E76=1,0.15,IF(E76=3,0.5,IF(E76=5,0.85,0))))</f>
        <v/>
      </c>
      <c r="G76" s="564" t="str">
        <f>IFERROR(AVERAGE(F76:F77),"")</f>
        <v/>
      </c>
      <c r="H76" s="568"/>
      <c r="I76" s="519"/>
      <c r="J76" s="559"/>
      <c r="K76" s="555"/>
      <c r="L76" s="21"/>
    </row>
    <row r="77" spans="1:12" ht="15.6" x14ac:dyDescent="0.3">
      <c r="A77" s="551"/>
      <c r="B77" s="563"/>
      <c r="C77" s="127" t="s">
        <v>332</v>
      </c>
      <c r="D77" s="71"/>
      <c r="E77" s="167"/>
      <c r="F77" s="347" t="str">
        <f>IF(E77="","",IF(E77=1,0.15,IF(E77=3,0.5,IF(E77=5,0.85,0))))</f>
        <v/>
      </c>
      <c r="G77" s="565"/>
      <c r="H77" s="568"/>
      <c r="I77" s="519"/>
      <c r="J77" s="559"/>
      <c r="K77" s="555"/>
      <c r="L77" s="21"/>
    </row>
    <row r="78" spans="1:12" x14ac:dyDescent="0.3">
      <c r="L78" s="21"/>
    </row>
    <row r="79" spans="1:12" ht="21" x14ac:dyDescent="0.4">
      <c r="A79" s="148" t="s">
        <v>135</v>
      </c>
      <c r="B79" s="246"/>
      <c r="C79" s="249" t="s">
        <v>324</v>
      </c>
      <c r="D79" s="246"/>
      <c r="E79" s="247"/>
      <c r="F79" s="248"/>
      <c r="G79" s="544" t="s">
        <v>18</v>
      </c>
      <c r="H79" s="545"/>
      <c r="I79" s="545"/>
      <c r="J79" s="545"/>
      <c r="K79" s="546"/>
      <c r="L79" s="21"/>
    </row>
    <row r="80" spans="1:12" ht="15.6" x14ac:dyDescent="0.3">
      <c r="A80" s="158" t="s">
        <v>1</v>
      </c>
      <c r="B80" s="158" t="s">
        <v>2</v>
      </c>
      <c r="C80" s="542" t="s">
        <v>3</v>
      </c>
      <c r="D80" s="644"/>
      <c r="E80" s="158" t="s">
        <v>15</v>
      </c>
      <c r="F80" s="158" t="s">
        <v>16</v>
      </c>
      <c r="G80" s="158" t="s">
        <v>19</v>
      </c>
      <c r="H80" s="158" t="s">
        <v>20</v>
      </c>
      <c r="I80" s="314" t="s">
        <v>20</v>
      </c>
      <c r="J80" s="158" t="s">
        <v>21</v>
      </c>
      <c r="K80" s="315" t="s">
        <v>21</v>
      </c>
    </row>
    <row r="81" spans="1:11" ht="15.6" x14ac:dyDescent="0.3">
      <c r="A81" s="540" t="s">
        <v>60</v>
      </c>
      <c r="B81" s="308" t="s">
        <v>86</v>
      </c>
      <c r="C81" s="52" t="s">
        <v>388</v>
      </c>
      <c r="D81" s="52"/>
      <c r="E81" s="162"/>
      <c r="F81" s="338" t="str">
        <f>IF(E81="","",IF(E81&lt;=0,0,IF(E81&gt;=0.95,1,ROUND('Reference Standards'!C$14*E81+'Reference Standards'!C$15,2))))</f>
        <v/>
      </c>
      <c r="G81" s="83" t="str">
        <f>IFERROR(AVERAGE(F81),"")</f>
        <v/>
      </c>
      <c r="H81" s="522" t="str">
        <f>IFERROR(ROUND(AVERAGE(G81:G82),2),"")</f>
        <v/>
      </c>
      <c r="I81" s="519" t="str">
        <f>IF(H81="","",IF(H81&gt;0.69,"Functioning",IF(H81&gt;0.29,"Functioning At Risk",IF(H81&gt;-1,"Not Functioning"))))</f>
        <v/>
      </c>
      <c r="J81" s="559" t="str">
        <f>IF(AND(H81="",H83="",H85="",H107="",H111=""),"",ROUND((IF(H81="",0,H81)*0.2)+(IF(H83="",0,H83)*0.2)+(IF(H85="",0,H85)*0.2)+(IF(H107="",0,H107)*0.2)+(IF(H111="",0,H111)*0.2),2))</f>
        <v/>
      </c>
      <c r="K81" s="555" t="str">
        <f>IF(J81="","",IF(J81&lt;0.3, "Not Functioning",IF(OR(H81&lt;0.7,H83&lt;0.7,H85&lt;0.7,H107&lt;0.7,H111&lt;0.7),"Functioning At Risk",IF(J81&lt;0.7,"Functioning At Risk","Functioning"))))</f>
        <v/>
      </c>
    </row>
    <row r="82" spans="1:11" ht="15.6" x14ac:dyDescent="0.3">
      <c r="A82" s="541"/>
      <c r="B82" s="371" t="s">
        <v>128</v>
      </c>
      <c r="C82" s="373" t="s">
        <v>161</v>
      </c>
      <c r="D82" s="374"/>
      <c r="E82" s="43"/>
      <c r="F82" s="372" t="str">
        <f>IF(E82="","",IF(E82&gt;=1,1,IF(E82&lt;=0,0,ROUND(E82,2))))</f>
        <v/>
      </c>
      <c r="G82" s="367" t="str">
        <f>IFERROR(AVERAGE(F82:F82),"")</f>
        <v/>
      </c>
      <c r="H82" s="523"/>
      <c r="I82" s="519"/>
      <c r="J82" s="559"/>
      <c r="K82" s="555"/>
    </row>
    <row r="83" spans="1:11" ht="15.6" x14ac:dyDescent="0.3">
      <c r="A83" s="524" t="s">
        <v>6</v>
      </c>
      <c r="B83" s="572" t="s">
        <v>7</v>
      </c>
      <c r="C83" s="54" t="s">
        <v>8</v>
      </c>
      <c r="D83" s="54"/>
      <c r="E83" s="162"/>
      <c r="F83" s="339" t="str">
        <f>IF(E83="","",ROUND(IF(E83&gt;1.6,0,IF(E83&lt;=1,1,E83^2*'Reference Standards'!K$14+E83*'Reference Standards'!K$15+'Reference Standards'!K$16)),2))</f>
        <v/>
      </c>
      <c r="G83" s="579" t="str">
        <f>IFERROR(AVERAGE(F83:F84),"")</f>
        <v/>
      </c>
      <c r="H83" s="579" t="str">
        <f>IFERROR(ROUND(AVERAGE(G83),2),"")</f>
        <v/>
      </c>
      <c r="I83" s="569" t="str">
        <f>IF(H83="","",IF(H83&gt;0.69,"Functioning",IF(H83&gt;0.29,"Functioning At Risk",IF(H83&gt;-1,"Not Functioning"))))</f>
        <v/>
      </c>
      <c r="J83" s="559"/>
      <c r="K83" s="555"/>
    </row>
    <row r="84" spans="1:11" ht="15.6" x14ac:dyDescent="0.3">
      <c r="A84" s="525"/>
      <c r="B84" s="572"/>
      <c r="C84" s="54" t="s">
        <v>9</v>
      </c>
      <c r="D84" s="54"/>
      <c r="E84" s="163"/>
      <c r="F84" s="339" t="str">
        <f>IF(E84="","",(IF(OR('Quantification Tool R2'!B$11="A",'Quantification Tool R2'!B$11="B",'Quantification Tool R2'!$B$11="Bc"),IF(E84&lt;1.2,0,IF(E84&gt;=2.2,1,ROUND(IF(E84&lt;1.4,E84*'Reference Standards'!$K$84+'Reference Standards'!$K$85,E84*'Reference Standards'!$L$84+'Reference Standards'!$L$85),2))),IF(OR('Quantification Tool R2'!B$11="C",'Quantification Tool R2'!B$11="E"),IF(E84&lt;2,0,IF(E84&gt;=5,1,ROUND(IF(E84&lt;2.4,E84*'Reference Standards'!$L$49+'Reference Standards'!$L$50,E84*'Reference Standards'!$K$49+'Reference Standards'!$K$50),2)))))))</f>
        <v/>
      </c>
      <c r="G84" s="581"/>
      <c r="H84" s="580"/>
      <c r="I84" s="570"/>
      <c r="J84" s="559"/>
      <c r="K84" s="555"/>
    </row>
    <row r="85" spans="1:11" ht="15.6" x14ac:dyDescent="0.3">
      <c r="A85" s="526" t="s">
        <v>26</v>
      </c>
      <c r="B85" s="557" t="s">
        <v>27</v>
      </c>
      <c r="C85" s="60" t="s">
        <v>333</v>
      </c>
      <c r="D85" s="244"/>
      <c r="E85" s="61"/>
      <c r="F85" s="340" t="str">
        <f>IF(E85="","",IF(OR(LEFT('Quantification Tool R2'!$B$12,2)="65",LEFT('Quantification Tool R2'!$B$12,2)="66",LEFT('Quantification Tool R2'!$B$12,2)="71"),IF(E85&gt;=850,1,IF(E85&lt;250,ROUND('Reference Standards'!$S$17*(E85)+'Reference Standards'!$S$18,2),ROUND('Reference Standards'!$T$17*E85+'Reference Standards'!$T$18,2))),  IF(E85&gt;=345,1,IF(E85&lt;=180,ROUND('Reference Standards'!$U$17*(E85)+'Reference Standards'!$U$18,2),ROUND('Reference Standards'!$V$17*E85+'Reference Standards'!$V$18,2))))    )</f>
        <v/>
      </c>
      <c r="G85" s="528" t="str">
        <f>IFERROR(AVERAGE(F85:F86),"")</f>
        <v/>
      </c>
      <c r="H85" s="566" t="str">
        <f>IFERROR(ROUND(AVERAGE(G85:G106),2),"")</f>
        <v/>
      </c>
      <c r="I85" s="555" t="str">
        <f>IF(H85="","",IF(H85&gt;0.69,"Functioning",IF(H85&gt;0.29,"Functioning At Risk",IF(H85&gt;-1,"Not Functioning"))))</f>
        <v/>
      </c>
      <c r="J85" s="559"/>
      <c r="K85" s="555"/>
    </row>
    <row r="86" spans="1:11" ht="15.6" x14ac:dyDescent="0.3">
      <c r="A86" s="520"/>
      <c r="B86" s="558"/>
      <c r="C86" s="63" t="s">
        <v>323</v>
      </c>
      <c r="D86" s="245"/>
      <c r="E86" s="53"/>
      <c r="F86" s="341" t="str">
        <f>IF(E86="","",IF(OR(LEFT('Quantification Tool R2'!$B$12,2)="65",LEFT('Quantification Tool R2'!$B$12,2)="66",LEFT('Quantification Tool R2'!$B$12,2)="71"),IF(E86&gt;=30,1,IF(E86&lt;13,ROUND('Reference Standards'!$S$53*(E86)+'Reference Standards'!$S$54,2),ROUND('Reference Standards'!$T$53*E86+'Reference Standards'!$T$54,2))),  IF(E86&gt;=16,1,IF(E86&lt;=9,ROUND('Reference Standards'!$U$53*(E86)+'Reference Standards'!$U$54,2),ROUND('Reference Standards'!$V$53*E86+'Reference Standards'!$V$54,2))))    )</f>
        <v/>
      </c>
      <c r="G86" s="530"/>
      <c r="H86" s="566"/>
      <c r="I86" s="555"/>
      <c r="J86" s="559"/>
      <c r="K86" s="555"/>
    </row>
    <row r="87" spans="1:11" ht="15.6" x14ac:dyDescent="0.3">
      <c r="A87" s="520"/>
      <c r="B87" s="520" t="s">
        <v>395</v>
      </c>
      <c r="C87" s="58" t="s">
        <v>80</v>
      </c>
      <c r="D87" s="58"/>
      <c r="E87" s="165"/>
      <c r="F87" s="340" t="str">
        <f>IF(E87="","",ROUND(IF(E87&gt;0.7,0,IF(E87&lt;=0.1,1,E87^3*'Reference Standards'!S$87+E87^2*'Reference Standards'!S$88+E87*'Reference Standards'!S$89+'Reference Standards'!S$90)),2))</f>
        <v/>
      </c>
      <c r="G87" s="528" t="str">
        <f>IFERROR(ROUND(AVERAGE(F87:F90),2),"")</f>
        <v/>
      </c>
      <c r="H87" s="567"/>
      <c r="I87" s="555"/>
      <c r="J87" s="559"/>
      <c r="K87" s="555"/>
    </row>
    <row r="88" spans="1:11" ht="15.6" x14ac:dyDescent="0.3">
      <c r="A88" s="520"/>
      <c r="B88" s="520"/>
      <c r="C88" s="58" t="s">
        <v>49</v>
      </c>
      <c r="D88" s="58"/>
      <c r="E88" s="165"/>
      <c r="F88" s="84" t="str">
        <f>IF(E88="","",IF(OR(E88="Ex/Ex",E88="Ex/VH"),0, IF(OR(E88="Ex/H",E88="VH/Ex",E88="VH/VH", E88="H/Ex",E88="H/VH",E88="M/Ex"),0.1,IF(OR(E88="Ex/M",E88="VH/H",E88="H/H", E88="M/VH"),0.2, IF(OR(E88="Ex/L",E88="VH/M",E88="H/M", E88="M/H",E88="L/Ex"),0.3, IF(OR(E88="Ex/VL",E88="VH/L",E88="H/L"),0.4, IF(OR(E88="VH/VL",E88="H/VL",E88="M/M", E88="L/VH"),0.5, IF(OR(E88="M/L",E88="L/H"),0.6, IF(OR(E88="M/VL",E88="L/M"),0.7, IF(OR(E88="L/L",E88="L/VL"),1))))))))))</f>
        <v/>
      </c>
      <c r="G88" s="529"/>
      <c r="H88" s="567"/>
      <c r="I88" s="555"/>
      <c r="J88" s="559"/>
      <c r="K88" s="555"/>
    </row>
    <row r="89" spans="1:11" ht="15.6" x14ac:dyDescent="0.3">
      <c r="A89" s="520"/>
      <c r="B89" s="520"/>
      <c r="C89" s="58" t="s">
        <v>87</v>
      </c>
      <c r="D89" s="58"/>
      <c r="E89" s="165"/>
      <c r="F89" s="84" t="str">
        <f>IF(E89="","",ROUND(IF(E89&gt;40,0,IF(E89&lt;5,1,E89^3*'Reference Standards'!S$122+E89^2*'Reference Standards'!S$123+E89*'Reference Standards'!S$124+'Reference Standards'!S$125)),2))</f>
        <v/>
      </c>
      <c r="G89" s="529"/>
      <c r="H89" s="567"/>
      <c r="I89" s="555"/>
      <c r="J89" s="559"/>
      <c r="K89" s="555"/>
    </row>
    <row r="90" spans="1:11" ht="15.6" x14ac:dyDescent="0.3">
      <c r="A90" s="520"/>
      <c r="B90" s="521"/>
      <c r="C90" s="59" t="s">
        <v>394</v>
      </c>
      <c r="D90" s="59"/>
      <c r="E90" s="167"/>
      <c r="F90" s="341" t="str">
        <f>IF(E90="","",ROUND(IF(E90&gt;=30,0,IF(E90&lt;=0,1,E90*'Reference Standards'!S$156+'Reference Standards'!S$157)),2))</f>
        <v/>
      </c>
      <c r="G90" s="530"/>
      <c r="H90" s="567"/>
      <c r="I90" s="555"/>
      <c r="J90" s="559"/>
      <c r="K90" s="555"/>
    </row>
    <row r="91" spans="1:11" ht="15.6" x14ac:dyDescent="0.3">
      <c r="A91" s="520"/>
      <c r="B91" s="520" t="s">
        <v>50</v>
      </c>
      <c r="C91" s="60" t="s">
        <v>377</v>
      </c>
      <c r="D91" s="64"/>
      <c r="E91" s="136"/>
      <c r="F91" s="294" t="str">
        <f>IF(E91="","",ROUND(IF(E91&gt;9.2,1,E91*'Reference Standards'!$S$189+'Reference Standards'!$S$190),2))</f>
        <v/>
      </c>
      <c r="G91" s="552" t="str">
        <f>IFERROR(ROUND(AVERAGE(F91:F100),2),"")</f>
        <v/>
      </c>
      <c r="H91" s="567"/>
      <c r="I91" s="555"/>
      <c r="J91" s="559"/>
      <c r="K91" s="555"/>
    </row>
    <row r="92" spans="1:11" ht="15.6" x14ac:dyDescent="0.3">
      <c r="A92" s="520"/>
      <c r="B92" s="520"/>
      <c r="C92" s="62" t="s">
        <v>378</v>
      </c>
      <c r="D92" s="58"/>
      <c r="E92" s="162"/>
      <c r="F92" s="294" t="str">
        <f>IF(E92="","",ROUND(IF(E92&gt;9.2,1,E92*'Reference Standards'!$S$189+'Reference Standards'!$S$190),2))</f>
        <v/>
      </c>
      <c r="G92" s="553"/>
      <c r="H92" s="567"/>
      <c r="I92" s="555"/>
      <c r="J92" s="559"/>
      <c r="K92" s="555"/>
    </row>
    <row r="93" spans="1:11" ht="15.6" x14ac:dyDescent="0.3">
      <c r="A93" s="520"/>
      <c r="B93" s="520"/>
      <c r="C93" s="62" t="s">
        <v>379</v>
      </c>
      <c r="D93" s="58"/>
      <c r="E93" s="162"/>
      <c r="F93" s="294" t="str">
        <f>IF(E93="","",ROUND( IF(E93&gt;=200,1,IF(E93&lt;50, E93^2*'Reference Standards'!S$224+E93*'Reference Standards'!S$225+'Reference Standards'!S$226, E93*'Reference Standards'!T$224+'Reference Standards'!T$225)),2))</f>
        <v/>
      </c>
      <c r="G93" s="553"/>
      <c r="H93" s="567"/>
      <c r="I93" s="555"/>
      <c r="J93" s="559"/>
      <c r="K93" s="555"/>
    </row>
    <row r="94" spans="1:11" ht="15.6" x14ac:dyDescent="0.3">
      <c r="A94" s="520"/>
      <c r="B94" s="520"/>
      <c r="C94" s="62" t="s">
        <v>380</v>
      </c>
      <c r="D94" s="58"/>
      <c r="E94" s="162"/>
      <c r="F94" s="294" t="str">
        <f>IF(E94="","",ROUND( IF(E94&gt;=200,1,IF(E94&lt;50, E94^2*'Reference Standards'!S$224+E94*'Reference Standards'!S$225+'Reference Standards'!S$226, E94*'Reference Standards'!T$224+'Reference Standards'!T$225)),2))</f>
        <v/>
      </c>
      <c r="G94" s="553"/>
      <c r="H94" s="567"/>
      <c r="I94" s="555"/>
      <c r="J94" s="559"/>
      <c r="K94" s="555"/>
    </row>
    <row r="95" spans="1:11" ht="15.6" x14ac:dyDescent="0.3">
      <c r="A95" s="520"/>
      <c r="B95" s="520"/>
      <c r="C95" s="58" t="s">
        <v>381</v>
      </c>
      <c r="D95" s="58"/>
      <c r="E95" s="162"/>
      <c r="F95" s="294" t="str">
        <f>IF(E95="","",ROUND(IF(AND(E95&gt;=135,E95&lt;=262),1,IF(  E95&gt;=366,0.5, IF(E95&lt;135,E95*'Reference Standards'!S$259+'Reference Standards'!S$260, E95*'Reference Standards'!T$259+'Reference Standards'!T$260))),2))</f>
        <v/>
      </c>
      <c r="G95" s="553"/>
      <c r="H95" s="567"/>
      <c r="I95" s="555"/>
      <c r="J95" s="559"/>
      <c r="K95" s="555"/>
    </row>
    <row r="96" spans="1:11" ht="15.6" x14ac:dyDescent="0.3">
      <c r="A96" s="520"/>
      <c r="B96" s="520"/>
      <c r="C96" s="58" t="s">
        <v>382</v>
      </c>
      <c r="D96" s="58"/>
      <c r="E96" s="162"/>
      <c r="F96" s="294" t="str">
        <f>IF(E96="","",ROUND(IF(AND(E96&gt;=135,E96&lt;=262),1,IF(  E96&gt;=366,0.5, IF(E96&lt;135,E96*'Reference Standards'!S$259+'Reference Standards'!S$260, E96*'Reference Standards'!T$259+'Reference Standards'!T$260))),2))</f>
        <v/>
      </c>
      <c r="G96" s="553"/>
      <c r="H96" s="567"/>
      <c r="I96" s="555"/>
      <c r="J96" s="559"/>
      <c r="K96" s="555"/>
    </row>
    <row r="97" spans="1:13" ht="15.6" x14ac:dyDescent="0.3">
      <c r="A97" s="520"/>
      <c r="B97" s="520"/>
      <c r="C97" s="58" t="s">
        <v>383</v>
      </c>
      <c r="D97" s="58"/>
      <c r="E97" s="162"/>
      <c r="F97" s="84" t="str">
        <f>IF(E97="","",ROUND(IF(E97&gt;=75,1,IF(E97&lt;=0,0,E97*'Reference Standards'!S$330)),2))</f>
        <v/>
      </c>
      <c r="G97" s="553"/>
      <c r="H97" s="567"/>
      <c r="I97" s="555"/>
      <c r="J97" s="559"/>
      <c r="K97" s="555"/>
    </row>
    <row r="98" spans="1:13" ht="15.6" x14ac:dyDescent="0.3">
      <c r="A98" s="520"/>
      <c r="B98" s="520"/>
      <c r="C98" s="58" t="s">
        <v>384</v>
      </c>
      <c r="D98" s="58"/>
      <c r="E98" s="162"/>
      <c r="F98" s="84" t="str">
        <f>IF(E98="","",ROUND(IF(E98&gt;=75,1,IF(E98&lt;=0,0,E98*'Reference Standards'!S$330)),2))</f>
        <v/>
      </c>
      <c r="G98" s="553"/>
      <c r="H98" s="567"/>
      <c r="I98" s="555"/>
      <c r="J98" s="559"/>
      <c r="K98" s="555"/>
    </row>
    <row r="99" spans="1:13" ht="15.6" x14ac:dyDescent="0.3">
      <c r="A99" s="520"/>
      <c r="B99" s="520"/>
      <c r="C99" s="58" t="s">
        <v>385</v>
      </c>
      <c r="D99" s="58"/>
      <c r="E99" s="162"/>
      <c r="F99" s="294" t="str">
        <f>IF(E99="","",ROUND(IF(AND(E99&gt;=36.3,E99&lt;=68),1,IF(E99&gt;100,0,IF(E99&lt;36.3,(('Reference Standards'!S$297*(E99^2))+('Reference Standards'!S$298*E99)+'Reference Standards'!S$299),IF(E99&gt;68,(('Reference Standards'!T$297*(E99^2))+('Reference Standards'!T$298*E99)+'Reference Standards'!T$299))))),2))</f>
        <v/>
      </c>
      <c r="G99" s="553"/>
      <c r="H99" s="567"/>
      <c r="I99" s="555"/>
      <c r="J99" s="559"/>
      <c r="K99" s="555"/>
      <c r="M99" s="21"/>
    </row>
    <row r="100" spans="1:13" ht="15.6" x14ac:dyDescent="0.3">
      <c r="A100" s="520"/>
      <c r="B100" s="521"/>
      <c r="C100" s="58" t="s">
        <v>386</v>
      </c>
      <c r="D100" s="65"/>
      <c r="E100" s="162"/>
      <c r="F100" s="294" t="str">
        <f>IF(E100="","",ROUND(IF(AND(E100&gt;=36.3,E100&lt;=68),1,IF(E100&gt;100,0,IF(E100&lt;36.3,(('Reference Standards'!S$297*(E100^2))+('Reference Standards'!S$298*E100)+'Reference Standards'!S$299),IF(E100&gt;68,(('Reference Standards'!T$297*(E100^2))+('Reference Standards'!T$298*E100)+'Reference Standards'!T$299))))),2))</f>
        <v/>
      </c>
      <c r="G100" s="554"/>
      <c r="H100" s="567"/>
      <c r="I100" s="555"/>
      <c r="J100" s="559"/>
      <c r="K100" s="555"/>
    </row>
    <row r="101" spans="1:13" ht="15.6" x14ac:dyDescent="0.3">
      <c r="A101" s="520"/>
      <c r="B101" s="56" t="s">
        <v>108</v>
      </c>
      <c r="C101" s="72" t="s">
        <v>130</v>
      </c>
      <c r="D101" s="58"/>
      <c r="E101" s="43"/>
      <c r="F101" s="82" t="str">
        <f>IF(E101="","",IF(OR('Quantification Tool R2'!B$14="Gravel",'Quantification Tool R2'!B$14="Cobble"),IF(E101&gt;0.1,1,IF(E101&lt;=0.01,0,ROUND(E101*'Reference Standards'!$S$362+'Reference Standards'!$S$363,2)))))</f>
        <v/>
      </c>
      <c r="G101" s="82" t="str">
        <f>IFERROR(AVERAGE(F101),"")</f>
        <v/>
      </c>
      <c r="H101" s="567"/>
      <c r="I101" s="555"/>
      <c r="J101" s="559"/>
      <c r="K101" s="555"/>
    </row>
    <row r="102" spans="1:13" ht="15.6" x14ac:dyDescent="0.3">
      <c r="A102" s="520"/>
      <c r="B102" s="526" t="s">
        <v>51</v>
      </c>
      <c r="C102" s="64" t="s">
        <v>52</v>
      </c>
      <c r="D102" s="64"/>
      <c r="E102" s="166"/>
      <c r="F102" s="337" t="str">
        <f>IF(E102="","",IF(ISNUMBER('Quantification Tool R2'!$B$17),IF('Quantification Tool R2'!$B$17&lt;=2,IF(AND(E102&gt;=3,E102&lt;=5),1,IF(OR(E102&lt;=1,E102&gt;=7),0,ROUND(IF(E102&lt;3,E102*'Reference Standards'!S$398+'Reference Standards'!S$399,E102*'Reference Standards'!T$398+'Reference Standards'!T$399),2))),IF(E102&lt;=2.5,1,IF(E102&gt;=5.8,0,ROUND(E102*'Reference Standards'!S$430+'Reference Standards'!S$431,2))))))</f>
        <v/>
      </c>
      <c r="G102" s="528" t="str">
        <f>IFERROR(AVERAGE(F102:F105),"")</f>
        <v/>
      </c>
      <c r="H102" s="567"/>
      <c r="I102" s="555"/>
      <c r="J102" s="559"/>
      <c r="K102" s="555"/>
    </row>
    <row r="103" spans="1:13" ht="15.6" x14ac:dyDescent="0.3">
      <c r="A103" s="520"/>
      <c r="B103" s="520"/>
      <c r="C103" s="58" t="s">
        <v>53</v>
      </c>
      <c r="D103" s="58"/>
      <c r="E103" s="165"/>
      <c r="F103" s="84" t="str">
        <f>IF(E103="","", IF( E103&gt;=2.4,1, IF(E103&lt;=1,0,  ROUND(IF(E103&lt;2.4, E103*'Reference Standards'!$S$464+'Reference Standards'!$S$465  ),2))))</f>
        <v/>
      </c>
      <c r="G103" s="529"/>
      <c r="H103" s="567"/>
      <c r="I103" s="555"/>
      <c r="J103" s="559"/>
      <c r="K103" s="555"/>
    </row>
    <row r="104" spans="1:13" ht="15.6" x14ac:dyDescent="0.3">
      <c r="A104" s="520"/>
      <c r="B104" s="520"/>
      <c r="C104" s="58" t="s">
        <v>334</v>
      </c>
      <c r="D104" s="58"/>
      <c r="E104" s="165"/>
      <c r="F104" s="390" t="str">
        <f>IF(E104="","", IF(LEFT('Quantification Tool R2'!$B$12,2)="67",  IF( AND(E104&gt;=45,E104&lt;=65),1, IF(OR(E104&lt;=20,E104&gt;=90),0, ROUND(  IF(E104&lt;45, E104*'Reference Standards'!$S$498+'Reference Standards'!$S$499,E104*'Reference Standards'!$T$498+'Reference Standards'!$T$499),2))), IF(OR(  LEFT('Quantification Tool R2'!$B$12,2)="68", LEFT('Quantification Tool R2'!$B$12,2)="69",LEFT('Quantification Tool R2'!$B$12,2)="71"),  IF( AND(E104&gt;=30,E104&lt;=50),1, IF(OR(E104&lt;=10,E104&gt;=70),0, ROUND(  IF(E104&lt;30, E104*'Reference Standards'!$S$533+'Reference Standards'!$S$534,E104*'Reference Standards'!$T$533+'Reference Standards'!$T$534),2))), IF(LEFT('Quantification Tool R2'!$B$12,2)="66",  IF( AND(E104&gt;=20,E104&lt;=45),1, IF(OR(E104&lt;=0,E104&gt;=90),0, ROUND(  IF(E104&lt;20, E104*'Reference Standards'!$S$567+'Reference Standards'!$S$568,E104*'Reference Standards'!$T$567+'Reference Standards'!$T$568),2))), IF(OR(  LEFT('Quantification Tool R2'!$B$12,2)="65", LEFT('Quantification Tool R2'!$B$12,2)="74", LEFT('Quantification Tool R2'!$B$12,2)="73"),  IF( AND(E104&gt;=20,E104&lt;=30),1, IF(OR(E104&lt;=0,E104&gt;=50),0, ROUND(  IF(E104&lt;20, E104*'Reference Standards'!$S$601+'Reference Standards'!$S$602,E104*'Reference Standards'!$T$601+'Reference Standards'!$T$602),2))))))))</f>
        <v/>
      </c>
      <c r="G104" s="529"/>
      <c r="H104" s="567"/>
      <c r="I104" s="555"/>
      <c r="J104" s="559"/>
      <c r="K104" s="555"/>
    </row>
    <row r="105" spans="1:13" ht="15.6" x14ac:dyDescent="0.3">
      <c r="A105" s="520"/>
      <c r="B105" s="521"/>
      <c r="C105" s="62" t="s">
        <v>210</v>
      </c>
      <c r="D105" s="58"/>
      <c r="E105" s="167"/>
      <c r="F105" s="391" t="str">
        <f>IF(E105="","",IF(E105&gt;=1.6,0,IF(E105&lt;=1,1,ROUND('Reference Standards'!$S$633*E105^3+'Reference Standards'!$S$634*E105^2+'Reference Standards'!$S$635*E105+'Reference Standards'!$S$636,2))))</f>
        <v/>
      </c>
      <c r="G105" s="530"/>
      <c r="H105" s="567"/>
      <c r="I105" s="555"/>
      <c r="J105" s="559"/>
      <c r="K105" s="555"/>
      <c r="L105" s="13"/>
    </row>
    <row r="106" spans="1:13" ht="15.6" x14ac:dyDescent="0.3">
      <c r="A106" s="521"/>
      <c r="B106" s="309" t="s">
        <v>55</v>
      </c>
      <c r="C106" s="242" t="s">
        <v>54</v>
      </c>
      <c r="D106" s="243"/>
      <c r="E106" s="163"/>
      <c r="F106" s="342" t="str">
        <f>IF(E106="","",IF(AND('Quantification Tool R2'!B$11="E",'Quantification Tool R2'!$B$14="Sand",'Quantification Tool R2'!$B$21="Unconfined Alluvial"),ROUND(IF(OR(E106&gt;1.8,E106&lt;1.3),0,IF(E106&lt;=1.6,1,E106*'Reference Standards'!S$667+'Reference Standards'!S$668)),2),    IF('Quantification Tool R2'!$B$21="Unconfined Alluvial",ROUND(IF(OR(E106&lt;1.2, E106&gt;1.5),0,IF(E106&lt;=1.4,1,E106*'Reference Standards'!$S$700+'Reference Standards'!$S$701)),2), IF('Quantification Tool R2'!$B$21="Confined Alluvial",ROUND(IF(E106&lt;1.15,0,IF(E106&lt;=1.4,E106*'Reference Standards'!$S$729+'Reference Standards'!$S$730,1)),2),  IF('Quantification Tool R2'!$B$21="Colluvial",ROUND(IF(E106&gt;1.3,0,IF(E106&gt;1.2,E106*'Reference Standards'!$S$760+'Reference Standards'!$S$761,1)),2) )))))</f>
        <v/>
      </c>
      <c r="G106" s="84" t="str">
        <f>IFERROR(AVERAGE(F106),"")</f>
        <v/>
      </c>
      <c r="H106" s="567"/>
      <c r="I106" s="555"/>
      <c r="J106" s="559"/>
      <c r="K106" s="555"/>
      <c r="L106" s="13"/>
    </row>
    <row r="107" spans="1:13" ht="15.6" x14ac:dyDescent="0.3">
      <c r="A107" s="537" t="s">
        <v>58</v>
      </c>
      <c r="B107" s="67" t="s">
        <v>88</v>
      </c>
      <c r="C107" s="70" t="s">
        <v>338</v>
      </c>
      <c r="D107" s="70"/>
      <c r="E107" s="43"/>
      <c r="F107" s="343" t="str">
        <f>IF(E107="","",ROUND(IF(E107&gt;=942,0,IF(E107&lt;=487,E107*'Reference Standards'!AB$15+'Reference Standards'!AB$16,E107*'Reference Standards'!$AC$15+'Reference Standards'!$AC$16)),2))</f>
        <v/>
      </c>
      <c r="G107" s="85" t="str">
        <f>IFERROR(AVERAGE(F107),"")</f>
        <v/>
      </c>
      <c r="H107" s="547" t="str">
        <f>IFERROR(ROUND(AVERAGE(G107:G110),2),"")</f>
        <v/>
      </c>
      <c r="I107" s="534" t="str">
        <f>IF(H107="","",IF(H107&gt;0.69,"Functioning",IF(H107&gt;0.29,"Functioning At Risk",IF(H107&gt;-1,"Not Functioning"))))</f>
        <v/>
      </c>
      <c r="J107" s="559"/>
      <c r="K107" s="555"/>
      <c r="L107" s="21"/>
    </row>
    <row r="108" spans="1:13" ht="15.6" x14ac:dyDescent="0.3">
      <c r="A108" s="538"/>
      <c r="B108" s="306" t="s">
        <v>362</v>
      </c>
      <c r="C108" s="66" t="s">
        <v>354</v>
      </c>
      <c r="D108" s="66"/>
      <c r="E108" s="163"/>
      <c r="F108" s="344" t="str">
        <f>IF(E108="","",IF(OR('Quantification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June")),IF(E108&gt;93,0,IF(E108&lt;13,1,ROUND('Reference Standards'!$AB$53*E108^2+'Reference Standards'!$AB$54*E108+'Reference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R2'!$B$12="73b"),IF(E108&gt;94,0,IF(E108&lt;17,1,ROUND('Reference Standards'!$AC$53*E108^2+'Reference Standards'!$AC$54*E108+'Reference Standards'!$AC$55,2))),    IF(OR(AND(OR('Quantification Tool R2'!$B$12="68b",'Quantification Tool R2'!$B$12="71i"),'Quantification Tool R2'!$B$13&gt;2), 'Quantification Tool R2'!$B$12="71e"),IF(E108&gt;91,0,IF(E108&lt;24,1,ROUND('Reference Standards'!$AD$53*E108^2+'Reference Standards'!$AD$54*E108+'Reference Standards'!$AD$55,2))),  IF(OR(AND(OR('Quantification Tool R2'!$B$12="71f",'Quantification Tool R2'!$B$12="71g",'Quantification Tool R2'!$B$12="71h",'Quantification Tool R2'!$B$12="71i"),'Quantification Tool R2'!$B$13&lt;=2), AND('Quantification Tool R2'!$B$12="74a",'Quantification Tool R2'!$B$13&gt;2)),IF(E108&gt;95,0,IF(E108&lt;=36,1,ROUND('Reference Standards'!$AE$53*E108^2+'Reference Standards'!$AE$54*E108+'Reference Standards'!$AE$55,2))))))))</f>
        <v/>
      </c>
      <c r="G108" s="236" t="str">
        <f>IFERROR(AVERAGE(F108:F108),"")</f>
        <v/>
      </c>
      <c r="H108" s="548"/>
      <c r="I108" s="535"/>
      <c r="J108" s="559"/>
      <c r="K108" s="555"/>
      <c r="L108" s="21"/>
    </row>
    <row r="109" spans="1:13" ht="15.6" x14ac:dyDescent="0.3">
      <c r="A109" s="538"/>
      <c r="B109" s="67" t="s">
        <v>81</v>
      </c>
      <c r="C109" s="68" t="s">
        <v>281</v>
      </c>
      <c r="D109" s="68"/>
      <c r="E109" s="162"/>
      <c r="F109" s="344" t="str">
        <f>IF(E109="","",IF(ISNUMBER('Quantification Tool R2'!$B$13),IF(OR('Quantification Tool R2'!$B$12="66e",'Quantification Tool R2'!$B$12="66f",'Quantification Tool R2'!$B$12="66g"),ROUND(IF(E109&gt;=0.61,0,IF(E109&lt;=0.01,1,IF(E109&lt;=0.06,E109*'Reference Standards'!$AD$197+'Reference Standards'!$AD$198,E109^2*'Reference Standards'!$AB$196+E109*'Reference Standards'!$AB$197+'Reference Standards'!$AB$198))),2),IF('Quantification Tool R2'!$B$12="68b",ROUND(IF(E109&gt;=1.1,0,IF(E109&lt;=0.17,1,IF(E109&lt;=0.22,E109*'Reference Standards'!$AE$197+'Reference Standards'!$AE$198,E109^2*'Reference Standards'!$AC$196+E109*'Reference Standards'!$AC$197+'Reference Standards'!$AC$198))),2),IF('Quantification Tool R2'!$B$13&lt;=2.5,IF('Quantification Tool R2'!$B$12="69de",ROUND(IF(E109&gt;=0.22,0,IF(E109&lt;=0.01,1,E109^2*'Reference Standards'!$AB$90+E109*'Reference Standards'!$AB$91+'Reference Standards'!$AB$92)),2),IF('Quantification Tool R2'!$B$12="68c",ROUND(IF(E109&gt;=0.87,0,IF(E109&lt;=0.01,1,E109^2*'Reference Standards'!$AC$90+E109*'Reference Standards'!$AC$91+'Reference Standards'!$AC$92)),2),IF('Quantification Tool R2'!$B$12="68a",ROUND(IF(E109&gt;=0.81,0,IF(E109&lt;=0.01,1,E109^2*'Reference Standards'!$AD$90+E109*'Reference Standards'!$AD$91+'Reference Standards'!$AD$92)),2),IF('Quantification Tool R2'!$B$12="65abei",ROUND(IF(E109&gt;=0.67,0,IF(E109&lt;=0.01,1,IF(E109&lt;=0.18,E109*'Reference Standards'!$AG$91+'Reference Standards'!$AG$92,E109*'Reference Standards'!$AE$91+'Reference Standards'!$AE$92))),2),IF('Quantification Tool R2'!$B$12="65j",ROUND(IF(E109&gt;=0.32,0,IF(E109&lt;=0.01,1,IF(E109&lt;=0.25,E109*'Reference Standards'!$AH$91+'Reference Standards'!$AH$92,E109*'Reference Standards'!$AF$91+'Reference Standards'!$AF$92))),2),IF('Quantification Tool R2'!$B$12="71f",ROUND(IF(E109&gt;=3,0,IF(E109&lt;=0,1,IF(E109&lt;=0.01,0.7,E109^2*'Reference Standards'!$AB$126+E109*'Reference Standards'!$AB$127+'Reference Standards'!$AB$128))),2),IF('Quantification Tool R2'!$B$12="74a",ROUND(IF(E109&gt;=0.14,0,IF(E109&lt;=0.01,1,IF(E109&lt;=0.02,0.7,E109^2*'Reference Standards'!$AC$126+E109*'Reference Standards'!$AC$127+'Reference Standards'!$AC$128))),2),IF(OR('Quantification Tool R2'!$B$12="67fhi",'Quantification Tool R2'!$B$12="67g"),ROUND(IF(E109&gt;=1.9,0,IF(E109&lt;=0.01,1,IF(E109&lt;=0.05,E109*'Reference Standards'!$AF$127+'Reference Standards'!$AF$128,E109^2*'Reference Standards'!$AD$126+E109*'Reference Standards'!$AD$127+'Reference Standards'!$AD$128))),2),IF('Quantification Tool R2'!$B$12="73a",ROUND(IF(E109&gt;=1.44,0,IF(E109&lt;=0.01,1,IF(E109&lt;=0.12,E109*'Reference Standards'!$AG$127+'Reference Standards'!$AG$128,E109^2*'Reference Standards'!$AE$126+E109*'Reference Standards'!$AE$127+'Reference Standards'!$AE$128))),2),IF('Quantification Tool R2'!$B$12="66d",ROUND(IF(E109&gt;=0.46,0,IF(E109&lt;=0.02,1,IF(E109&lt;=0.08,E109*'Reference Standards'!$AF$163+'Reference Standards'!$AF$164,E109^2*'Reference Standards'!$AB$162+E109*'Reference Standards'!$AB$163+'Reference Standards'!$AB$164))),2),IF(OR('Quantification Tool R2'!$B$12="71g",'Quantification Tool R2'!$B$12="71h",'Quantification Tool R2'!$B$12="71i"),ROUND(IF(E109&gt;=3,0,IF(E109&lt;=0.06,1,IF(E109&lt;=0.24,E109*'Reference Standards'!$AG$163+'Reference Standards'!$AG$164,E109^2*'Reference Standards'!$AC$162+E109*'Reference Standards'!$AC$163+'Reference Standards'!$AC$164))),2),IF('Quantification Tool R2'!$B$12="74b",ROUND(IF(E109&gt;=1.3,0,IF(E109&lt;=0.29,1,IF(E109&lt;=0.48,E109*'Reference Standards'!$AH$163+'Reference Standards'!$AH$164,E109^2*'Reference Standards'!$AD$162+E109*'Reference Standards'!$AD$163+'Reference Standards'!$AD$164))),2),IF('Quantification Tool R2'!$B$12="71e",ROUND(IF(E109&gt;=4.3,0,IF(E109&lt;=0.53,1,IF(E109&lt;=0.67,E109*'Reference Standards'!$AI$163+'Reference Standards'!$AI$164,E109^2*'Reference Standards'!$AE$162+E109*'Reference Standards'!$AE$163+'Reference Standards'!$AE$164))),2)))))))))))))),IF('Quantification Tool R2'!$B$13&gt;2.5,IF('Quantification Tool R2'!$B$12="73a",ROUND(IF(E109&gt;=0.55,0,IF(E109&lt;=0,1,E109^2*'Reference Standards'!$AB$232+E109*'Reference Standards'!$AB$233+'Reference Standards'!$AB$234)),2),IF('Quantification Tool R2'!$B$12="68a",ROUND(IF(E109&gt;=0.54,0,IF(E109&lt;=0,1,IF(E109&lt;=0.01,0.85,E109^2*'Reference Standards'!$AC$232+E109*'Reference Standards'!$AC$233+'Reference Standards'!$AC$234))),2),IF('Quantification Tool R2'!$B$12="74a",ROUND(IF(E109&gt;=0.47,0,IF(E109&lt;=0.01,1,IF(E109&lt;=0.02,0.7,E109^2*'Reference Standards'!$AD$232+E109*'Reference Standards'!$AD$233+'Reference Standards'!$AD$234))),2),IF('Quantification Tool R2'!$B$12="69de",ROUND(IF(E109&gt;=0.26,0,IF(E109&lt;=0.01,1,IF(E109&lt;=0.02,0.85,E109^2*'Reference Standards'!$AE$232+E109*'Reference Standards'!$AE$233+'Reference Standards'!$AE$234))),2),IF('Quantification Tool R2'!$B$12="71f",ROUND(IF(E109&gt;=0.87,0,IF(E109&lt;=0.01,1,IF(E109&lt;=0.04,E109*'Reference Standards'!$AF$269+'Reference Standards'!$AF$270,E109^2*'Reference Standards'!$AB$268+E109*'Reference Standards'!$AB$269+'Reference Standards'!$AB$270))),2),IF('Quantification Tool R2'!$B$12="65abei",ROUND(IF(E109&gt;=0.82,0,IF(E109&lt;=0.01,1,IF(E109&lt;=0.06,E109*'Reference Standards'!$AG$269+'Reference Standards'!$AG$270,E109^2*'Reference Standards'!$AC$268+E109*'Reference Standards'!$AC$269+'Reference Standards'!$AC$270))),2),IF('Quantification Tool R2'!$B$12="65j",ROUND(IF(E109&gt;=0.33,0,IF(E109&lt;=0.03,1,IF(E109&lt;=0.09,E109*'Reference Standards'!$AH$269+'Reference Standards'!$AH$270,E109^2*'Reference Standards'!$AD$268+E109*'Reference Standards'!$AD$269+'Reference Standards'!$AD$270))),2),IF('Quantification Tool R2'!$B$12="68c",ROUND(IF(E109&gt;=0.7,0,IF(E109&lt;=0.07,1,IF(E109&lt;=0.12,E109*'Reference Standards'!$AI$269+'Reference Standards'!$AI$270,E109^2*'Reference Standards'!$AE$268+E109*'Reference Standards'!$AE$269+'Reference Standards'!$AE$270))),2),IF(OR('Quantification Tool R2'!$B$12="67fhi",'Quantification Tool R2'!$B$12="67g"),ROUND(IF(E109&gt;=1.8,0,IF(E109&lt;=0.08,1,IF(E109&lt;=0.2,E109*'Reference Standards'!$AF$306+'Reference Standards'!$AF$307,E109^2*'Reference Standards'!$AB$305+E109*'Reference Standards'!$AB$306+'Reference Standards'!$AB$307))),2),IF('Quantification Tool R2'!$B$12="74b",ROUND(IF(E109&gt;=0.96,0,IF(E109&lt;=0.12,1,IF(E109&lt;=0.16,E109*'Reference Standards'!$AG$306+'Reference Standards'!$AG$307,E109^2*'Reference Standards'!$AC$305+E109*'Reference Standards'!$AC$306+'Reference Standards'!$AC$307))),2),IF('Quantification Tool R2'!$B$12="66d",ROUND(IF(E109&gt;=0.75,0,IF(E109&lt;=0.13,1,IF(E109&lt;=0.2,E109*'Reference Standards'!$AH$306+'Reference Standards'!$AH$307,E109^2*'Reference Standards'!$AD$305+E109*'Reference Standards'!$AD$306+'Reference Standards'!$AD$307))),2),IF(OR('Quantification Tool R2'!$B$12="71g",'Quantification Tool R2'!$B$12="71h",'Quantification Tool R2'!$B$12="71i"),ROUND(IF(E109&gt;=1.68,0,IF(E109&lt;=0.08,1,IF(E109&lt;=0.23,E109*'Reference Standards'!$AI$306+'Reference Standards'!$AI$307,E109^2*'Reference Standards'!$AE$305+E109*'Reference Standards'!$AE$306+'Reference Standards'!$AE$307))),2),IF('Quantification Tool R2'!$B$12="71e",ROUND(IF(E109&gt;=5.3,0,IF(E109&lt;=0.94,1,IF(E109&lt;=1.4,E109*'Reference Standards'!$AF$310+'Reference Standards'!$AF$311,E109^2*'Reference Standards'!$AB$309+E109*'Reference Standards'!$AB$310+'Reference Standards'!$AB$311))),2))))))))))))))))))))</f>
        <v/>
      </c>
      <c r="G109" s="86" t="str">
        <f>IFERROR(AVERAGE(F109),"")</f>
        <v/>
      </c>
      <c r="H109" s="548"/>
      <c r="I109" s="535"/>
      <c r="J109" s="559"/>
      <c r="K109" s="555"/>
      <c r="L109" s="21"/>
    </row>
    <row r="110" spans="1:13" ht="15.6" x14ac:dyDescent="0.3">
      <c r="A110" s="539"/>
      <c r="B110" s="307" t="s">
        <v>82</v>
      </c>
      <c r="C110" s="66" t="s">
        <v>280</v>
      </c>
      <c r="D110" s="66"/>
      <c r="E110" s="136"/>
      <c r="F110" s="343" t="str">
        <f>IF(E110="","",IF(ISNUMBER('Quantification Tool R2'!$B$13),IF('Quantification Tool R2'!$B$13&gt;2.5,IF(OR('Quantification Tool R2'!$B$12="71h",'Quantification Tool R2'!$B$12="71i",'Quantification Tool R2'!$B$12="73a",'Quantification Tool R2'!$B$12="74a"),IF(E110&lt;=0.01,1,IF(OR('Quantification Tool R2'!$B$12="71h",'Quantification Tool R2'!$B$12="71i"),IF(E110&gt;0.37,0,ROUND(IF(E110&gt;0.03,'Reference Standards'!$AB$425*E110^2+'Reference Standards'!$AB$426*E110+'Reference Standards'!$AB$427,'Reference Standards'!$AF$426*E110+'Reference Standards'!$AF$427),2)),IF('Quantification Tool R2'!$B$12="73a",IF(E110&gt;0.405,0,ROUND(IF(E110&gt;0.046,'Reference Standards'!$AC$425*E110^2+'Reference Standards'!$AC$426*E110+'Reference Standards'!$AC$427,'Reference Standards'!$AG$426*E110+'Reference Standards'!$AG$427),2)),IF('Quantification Tool R2'!$B$12="74a",IF(E110&gt;0.3,0,ROUND(IF(E110&gt;0.052,'Reference Standards'!$AD$425*E110^2+'Reference Standards'!$AD$426*E110+'Reference Standards'!$AD$427,'Reference Standards'!$AH$426*E110+'Reference Standards'!$AH$427),2)))))),IF(E110&lt;=0.002,1,IF(OR('Quantification Tool R2'!$B$12="66d",'Quantification Tool R2'!$B$12="66e",'Quantification Tool R2'!$B$12="66g"),IF(E110&gt;0.053,0,ROUND(E110^2*'Reference Standards'!$AB$347+E110*'Reference Standards'!$AB$348+'Reference Standards'!$AB$349,2)),IF('Quantification Tool R2'!$B$12="68b",IF(E110&gt;0.05,0,ROUND(E110^2*'Reference Standards'!$AC$347+E110*'Reference Standards'!$AC$348+'Reference Standards'!$AC$349,2)),IF(OR('Quantification Tool R2'!$B$12="68a",'Quantification Tool R2'!$B$12="68c"),IF(E110&gt;0.07,0,ROUND(E110^2*'Reference Standards'!$AD$347+E110*'Reference Standards'!$AD$348+'Reference Standards'!$AD$349,2)),IF(OR('Quantification Tool R2'!$B$12="71f",'Quantification Tool R2'!$B$12="71g"),IF(E110&gt;0.13,0,ROUND(IF(E110&gt;0.042,E110*'Reference Standards'!$AE$348+'Reference Standards'!$AE$349,E110*'Reference Standards'!$AF$348+'Reference Standards'!$AF$349),2)),IF('Quantification Tool R2'!$B$12="67fhi",IF(E110&gt;0.16,0,ROUND(E110^2*'Reference Standards'!$AG$347+E110*'Reference Standards'!$AG$348+'Reference Standards'!$AG$349,2)),IF('Quantification Tool R2'!$B$12="65j",IF(E110&gt;0.035,0,ROUND(IF(E110&lt;=0.003,0.7,E110^2*'Reference Standards'!$AB$387+E110*'Reference Standards'!$AB$388+'Reference Standards'!$AB$389),2)),IF('Quantification Tool R2'!$B$12="69de",IF(E110&gt;0.037,0,ROUND(IF(E110&lt;=0.003,0.7,E110^2*'Reference Standards'!$AC$387+E110*'Reference Standards'!$AC$388+'Reference Standards'!$AC$389),2)),IF('Quantification Tool R2'!$B$12="71e",IF(E110&gt;0.23,0,ROUND(IF(E110&lt;=0.003,0.7,E110^2*'Reference Standards'!$AD$387+E110*'Reference Standards'!$AD$388+'Reference Standards'!$AD$389),2)),IF('Quantification Tool R2'!$B$12="66f",IF(E110&gt;0.06,0,ROUND(IF(E110&lt;=0.003,0.85,IF(E110&lt;=0.004,0.7,E110^2*'Reference Standards'!$AE$387+E110*'Reference Standards'!$AE$388+'Reference Standards'!$AE$389)),2)),IF('Quantification Tool R2'!$B$12="67g",IF(E110&gt;0.11,0,ROUND(IF(E110&lt;=0.01,E110*'Reference Standards'!$AH$388+'Reference Standards'!$AH$389,E110^2*'Reference Standards'!$AF$387+E110*'Reference Standards'!$AF$388+'Reference Standards'!$AF$389),2)),IF('Quantification Tool R2'!$B$12="74b",IF(E110&gt;0.49,0,ROUND(IF(E110&lt;=0.01,E110*'Reference Standards'!$AH$388+'Reference Standards'!$AH$389,E110^2*'Reference Standards'!$AG$387+E110*'Reference Standards'!$AG$388+'Reference Standards'!$AG$389),2)),IF('Quantification Tool R2'!$B$12="65abei",IF(E110&gt;0.199,0,ROUND(IF(E110&lt;=0.01,E110*'Reference Standards'!$AI$426+'Reference Standards'!$AI$427,E110^2*'Reference Standards'!$AE$425+E110*'Reference Standards'!$AE$426+'Reference Standards'!$AE$427),2)))))))))))))))),IF('Quantification Tool R2'!$B$13&lt;=2.5,IF(OR('Quantification Tool R2'!$B$12="66d",'Quantification Tool R2'!$B$12="66e",'Quantification Tool R2'!$B$12="66g"),IF(E110&gt;0.05,0,ROUND(IF(E110&lt;=0.002,1,IF(E110&lt;=0.005,E110*'Reference Standards'!$AF$464+'Reference Standards'!$AF$465,E110^2*'Reference Standards'!$AB$463+E110*'Reference Standards'!$AB$464+'Reference Standards'!$AB$465)),2)),IF('Quantification Tool R2'!$B$12="67fhi",IF(E110&gt;0.1,0,ROUND(IF(E110&lt;=0.002,1,IF(E110&lt;=0.006,E110*'Reference Standards'!$AG$464+'Reference Standards'!$AG$465,E110^2*'Reference Standards'!$AC$463+E110*'Reference Standards'!$AC$464+'Reference Standards'!$AC$465)),2)),IF('Quantification Tool R2'!$B$12="65abei",IF(E110&gt;0.13,0,ROUND(IF(E110&lt;=0.003,1,IF(E110&lt;=0.008,E110*'Reference Standards'!$AH$464+'Reference Standards'!$AH$465,E110^2*'Reference Standards'!$AD$463+E110*'Reference Standards'!$AD$464+'Reference Standards'!$AD$465)),2)),IF('Quantification Tool R2'!$B$12="68b",IF(E110&gt;0.043,0,ROUND(IF(E110&lt;=0.004,1,IF(E110&lt;=0.005,0.7,E110^2*'Reference Standards'!$AE$463+E110*'Reference Standards'!$AE$464+'Reference Standards'!$AE$465)),2)),IF('Quantification Tool R2'!$B$12="69de",IF(E110&gt;=0.034,0,ROUND(IF(E110&lt;=0.003,1,IF(E110&lt;=0.006,E110*'Reference Standards'!$AG$500+'Reference Standards'!$AG$501,E110*'Reference Standards'!$AB$500+'Reference Standards'!$AB$501)),2)),IF(OR('Quantification Tool R2'!$B$12="68a",'Quantification Tool R2'!$B$12="68c"),IF(E110&gt;0.202,0,ROUND(IF(E110&lt;=0.003,1,IF(E110&lt;=0.006,E110*'Reference Standards'!$AG$500+'Reference Standards'!$AG$501,IF(E110&gt;=0.04,E110*'Reference Standards'!$AC$500+'Reference Standards'!$AC$501,E110*'Reference Standards'!$AE$500+'Reference Standards'!$AE$501))),2)),IF(OR('Quantification Tool R2'!$B$12="71f",'Quantification Tool R2'!$B$12="71g"),IF(E110&gt;0.631,0,ROUND(IF(E110&lt;=0.003,1,IF(E110&lt;=0.006,E110*'Reference Standards'!$AG$500+'Reference Standards'!$AG$501,IF(E110&gt;=0.17,E110*'Reference Standards'!$AD$500+'Reference Standards'!$AD$501,E110*'Reference Standards'!$AF$500+'Reference Standards'!$AF$501))),2)),IF('Quantification Tool R2'!$B$12="71e",IF(E110&gt;1.23,0,ROUND(IF(E110&lt;=0.004,1,IF(E110&lt;=0.006,E110*'Reference Standards'!$AF$538+'Reference Standards'!$AF$539,E110^2*'Reference Standards'!$AB$537+E110*'Reference Standards'!$AB$538+'Reference Standards'!$AB$539)),2)),IF('Quantification Tool R2'!$B$12="67g",IF(E110&gt;0.11,0,ROUND(IF(E110&lt;=0.006,1,IF(E110&lt;=0.011,E110*'Reference Standards'!$AG$538+'Reference Standards'!$AG$539,E110^2*'Reference Standards'!$AC$537+E110*'Reference Standards'!$AC$538+'Reference Standards'!$AC$539)),2)),IF('Quantification Tool R2'!$B$12="65j",IF(E110&gt;0.046,0,ROUND(IF(E110&lt;=0.007,1,IF(E110&lt;=0.012,E110*'Reference Standards'!$AH$538+'Reference Standards'!$AH$539,E110^2*'Reference Standards'!$AD$537+E110*'Reference Standards'!$AD$538+'Reference Standards'!$AD$539)),2)),IF('Quantification Tool R2'!$B$12="66f",IF(E110&gt;0.081,0,ROUND(IF(E110&lt;=0.008,1,IF(E110&lt;=0.011,E110*'Reference Standards'!$AI$538+'Reference Standards'!$AI$539,E110^2*'Reference Standards'!$AE$537+E110*'Reference Standards'!$AE$538+'Reference Standards'!$AE$539)),2)),IF(OR('Quantification Tool R2'!$B$12="71h",'Quantification Tool R2'!$B$12="71i"),IF(E110&gt;0.37,0,ROUND(IF(E110&lt;=0.013,1,IF(E110&lt;=0.032,E110*'Reference Standards'!$AH$576+'Reference Standards'!$AH$577,IF(E110&lt;=0.3,E110*'Reference Standards'!$AF$576+'Reference Standards'!$AF$577,E110*'Reference Standards'!$AB$576+'Reference Standards'!$AB$577))),2)),IF('Quantification Tool R2'!$B$12="73a",IF(E110&gt;0.448,0,ROUND(IF(E110&lt;=0.071,1,IF(E110&lt;=0.086,E110*'Reference Standards'!$AJ$576+'Reference Standards'!$AJ$577,IF(E110&lt;=0.165,E110*'Reference Standards'!$AG$576+'Reference Standards'!$AG$577,E110*'Reference Standards'!$AE$576+'Reference Standards'!$AE$577))),2)),IF('Quantification Tool R2'!$B$12="74b",IF(E110&gt;0.43,0,ROUND(IF(E110&lt;=0.018,1,IF(E110&lt;=0.019,0.85,IF(E110&lt;=0.02,0.7,E110^2*'Reference Standards'!$AC$575+E110*'Reference Standards'!$AC$576+'Reference Standards'!$AC$577))),2)),IF('Quantification Tool R2'!$B$12="74a",IF(E110&gt;0.217,0,ROUND(IF(E110&lt;=0.02,1,IF(E110&lt;=0.033,E110*'Reference Standards'!$AI$576+'Reference Standards'!$AI$577,E110^2*'Reference Standards'!$AD$575+E110*'Reference Standards'!$AD$576+'Reference Standards'!$AD$577)),2)))))))))))))))))))))</f>
        <v/>
      </c>
      <c r="G110" s="87" t="str">
        <f>IFERROR(AVERAGE(F110),"")</f>
        <v/>
      </c>
      <c r="H110" s="549"/>
      <c r="I110" s="536"/>
      <c r="J110" s="559"/>
      <c r="K110" s="555"/>
      <c r="L110" s="21"/>
    </row>
    <row r="111" spans="1:13" ht="15.6" x14ac:dyDescent="0.3">
      <c r="A111" s="550" t="s">
        <v>59</v>
      </c>
      <c r="B111" s="560" t="s">
        <v>340</v>
      </c>
      <c r="C111" s="125" t="s">
        <v>331</v>
      </c>
      <c r="D111" s="126"/>
      <c r="E111" s="166"/>
      <c r="F111" s="345" t="str">
        <f>IF(E111="","",IF(OR('Quantification Tool R2'!B$12="73a",'Quantification Tool R2'!B$12="73b"),IF(E111&lt;1,0,IF(E111&gt;=30,1,ROUND(IF(E111&lt;22,'Reference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531" t="str">
        <f>IFERROR(AVERAGE(F111:F114),"")</f>
        <v/>
      </c>
      <c r="H111" s="568" t="str">
        <f>IFERROR(ROUND(AVERAGE(G111:G116),2),"")</f>
        <v/>
      </c>
      <c r="I111" s="519" t="str">
        <f>IF(H111="","",IF(H111&gt;0.69,"Functioning",IF(H111&gt;0.29,"Functioning At Risk",IF(H111&gt;-1,"Not Functioning"))))</f>
        <v/>
      </c>
      <c r="J111" s="559"/>
      <c r="K111" s="555"/>
      <c r="L111" s="21"/>
    </row>
    <row r="112" spans="1:13" ht="15.6" x14ac:dyDescent="0.3">
      <c r="A112" s="556"/>
      <c r="B112" s="561"/>
      <c r="C112" s="174" t="s">
        <v>335</v>
      </c>
      <c r="D112" s="175"/>
      <c r="E112" s="165"/>
      <c r="F112" s="346" t="str">
        <f>IF(E112="","",IF(AND('Quantification Tool R2'!$B$12="74b",'Quantification Tool R2'!$B$13&lt;=2),IF(E112&lt;0,0,IF(E112&gt;15.6,0.69,ROUND('Reference Standards'!$AL$54*E112^2+'Reference Standards'!$AL$55*E112+'Reference Standards'!$AL$56,2))),IF(AND('Quantification Tool R2'!$B$12="65abei",'Quantification Tool R2'!$B$13&lt;=2),IF(E112&lt;0,0,IF(E112&gt;=20,0.69,ROUND('Reference Standards'!$AM$54*E112^2+'Reference Standards'!$AM$55*E112+'Reference Standards'!$AM$56,2))),IF(OR(AND('Quantification Tool R2'!$B$12="74a",'Quantification Tool R2'!$B$13&gt;2,'Quantification Tool R2'!$B$19="January - June"),AND('Quantification Tool R2'!$B$12="71i",'Quantification Tool R2'!$B$13&gt;2,'Quantification Tool R2'!$B$20="SQBANK")),IF(E112&lt;0,0,IF(E112&gt;24.7,0.69,ROUND('Reference Standards'!$AN$54*E112^2+'Reference Standards'!$AN$55*E112+'Reference Standards'!$AN$56,2))),IF(OR('Quantification Tool R2'!$B$12="74b",'Quantification Tool R2'!$B$12="65abei"),IF(E112&lt;0,0,IF(E112&gt;32.7,0.69,ROUND('Reference Standards'!$AO$54*E112^2+'Reference Standards'!$AO$55*E112+'Reference Standards'!$AO$56,2))),IF(AND('Quantification Tool R2'!$B$12="68b",'Quantification Tool R2'!$B$13&gt;2),IF(E112&lt;0,0,IF(E112&gt;41.2,0.69,ROUND('Reference Standards'!$AP$54*E112^2+'Reference Standards'!$AP$55*E112+'Reference Standards'!$AP$56,2))),IF(OR(AND('Quantification Tool R2'!$B$12="71i",'Quantification Tool R2'!$B$13&lt;=2),AND(OR('Quantification Tool R2'!$B$12="68c",'Quantification Tool R2'!$B$12="68d"),'Quantification Tool R2'!$B$19="January - June")),IF(E112&lt;0,0,IF(E112&gt;49.2,0.69,ROUND('Reference Standards'!$AL$94*E112^2+'Reference Standards'!$AL$95*E112+'Reference Standards'!$AL$96,2))),IF(OR(AND('Quantification Tool R2'!$B$12="68a",'Quantification Tool R2'!$B$19="January - June"),AND(OR('Quantification Tool R2'!$B$12="68c",'Quantification Tool R2'!$B$12="68d"),'Quantification Tool R2'!$B$19="July - December")),IF(E112&lt;0,0,IF(E112&gt;53.4,0.69,ROUND('Reference Standards'!$AM$94*E112^2+'Reference Standards'!$AM$95*E112+'Reference Standards'!$AM$96,2))),IF(OR(AND('Quantification Tool R2'!$B$12="71i",'Quantification Tool R2'!$B$13&gt;2,'Quantification Tool R2'!$B$20="SQKICK"),AND(OR('Quantification Tool R2'!$B$12="67fhi",'Quantification Tool R2'!$B$12="67g"),'Quantification Tool R2'!$B$13&lt;=2),'Quantification Tool R2'!$B$12="65j"),IF(E112&lt;0,0,IF(E112&gt;57.8,0.69,ROUND('Reference Standards'!$AN$94*E112^2+'Reference Standards'!$AN$95*E112+'Reference Standards'!$AN$96,2))),IF(OR(AND('Quantification Tool R2'!$B$12="74a",'Quantification Tool R2'!$B$13&gt;2,'Quantification Tool R2'!$B$19="July - December"),AND(OR('Quantification Tool R2'!$B$12="67fhi",'Quantification Tool R2'!$B$12="67g"),'Quantification Tool R2'!$B$13&gt;2),'Quantification Tool R2'!$B$12="69de"),IF(E112&lt;0,0,IF(E112&gt;62.5,0.69,ROUND('Reference Standards'!$AO$94*E112^2+'Reference Standards'!$AO$95*E112+'Reference Standards'!$AO$96,2))),  IF(OR('Quantification Tool R2'!$B$12="66d",'Quantification Tool R2'!$B$12="66e",'Quantification Tool R2'!$B$12="66ik",'Quantification Tool R2'!$B$12="71e",'Quantification Tool R2'!$B$12="71f",'Quantification Tool R2'!$B$12="71g",'Quantification Tool R2'!$B$12="71h"),IF(E112&lt;0,0,IF(E112&gt;66.5,0.69,ROUND('Reference Standards'!$AP$94*E112^2+'Reference Standards'!$AP$95*E112+'Reference Standards'!$AP$96,2))),IF(OR('Quantification Tool R2'!$B$12="66f",'Quantification Tool R2'!$B$12="66g",'Quantification Tool R2'!$B$12="66j",AND('Quantification Tool R2'!$B$12="68a",'Quantification Tool R2'!$B$19="July - December")), IF(E112&lt;0,0,IF(E112&gt;69,0.69,ROUND('Reference Standards'!$AQ$94*E112^2+'Reference Standards'!$AQ$95*E112+'Reference Standards'!$AQ$96,2))))   )))))))))))</f>
        <v/>
      </c>
      <c r="G112" s="531"/>
      <c r="H112" s="568"/>
      <c r="I112" s="519"/>
      <c r="J112" s="559"/>
      <c r="K112" s="555"/>
      <c r="L112" s="21"/>
    </row>
    <row r="113" spans="1:12" ht="15.6" x14ac:dyDescent="0.3">
      <c r="A113" s="556"/>
      <c r="B113" s="561"/>
      <c r="C113" s="174" t="s">
        <v>339</v>
      </c>
      <c r="D113" s="175"/>
      <c r="E113" s="165"/>
      <c r="F113" s="346" t="str">
        <f>IF(E113="","",IF(AND('Quantification Tool R2'!$B$12="74b",'Quantification Tool R2'!$B$13&lt;=2),IF(E113&lt;0,0,IF(E113&gt;8.1,0.69,ROUND('Reference Standards'!$AL$131*E113^2+'Reference Standards'!$AL$132*E113+'Reference Standards'!$AL$133,2))),IF(OR('Quantification Tool R2'!$B$12="73a",'Quantification Tool R2'!$B$12="73b"),IF(E113&lt;0,0,IF(E113&gt;=28,0.69,ROUND('Reference Standards'!$AM$131*E113^2+'Reference Standards'!$AM$132*E113+'Reference Standards'!$AM$133,2))),IF(AND('Quantification Tool R2'!$B$12="74a",'Quantification Tool R2'!$B$13&gt;2,'Quantification Tool R2'!$B$19="January - June"),IF(E113&lt;0,0,IF(E113&gt;=32.5,0.69,ROUND('Reference Standards'!$AN$131*E113^2+'Reference Standards'!$AN$132*E113+'Reference Standards'!$AN$133,2))),IF(AND('Quantification Tool R2'!$B$12="71i",'Quantification Tool R2'!$B$13&gt;2,'Quantification Tool R2'!$B$20="SQBANK"),IF(E113&lt;0,0,IF(E113&gt;=37,0.69,ROUND('Reference Standards'!$AO$131*E113^2+'Reference Standards'!$AO$132*E113+'Reference Standards'!$AO$133,2))),IF(OR(AND(OR('Quantification Tool R2'!$B$12="65abei",'Quantification Tool R2'!$B$12="74b"),'Quantification Tool R2'!$B$13&gt;2),AND('Quantification Tool R2'!$B$12="71i",'Quantification Tool R2'!$B$13&gt;2,'Quantification Tool R2'!$B$20="SQKICK")),IF(E113&lt;0,0,IF(E113&gt;42.6,0.69,ROUND('Reference Standards'!$AP$131*E113^2+'Reference Standards'!$AP$132*E113+'Reference Standards'!$AP$133,2))),     IF(OR(AND('Quantification Tool R2'!$B$12="65abei",'Quantification Tool R2'!$B$13&lt;=2),AND(OR('Quantification Tool R2'!$B$12="68c",'Quantification Tool R2'!$B$12="68d"),'Quantification Tool R2'!$B$19="July - December"),'Quantification Tool R2'!$B$12="71e"),IF(E113&lt;0,0,IF(E113&gt;=48,0.69,ROUND('Reference Standards'!$AL$171*E113^2+'Reference Standards'!$AL$172*E113+'Reference Standards'!$AL$173,2))),IF(OR('Quantification Tool R2'!$B$12="65j",'Quantification Tool R2'!$B$12="67fhi",'Quantification Tool R2'!$B$12="67g",AND('Quantification Tool R2'!$B$12="74a",'Quantification Tool R2'!$B$19="July - December",'Quantification Tool R2'!$B$13&gt;2),AND('Quantification Tool R2'!$B$12="71i",'Quantification Tool R2'!$B$13&lt;=2)),IF(E113&lt;0,0,IF(E113&gt;=53,0.69,ROUND('Reference Standards'!$AM$171*E113^2+'Reference Standards'!$AM$172*E113+'Reference Standards'!$AM$173,2))),IF(OR(AND(OR('Quantification Tool R2'!$B$12="68b",'Quantification Tool R2'!$B$12="71f",'Quantification Tool R2'!$B$12="71g",'Quantification Tool R2'!$B$12="71h"),'Quantification Tool R2'!$B$13&gt;2),'Quantification Tool R2'!$B$12="68a"),IF(E113&lt;0,0,IF(E113&gt;=57,0.69,ROUND('Reference Standards'!$AN$171*E113^2+'Reference Standards'!$AN$172*E113+'Reference Standards'!$AN$173,2))),IF(OR('Quantification Tool R2'!$B$12="66f",'Quantification Tool R2'!$B$12="66g",'Quantification Tool R2'!$B$12="66j",AND(OR('Quantification Tool R2'!$B$12="71f",'Quantification Tool R2'!$B$12="71g",'Quantification Tool R2'!$B$12="71h"),'Quantification Tool R2'!$B$13&lt;=2)),IF(E113&lt;0,0,IF(E113&gt;=60,0.69,ROUND('Reference Standards'!$AO$171*E113^2+'Reference Standards'!$AO$172*E113+'Reference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December")),IF(E113&lt;0,0,IF(E113&gt;=67.5,0.69,ROUND('Reference Standards'!$AP$171*E113^2+'Reference Standards'!$AP$172*E113+'Reference Standards'!$AP$173,2))),IF(AND('Quantification Tool R2'!$B$12="69de",'Quantification Tool R2'!$B$19="January - June"), IF(E113&lt;0,0,IF(E113&gt;=72,0.69,ROUND('Reference Standards'!$AQ$171*E113^2+'Reference Standards'!$AQ$172*E113+'Reference Standards'!$AQ$173,2))))   )))))))))))</f>
        <v/>
      </c>
      <c r="G113" s="531"/>
      <c r="H113" s="568"/>
      <c r="I113" s="519"/>
      <c r="J113" s="559"/>
      <c r="K113" s="555"/>
      <c r="L113" s="21"/>
    </row>
    <row r="114" spans="1:12" ht="15.6" x14ac:dyDescent="0.3">
      <c r="A114" s="556"/>
      <c r="B114" s="562"/>
      <c r="C114" s="127" t="s">
        <v>336</v>
      </c>
      <c r="D114" s="71"/>
      <c r="E114" s="167"/>
      <c r="F114" s="346" t="str">
        <f>IF(E114="","",IF(OR('Quantification Tool R2'!$B$12="67fhi",'Quantification Tool R2'!$B$12="67g",'Quantification Tool R2'!$B$12="71e",'Quantification Tool R2'!$B$12="73a",'Quantification Tool R2'!$B$12="73b",AND(OR('Quantification Tool R2'!$B$12="71f",'Quantification Tool R2'!$B$12="71g",'Quantification Tool R2'!$B$12="71h"),'Quantification Tool R2'!$B$13&gt;2)),IF(E114&gt;100,0,IF(E114&lt;15,0.69,ROUND('Reference Standards'!$AL$208*E114^2+'Reference Standards'!$AL$209*E114+'Reference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),IF(E114&gt;100,0,IF(E114&lt;19,0.69,ROUND('Reference Standards'!$AM$208*E114^2+'Reference Standards'!$AM$209*E114+'Reference Standards'!$AM$210,2))),    IF(OR(AND('Quantification Tool R2'!$B$12="69de",'Quantification Tool R2'!$B$19="January - June"),AND('Quantification Tool R2'!$B$12="71i",'Quantification Tool R2'!$B$13&gt;2,'Quantification Tool R2'!$B$20="SQKICK" )),IF(E114&gt;100,0,IF(E114&lt;22,0.69,ROUND('Reference Standards'!$AN$208*E114^2+'Reference Standards'!$AN$209*E114+'Reference Standards'!$AN$210,2))),    IF(OR('Quantification Tool R2'!$B$12="65j",AND('Quantification Tool R2'!$B$12="68b",'Quantification Tool R2'!$B$13&gt;2)),IF(E114&gt;100,0,IF(E114&lt;24,0.69,ROUND('Reference Standards'!$AO$208*E114^2+'Reference Standards'!$AO$209*E114+'Reference Standards'!$AO$210,2))),    IF(AND(OR('Quantification Tool R2'!$B$12="65abei",'Quantification Tool R2'!$B$12="71f",'Quantification Tool R2'!$B$12="71g",'Quantification Tool R2'!$B$12="71h"),'Quantification Tool R2'!$B$13&lt;=2),IF(E114&gt;95,0,IF(E114&lt;33,0.69,ROUND('Reference Standards'!$AL$246*E114^2+'Reference Standards'!$AL$247*E114+'Reference Standards'!$AL$248,2))),   IF(AND(OR('Quantification Tool R2'!$B$12="65abei",'Quantification Tool R2'!$B$12="74b"),'Quantification Tool R2'!$B$13&gt;2),IF(E114&gt;97,0,IF(E114&lt;36,0.69,ROUND('Reference Standards'!$AM$246*E114^2+'Reference Standards'!$AM$247*E114+'Reference Standards'!$AM$248,2))),  IF(AND('Quantification Tool R2'!$B$12="74a",'Quantification Tool R2'!$B$19="January - June",'Quantification Tool R2'!$B$13&gt;2),IF(E114&gt;93,0,IF(E114&lt;52,0.69,ROUND('Reference Standards'!$AN$246*E114^2+'Reference Standards'!$AN$247*E114+'Reference Standards'!$AN$248,2))),   IF(AND('Quantification Tool R2'!$B$12="74b",'Quantification Tool R2'!$B$13&lt;=2),IF(E114&gt;97,0,IF(E114&lt;62,0.69,ROUND('Reference Standards'!$AO$246*E114^2+'Reference Standards'!$AO$247*E114+'Reference Standards'!$AO$248,2)))  )))))))))</f>
        <v/>
      </c>
      <c r="G114" s="531"/>
      <c r="H114" s="568"/>
      <c r="I114" s="519"/>
      <c r="J114" s="559"/>
      <c r="K114" s="555"/>
      <c r="L114" s="21"/>
    </row>
    <row r="115" spans="1:12" ht="15.6" x14ac:dyDescent="0.3">
      <c r="A115" s="556"/>
      <c r="B115" s="563" t="s">
        <v>74</v>
      </c>
      <c r="C115" s="125" t="s">
        <v>211</v>
      </c>
      <c r="D115" s="126"/>
      <c r="E115" s="166"/>
      <c r="F115" s="345" t="str">
        <f>IF(E115="","",IF(E115=1,0.15,IF(E115=3,0.5,IF(E115=5,0.85,0))))</f>
        <v/>
      </c>
      <c r="G115" s="564" t="str">
        <f>IFERROR(AVERAGE(F115:F116),"")</f>
        <v/>
      </c>
      <c r="H115" s="568"/>
      <c r="I115" s="519"/>
      <c r="J115" s="559"/>
      <c r="K115" s="555"/>
      <c r="L115" s="21"/>
    </row>
    <row r="116" spans="1:12" ht="15.6" x14ac:dyDescent="0.3">
      <c r="A116" s="551"/>
      <c r="B116" s="563"/>
      <c r="C116" s="127" t="s">
        <v>332</v>
      </c>
      <c r="D116" s="71"/>
      <c r="E116" s="167"/>
      <c r="F116" s="347" t="str">
        <f>IF(E116="","",IF(E116=1,0.15,IF(E116=3,0.5,IF(E116=5,0.85,0))))</f>
        <v/>
      </c>
      <c r="G116" s="565"/>
      <c r="H116" s="568"/>
      <c r="I116" s="519"/>
      <c r="J116" s="559"/>
      <c r="K116" s="555"/>
      <c r="L116" s="21"/>
    </row>
    <row r="117" spans="1:12" x14ac:dyDescent="0.3">
      <c r="L117" s="21"/>
    </row>
    <row r="118" spans="1:12" ht="21" x14ac:dyDescent="0.4">
      <c r="A118" s="148" t="s">
        <v>135</v>
      </c>
      <c r="B118" s="246"/>
      <c r="C118" s="249" t="s">
        <v>324</v>
      </c>
      <c r="D118" s="246"/>
      <c r="E118" s="247"/>
      <c r="F118" s="248"/>
      <c r="G118" s="544" t="s">
        <v>18</v>
      </c>
      <c r="H118" s="545"/>
      <c r="I118" s="545"/>
      <c r="J118" s="545"/>
      <c r="K118" s="546"/>
      <c r="L118" s="21"/>
    </row>
    <row r="119" spans="1:12" ht="15.6" x14ac:dyDescent="0.3">
      <c r="A119" s="158" t="s">
        <v>1</v>
      </c>
      <c r="B119" s="158" t="s">
        <v>2</v>
      </c>
      <c r="C119" s="542" t="s">
        <v>3</v>
      </c>
      <c r="D119" s="644"/>
      <c r="E119" s="158" t="s">
        <v>15</v>
      </c>
      <c r="F119" s="158" t="s">
        <v>16</v>
      </c>
      <c r="G119" s="158" t="s">
        <v>19</v>
      </c>
      <c r="H119" s="158" t="s">
        <v>20</v>
      </c>
      <c r="I119" s="314" t="s">
        <v>20</v>
      </c>
      <c r="J119" s="158" t="s">
        <v>21</v>
      </c>
      <c r="K119" s="315" t="s">
        <v>21</v>
      </c>
    </row>
    <row r="120" spans="1:12" ht="15.6" x14ac:dyDescent="0.3">
      <c r="A120" s="540" t="s">
        <v>60</v>
      </c>
      <c r="B120" s="308" t="s">
        <v>86</v>
      </c>
      <c r="C120" s="52" t="s">
        <v>388</v>
      </c>
      <c r="D120" s="52"/>
      <c r="E120" s="162"/>
      <c r="F120" s="338" t="str">
        <f>IF(E120="","",IF(E120&lt;=0,0,IF(E120&gt;=0.95,1,ROUND('Reference Standards'!C$14*E120+'Reference Standards'!C$15,2))))</f>
        <v/>
      </c>
      <c r="G120" s="83" t="str">
        <f>IFERROR(AVERAGE(F120),"")</f>
        <v/>
      </c>
      <c r="H120" s="522" t="str">
        <f>IFERROR(ROUND(AVERAGE(G120:G121),2),"")</f>
        <v/>
      </c>
      <c r="I120" s="519" t="str">
        <f>IF(H120="","",IF(H120&gt;0.69,"Functioning",IF(H120&gt;0.29,"Functioning At Risk",IF(H120&gt;-1,"Not Functioning"))))</f>
        <v/>
      </c>
      <c r="J120" s="559" t="str">
        <f>IF(AND(H120="",H122="",H124="",H146="",H150=""),"",ROUND((IF(H120="",0,H120)*0.2)+(IF(H122="",0,H122)*0.2)+(IF(H124="",0,H124)*0.2)+(IF(H146="",0,H146)*0.2)+(IF(H150="",0,H150)*0.2),2))</f>
        <v/>
      </c>
      <c r="K120" s="555" t="str">
        <f>IF(J120="","",IF(J120&lt;0.3, "Not Functioning",IF(OR(H120&lt;0.7,H122&lt;0.7,H124&lt;0.7,H146&lt;0.7,H150&lt;0.7),"Functioning At Risk",IF(J120&lt;0.7,"Functioning At Risk","Functioning"))))</f>
        <v/>
      </c>
    </row>
    <row r="121" spans="1:12" ht="15.6" x14ac:dyDescent="0.3">
      <c r="A121" s="541"/>
      <c r="B121" s="371" t="s">
        <v>128</v>
      </c>
      <c r="C121" s="373" t="s">
        <v>161</v>
      </c>
      <c r="D121" s="374"/>
      <c r="E121" s="43"/>
      <c r="F121" s="372" t="str">
        <f>IF(E121="","",IF(E121&gt;=1,1,IF(E121&lt;=0,0,ROUND(E121,2))))</f>
        <v/>
      </c>
      <c r="G121" s="367" t="str">
        <f>IFERROR(AVERAGE(F121:F121),"")</f>
        <v/>
      </c>
      <c r="H121" s="523"/>
      <c r="I121" s="519"/>
      <c r="J121" s="559"/>
      <c r="K121" s="555"/>
    </row>
    <row r="122" spans="1:12" ht="15.6" x14ac:dyDescent="0.3">
      <c r="A122" s="524" t="s">
        <v>6</v>
      </c>
      <c r="B122" s="572" t="s">
        <v>7</v>
      </c>
      <c r="C122" s="54" t="s">
        <v>8</v>
      </c>
      <c r="D122" s="54"/>
      <c r="E122" s="162"/>
      <c r="F122" s="339" t="str">
        <f>IF(E122="","",ROUND(IF(E122&gt;1.6,0,IF(E122&lt;=1,1,E122^2*'Reference Standards'!K$14+E122*'Reference Standards'!K$15+'Reference Standards'!K$16)),2))</f>
        <v/>
      </c>
      <c r="G122" s="579" t="str">
        <f>IFERROR(AVERAGE(F122:F123),"")</f>
        <v/>
      </c>
      <c r="H122" s="579" t="str">
        <f>IFERROR(ROUND(AVERAGE(G122),2),"")</f>
        <v/>
      </c>
      <c r="I122" s="569" t="str">
        <f>IF(H122="","",IF(H122&gt;0.69,"Functioning",IF(H122&gt;0.29,"Functioning At Risk",IF(H122&gt;-1,"Not Functioning"))))</f>
        <v/>
      </c>
      <c r="J122" s="559"/>
      <c r="K122" s="555"/>
    </row>
    <row r="123" spans="1:12" ht="15.6" x14ac:dyDescent="0.3">
      <c r="A123" s="525"/>
      <c r="B123" s="572"/>
      <c r="C123" s="54" t="s">
        <v>9</v>
      </c>
      <c r="D123" s="54"/>
      <c r="E123" s="163"/>
      <c r="F123" s="339" t="str">
        <f>IF(E123="","",(IF(OR('Quantification Tool R2'!B$11="A",'Quantification Tool R2'!B$11="B",'Quantification Tool R2'!$B$11="Bc"),IF(E123&lt;1.2,0,IF(E123&gt;=2.2,1,ROUND(IF(E123&lt;1.4,E123*'Reference Standards'!$K$84+'Reference Standards'!$K$85,E123*'Reference Standards'!$L$84+'Reference Standards'!$L$85),2))),IF(OR('Quantification Tool R2'!B$11="C",'Quantification Tool R2'!B$11="E"),IF(E123&lt;2,0,IF(E123&gt;=5,1,ROUND(IF(E123&lt;2.4,E123*'Reference Standards'!$L$49+'Reference Standards'!$L$50,E123*'Reference Standards'!$K$49+'Reference Standards'!$K$50),2)))))))</f>
        <v/>
      </c>
      <c r="G123" s="581"/>
      <c r="H123" s="580"/>
      <c r="I123" s="570"/>
      <c r="J123" s="559"/>
      <c r="K123" s="555"/>
    </row>
    <row r="124" spans="1:12" ht="15.6" x14ac:dyDescent="0.3">
      <c r="A124" s="526" t="s">
        <v>26</v>
      </c>
      <c r="B124" s="557" t="s">
        <v>27</v>
      </c>
      <c r="C124" s="60" t="s">
        <v>333</v>
      </c>
      <c r="D124" s="244"/>
      <c r="E124" s="61"/>
      <c r="F124" s="340" t="str">
        <f>IF(E124="","",IF(OR(LEFT('Quantification Tool R2'!$B$12,2)="65",LEFT('Quantification Tool R2'!$B$12,2)="66",LEFT('Quantification Tool R2'!$B$12,2)="71"),IF(E124&gt;=850,1,IF(E124&lt;250,ROUND('Reference Standards'!$S$17*(E124)+'Reference Standards'!$S$18,2),ROUND('Reference Standards'!$T$17*E124+'Reference Standards'!$T$18,2))),  IF(E124&gt;=345,1,IF(E124&lt;=180,ROUND('Reference Standards'!$U$17*(E124)+'Reference Standards'!$U$18,2),ROUND('Reference Standards'!$V$17*E124+'Reference Standards'!$V$18,2))))    )</f>
        <v/>
      </c>
      <c r="G124" s="528" t="str">
        <f>IFERROR(AVERAGE(F124:F125),"")</f>
        <v/>
      </c>
      <c r="H124" s="566" t="str">
        <f>IFERROR(ROUND(AVERAGE(G124:G145),2),"")</f>
        <v/>
      </c>
      <c r="I124" s="555" t="str">
        <f>IF(H124="","",IF(H124&gt;0.69,"Functioning",IF(H124&gt;0.29,"Functioning At Risk",IF(H124&gt;-1,"Not Functioning"))))</f>
        <v/>
      </c>
      <c r="J124" s="559"/>
      <c r="K124" s="555"/>
    </row>
    <row r="125" spans="1:12" ht="15.6" x14ac:dyDescent="0.3">
      <c r="A125" s="520"/>
      <c r="B125" s="558"/>
      <c r="C125" s="63" t="s">
        <v>323</v>
      </c>
      <c r="D125" s="245"/>
      <c r="E125" s="53"/>
      <c r="F125" s="341" t="str">
        <f>IF(E125="","",IF(OR(LEFT('Quantification Tool R2'!$B$12,2)="65",LEFT('Quantification Tool R2'!$B$12,2)="66",LEFT('Quantification Tool R2'!$B$12,2)="71"),IF(E125&gt;=30,1,IF(E125&lt;13,ROUND('Reference Standards'!$S$53*(E125)+'Reference Standards'!$S$54,2),ROUND('Reference Standards'!$T$53*E125+'Reference Standards'!$T$54,2))),  IF(E125&gt;=16,1,IF(E125&lt;=9,ROUND('Reference Standards'!$U$53*(E125)+'Reference Standards'!$U$54,2),ROUND('Reference Standards'!$V$53*E125+'Reference Standards'!$V$54,2))))    )</f>
        <v/>
      </c>
      <c r="G125" s="530"/>
      <c r="H125" s="566"/>
      <c r="I125" s="555"/>
      <c r="J125" s="559"/>
      <c r="K125" s="555"/>
    </row>
    <row r="126" spans="1:12" ht="15.6" x14ac:dyDescent="0.3">
      <c r="A126" s="520"/>
      <c r="B126" s="520" t="s">
        <v>395</v>
      </c>
      <c r="C126" s="58" t="s">
        <v>80</v>
      </c>
      <c r="D126" s="58"/>
      <c r="E126" s="165"/>
      <c r="F126" s="340" t="str">
        <f>IF(E126="","",ROUND(IF(E126&gt;0.7,0,IF(E126&lt;=0.1,1,E126^3*'Reference Standards'!S$87+E126^2*'Reference Standards'!S$88+E126*'Reference Standards'!S$89+'Reference Standards'!S$90)),2))</f>
        <v/>
      </c>
      <c r="G126" s="528" t="str">
        <f>IFERROR(ROUND(AVERAGE(F126:F129),2),"")</f>
        <v/>
      </c>
      <c r="H126" s="567"/>
      <c r="I126" s="555"/>
      <c r="J126" s="559"/>
      <c r="K126" s="555"/>
    </row>
    <row r="127" spans="1:12" ht="15.6" x14ac:dyDescent="0.3">
      <c r="A127" s="520"/>
      <c r="B127" s="520"/>
      <c r="C127" s="58" t="s">
        <v>49</v>
      </c>
      <c r="D127" s="58"/>
      <c r="E127" s="165"/>
      <c r="F127" s="84"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529"/>
      <c r="H127" s="567"/>
      <c r="I127" s="555"/>
      <c r="J127" s="559"/>
      <c r="K127" s="555"/>
    </row>
    <row r="128" spans="1:12" ht="15.6" x14ac:dyDescent="0.3">
      <c r="A128" s="520"/>
      <c r="B128" s="520"/>
      <c r="C128" s="58" t="s">
        <v>87</v>
      </c>
      <c r="D128" s="58"/>
      <c r="E128" s="165"/>
      <c r="F128" s="84" t="str">
        <f>IF(E128="","",ROUND(IF(E128&gt;40,0,IF(E128&lt;5,1,E128^3*'Reference Standards'!S$122+E128^2*'Reference Standards'!S$123+E128*'Reference Standards'!S$124+'Reference Standards'!S$125)),2))</f>
        <v/>
      </c>
      <c r="G128" s="529"/>
      <c r="H128" s="567"/>
      <c r="I128" s="555"/>
      <c r="J128" s="559"/>
      <c r="K128" s="555"/>
    </row>
    <row r="129" spans="1:13" ht="15.6" x14ac:dyDescent="0.3">
      <c r="A129" s="520"/>
      <c r="B129" s="521"/>
      <c r="C129" s="59" t="s">
        <v>394</v>
      </c>
      <c r="D129" s="59"/>
      <c r="E129" s="167"/>
      <c r="F129" s="341" t="str">
        <f>IF(E129="","",ROUND(IF(E129&gt;=30,0,IF(E129&lt;=0,1,E129*'Reference Standards'!S$156+'Reference Standards'!S$157)),2))</f>
        <v/>
      </c>
      <c r="G129" s="530"/>
      <c r="H129" s="567"/>
      <c r="I129" s="555"/>
      <c r="J129" s="559"/>
      <c r="K129" s="555"/>
    </row>
    <row r="130" spans="1:13" ht="15.6" x14ac:dyDescent="0.3">
      <c r="A130" s="520"/>
      <c r="B130" s="520" t="s">
        <v>50</v>
      </c>
      <c r="C130" s="60" t="s">
        <v>377</v>
      </c>
      <c r="D130" s="64"/>
      <c r="E130" s="136"/>
      <c r="F130" s="294" t="str">
        <f>IF(E130="","",ROUND(IF(E130&gt;9.2,1,E130*'Reference Standards'!$S$189+'Reference Standards'!$S$190),2))</f>
        <v/>
      </c>
      <c r="G130" s="552" t="str">
        <f>IFERROR(ROUND(AVERAGE(F130:F139),2),"")</f>
        <v/>
      </c>
      <c r="H130" s="567"/>
      <c r="I130" s="555"/>
      <c r="J130" s="559"/>
      <c r="K130" s="555"/>
    </row>
    <row r="131" spans="1:13" ht="15.6" x14ac:dyDescent="0.3">
      <c r="A131" s="520"/>
      <c r="B131" s="520"/>
      <c r="C131" s="62" t="s">
        <v>378</v>
      </c>
      <c r="D131" s="58"/>
      <c r="E131" s="162"/>
      <c r="F131" s="294" t="str">
        <f>IF(E131="","",ROUND(IF(E131&gt;9.2,1,E131*'Reference Standards'!$S$189+'Reference Standards'!$S$190),2))</f>
        <v/>
      </c>
      <c r="G131" s="553"/>
      <c r="H131" s="567"/>
      <c r="I131" s="555"/>
      <c r="J131" s="559"/>
      <c r="K131" s="555"/>
    </row>
    <row r="132" spans="1:13" ht="15.6" x14ac:dyDescent="0.3">
      <c r="A132" s="520"/>
      <c r="B132" s="520"/>
      <c r="C132" s="62" t="s">
        <v>379</v>
      </c>
      <c r="D132" s="58"/>
      <c r="E132" s="162"/>
      <c r="F132" s="294" t="str">
        <f>IF(E132="","",ROUND( IF(E132&gt;=200,1,IF(E132&lt;50, E132^2*'Reference Standards'!S$224+E132*'Reference Standards'!S$225+'Reference Standards'!S$226, E132*'Reference Standards'!T$224+'Reference Standards'!T$225)),2))</f>
        <v/>
      </c>
      <c r="G132" s="553"/>
      <c r="H132" s="567"/>
      <c r="I132" s="555"/>
      <c r="J132" s="559"/>
      <c r="K132" s="555"/>
    </row>
    <row r="133" spans="1:13" ht="15.6" x14ac:dyDescent="0.3">
      <c r="A133" s="520"/>
      <c r="B133" s="520"/>
      <c r="C133" s="62" t="s">
        <v>380</v>
      </c>
      <c r="D133" s="58"/>
      <c r="E133" s="162"/>
      <c r="F133" s="294" t="str">
        <f>IF(E133="","",ROUND( IF(E133&gt;=200,1,IF(E133&lt;50, E133^2*'Reference Standards'!S$224+E133*'Reference Standards'!S$225+'Reference Standards'!S$226, E133*'Reference Standards'!T$224+'Reference Standards'!T$225)),2))</f>
        <v/>
      </c>
      <c r="G133" s="553"/>
      <c r="H133" s="567"/>
      <c r="I133" s="555"/>
      <c r="J133" s="559"/>
      <c r="K133" s="555"/>
    </row>
    <row r="134" spans="1:13" ht="15.6" x14ac:dyDescent="0.3">
      <c r="A134" s="520"/>
      <c r="B134" s="520"/>
      <c r="C134" s="58" t="s">
        <v>381</v>
      </c>
      <c r="D134" s="58"/>
      <c r="E134" s="162"/>
      <c r="F134" s="294" t="str">
        <f>IF(E134="","",ROUND(IF(AND(E134&gt;=135,E134&lt;=262),1,IF(  E134&gt;=366,0.5, IF(E134&lt;135,E134*'Reference Standards'!S$259+'Reference Standards'!S$260, E134*'Reference Standards'!T$259+'Reference Standards'!T$260))),2))</f>
        <v/>
      </c>
      <c r="G134" s="553"/>
      <c r="H134" s="567"/>
      <c r="I134" s="555"/>
      <c r="J134" s="559"/>
      <c r="K134" s="555"/>
    </row>
    <row r="135" spans="1:13" ht="15.6" x14ac:dyDescent="0.3">
      <c r="A135" s="520"/>
      <c r="B135" s="520"/>
      <c r="C135" s="58" t="s">
        <v>382</v>
      </c>
      <c r="D135" s="58"/>
      <c r="E135" s="162"/>
      <c r="F135" s="294" t="str">
        <f>IF(E135="","",ROUND(IF(AND(E135&gt;=135,E135&lt;=262),1,IF(  E135&gt;=366,0.5, IF(E135&lt;135,E135*'Reference Standards'!S$259+'Reference Standards'!S$260, E135*'Reference Standards'!T$259+'Reference Standards'!T$260))),2))</f>
        <v/>
      </c>
      <c r="G135" s="553"/>
      <c r="H135" s="567"/>
      <c r="I135" s="555"/>
      <c r="J135" s="559"/>
      <c r="K135" s="555"/>
    </row>
    <row r="136" spans="1:13" ht="15.6" x14ac:dyDescent="0.3">
      <c r="A136" s="520"/>
      <c r="B136" s="520"/>
      <c r="C136" s="58" t="s">
        <v>383</v>
      </c>
      <c r="D136" s="58"/>
      <c r="E136" s="162"/>
      <c r="F136" s="84" t="str">
        <f>IF(E136="","",ROUND(IF(E136&gt;=75,1,IF(E136&lt;=0,0,E136*'Reference Standards'!S$330)),2))</f>
        <v/>
      </c>
      <c r="G136" s="553"/>
      <c r="H136" s="567"/>
      <c r="I136" s="555"/>
      <c r="J136" s="559"/>
      <c r="K136" s="555"/>
    </row>
    <row r="137" spans="1:13" ht="15.6" x14ac:dyDescent="0.3">
      <c r="A137" s="520"/>
      <c r="B137" s="520"/>
      <c r="C137" s="58" t="s">
        <v>384</v>
      </c>
      <c r="D137" s="58"/>
      <c r="E137" s="162"/>
      <c r="F137" s="84" t="str">
        <f>IF(E137="","",ROUND(IF(E137&gt;=75,1,IF(E137&lt;=0,0,E137*'Reference Standards'!S$330)),2))</f>
        <v/>
      </c>
      <c r="G137" s="553"/>
      <c r="H137" s="567"/>
      <c r="I137" s="555"/>
      <c r="J137" s="559"/>
      <c r="K137" s="555"/>
    </row>
    <row r="138" spans="1:13" ht="15.6" x14ac:dyDescent="0.3">
      <c r="A138" s="520"/>
      <c r="B138" s="520"/>
      <c r="C138" s="58" t="s">
        <v>385</v>
      </c>
      <c r="D138" s="58"/>
      <c r="E138" s="162"/>
      <c r="F138" s="294" t="str">
        <f>IF(E138="","",ROUND(IF(AND(E138&gt;=36.3,E138&lt;=68),1,IF(E138&gt;100,0,IF(E138&lt;36.3,(('Reference Standards'!S$297*(E138^2))+('Reference Standards'!S$298*E138)+'Reference Standards'!S$299),IF(E138&gt;68,(('Reference Standards'!T$297*(E138^2))+('Reference Standards'!T$298*E138)+'Reference Standards'!T$299))))),2))</f>
        <v/>
      </c>
      <c r="G138" s="553"/>
      <c r="H138" s="567"/>
      <c r="I138" s="555"/>
      <c r="J138" s="559"/>
      <c r="K138" s="555"/>
      <c r="M138" s="21"/>
    </row>
    <row r="139" spans="1:13" ht="15.6" x14ac:dyDescent="0.3">
      <c r="A139" s="520"/>
      <c r="B139" s="521"/>
      <c r="C139" s="58" t="s">
        <v>386</v>
      </c>
      <c r="D139" s="65"/>
      <c r="E139" s="162"/>
      <c r="F139" s="294" t="str">
        <f>IF(E139="","",ROUND(IF(AND(E139&gt;=36.3,E139&lt;=68),1,IF(E139&gt;100,0,IF(E139&lt;36.3,(('Reference Standards'!S$297*(E139^2))+('Reference Standards'!S$298*E139)+'Reference Standards'!S$299),IF(E139&gt;68,(('Reference Standards'!T$297*(E139^2))+('Reference Standards'!T$298*E139)+'Reference Standards'!T$299))))),2))</f>
        <v/>
      </c>
      <c r="G139" s="554"/>
      <c r="H139" s="567"/>
      <c r="I139" s="555"/>
      <c r="J139" s="559"/>
      <c r="K139" s="555"/>
    </row>
    <row r="140" spans="1:13" ht="15.6" x14ac:dyDescent="0.3">
      <c r="A140" s="520"/>
      <c r="B140" s="56" t="s">
        <v>108</v>
      </c>
      <c r="C140" s="72" t="s">
        <v>130</v>
      </c>
      <c r="D140" s="58"/>
      <c r="E140" s="43"/>
      <c r="F140" s="82" t="str">
        <f>IF(E140="","",IF(OR('Quantification Tool R2'!B$14="Gravel",'Quantification Tool R2'!B$14="Cobble"),IF(E140&gt;0.1,1,IF(E140&lt;=0.01,0,ROUND(E140*'Reference Standards'!$S$362+'Reference Standards'!$S$363,2)))))</f>
        <v/>
      </c>
      <c r="G140" s="82" t="str">
        <f>IFERROR(AVERAGE(F140),"")</f>
        <v/>
      </c>
      <c r="H140" s="567"/>
      <c r="I140" s="555"/>
      <c r="J140" s="559"/>
      <c r="K140" s="555"/>
    </row>
    <row r="141" spans="1:13" ht="15.6" x14ac:dyDescent="0.3">
      <c r="A141" s="520"/>
      <c r="B141" s="526" t="s">
        <v>51</v>
      </c>
      <c r="C141" s="64" t="s">
        <v>52</v>
      </c>
      <c r="D141" s="64"/>
      <c r="E141" s="166"/>
      <c r="F141" s="337" t="str">
        <f>IF(E141="","",IF(ISNUMBER('Quantification Tool R2'!$B$17),IF('Quantification Tool R2'!$B$17&lt;=2,IF(AND(E141&gt;=3,E141&lt;=5),1,IF(OR(E141&lt;=1,E141&gt;=7),0,ROUND(IF(E141&lt;3,E141*'Reference Standards'!S$398+'Reference Standards'!S$399,E141*'Reference Standards'!T$398+'Reference Standards'!T$399),2))),IF(E141&lt;=2.5,1,IF(E141&gt;=5.8,0,ROUND(E141*'Reference Standards'!S$430+'Reference Standards'!S$431,2))))))</f>
        <v/>
      </c>
      <c r="G141" s="528" t="str">
        <f>IFERROR(AVERAGE(F141:F144),"")</f>
        <v/>
      </c>
      <c r="H141" s="567"/>
      <c r="I141" s="555"/>
      <c r="J141" s="559"/>
      <c r="K141" s="555"/>
    </row>
    <row r="142" spans="1:13" ht="15.6" x14ac:dyDescent="0.3">
      <c r="A142" s="520"/>
      <c r="B142" s="520"/>
      <c r="C142" s="58" t="s">
        <v>53</v>
      </c>
      <c r="D142" s="58"/>
      <c r="E142" s="165"/>
      <c r="F142" s="84" t="str">
        <f>IF(E142="","", IF( E142&gt;=2.4,1, IF(E142&lt;=1,0,  ROUND(IF(E142&lt;2.4, E142*'Reference Standards'!$S$464+'Reference Standards'!$S$465  ),2))))</f>
        <v/>
      </c>
      <c r="G142" s="529"/>
      <c r="H142" s="567"/>
      <c r="I142" s="555"/>
      <c r="J142" s="559"/>
      <c r="K142" s="555"/>
    </row>
    <row r="143" spans="1:13" ht="15.6" x14ac:dyDescent="0.3">
      <c r="A143" s="520"/>
      <c r="B143" s="520"/>
      <c r="C143" s="58" t="s">
        <v>334</v>
      </c>
      <c r="D143" s="58"/>
      <c r="E143" s="165"/>
      <c r="F143" s="390" t="str">
        <f>IF(E143="","", IF(LEFT('Quantification Tool R2'!$B$12,2)="67",  IF( AND(E143&gt;=45,E143&lt;=65),1, IF(OR(E143&lt;=20,E143&gt;=90),0, ROUND(  IF(E143&lt;45, E143*'Reference Standards'!$S$498+'Reference Standards'!$S$499,E143*'Reference Standards'!$T$498+'Reference Standards'!$T$499),2))), IF(OR(  LEFT('Quantification Tool R2'!$B$12,2)="68", LEFT('Quantification Tool R2'!$B$12,2)="69",LEFT('Quantification Tool R2'!$B$12,2)="71"),  IF( AND(E143&gt;=30,E143&lt;=50),1, IF(OR(E143&lt;=10,E143&gt;=70),0, ROUND(  IF(E143&lt;30, E143*'Reference Standards'!$S$533+'Reference Standards'!$S$534,E143*'Reference Standards'!$T$533+'Reference Standards'!$T$534),2))), IF(LEFT('Quantification Tool R2'!$B$12,2)="66",  IF( AND(E143&gt;=20,E143&lt;=45),1, IF(OR(E143&lt;=0,E143&gt;=90),0, ROUND(  IF(E143&lt;20, E143*'Reference Standards'!$S$567+'Reference Standards'!$S$568,E143*'Reference Standards'!$T$567+'Reference Standards'!$T$568),2))), IF(OR(  LEFT('Quantification Tool R2'!$B$12,2)="65", LEFT('Quantification Tool R2'!$B$12,2)="74", LEFT('Quantification Tool R2'!$B$12,2)="73"),  IF( AND(E143&gt;=20,E143&lt;=30),1, IF(OR(E143&lt;=0,E143&gt;=50),0, ROUND(  IF(E143&lt;20, E143*'Reference Standards'!$S$601+'Reference Standards'!$S$602,E143*'Reference Standards'!$T$601+'Reference Standards'!$T$602),2))))))))</f>
        <v/>
      </c>
      <c r="G143" s="529"/>
      <c r="H143" s="567"/>
      <c r="I143" s="555"/>
      <c r="J143" s="559"/>
      <c r="K143" s="555"/>
    </row>
    <row r="144" spans="1:13" ht="15.6" x14ac:dyDescent="0.3">
      <c r="A144" s="520"/>
      <c r="B144" s="521"/>
      <c r="C144" s="62" t="s">
        <v>210</v>
      </c>
      <c r="D144" s="58"/>
      <c r="E144" s="167"/>
      <c r="F144" s="391" t="str">
        <f>IF(E144="","",IF(E144&gt;=1.6,0,IF(E144&lt;=1,1,ROUND('Reference Standards'!$S$633*E144^3+'Reference Standards'!$S$634*E144^2+'Reference Standards'!$S$635*E144+'Reference Standards'!$S$636,2))))</f>
        <v/>
      </c>
      <c r="G144" s="530"/>
      <c r="H144" s="567"/>
      <c r="I144" s="555"/>
      <c r="J144" s="559"/>
      <c r="K144" s="555"/>
      <c r="L144" s="13"/>
    </row>
    <row r="145" spans="1:12" ht="15.6" x14ac:dyDescent="0.3">
      <c r="A145" s="521"/>
      <c r="B145" s="309" t="s">
        <v>55</v>
      </c>
      <c r="C145" s="242" t="s">
        <v>54</v>
      </c>
      <c r="D145" s="243"/>
      <c r="E145" s="163"/>
      <c r="F145" s="342" t="str">
        <f>IF(E145="","",IF(AND('Quantification Tool R2'!B$11="E",'Quantification Tool R2'!$B$14="Sand",'Quantification Tool R2'!$B$21="Unconfined Alluvial"),ROUND(IF(OR(E145&gt;1.8,E145&lt;1.3),0,IF(E145&lt;=1.6,1,E145*'Reference Standards'!S$667+'Reference Standards'!S$668)),2),    IF('Quantification Tool R2'!$B$21="Unconfined Alluvial",ROUND(IF(OR(E145&lt;1.2, E145&gt;1.5),0,IF(E145&lt;=1.4,1,E145*'Reference Standards'!$S$700+'Reference Standards'!$S$701)),2), IF('Quantification Tool R2'!$B$21="Confined Alluvial",ROUND(IF(E145&lt;1.15,0,IF(E145&lt;=1.4,E145*'Reference Standards'!$S$729+'Reference Standards'!$S$730,1)),2),  IF('Quantification Tool R2'!$B$21="Colluvial",ROUND(IF(E145&gt;1.3,0,IF(E145&gt;1.2,E145*'Reference Standards'!$S$760+'Reference Standards'!$S$761,1)),2) )))))</f>
        <v/>
      </c>
      <c r="G145" s="84" t="str">
        <f>IFERROR(AVERAGE(F145),"")</f>
        <v/>
      </c>
      <c r="H145" s="567"/>
      <c r="I145" s="555"/>
      <c r="J145" s="559"/>
      <c r="K145" s="555"/>
      <c r="L145" s="13"/>
    </row>
    <row r="146" spans="1:12" ht="15.6" x14ac:dyDescent="0.3">
      <c r="A146" s="537" t="s">
        <v>58</v>
      </c>
      <c r="B146" s="67" t="s">
        <v>88</v>
      </c>
      <c r="C146" s="70" t="s">
        <v>338</v>
      </c>
      <c r="D146" s="70"/>
      <c r="E146" s="43"/>
      <c r="F146" s="343" t="str">
        <f>IF(E146="","",ROUND(IF(E146&gt;=942,0,IF(E146&lt;=487,E146*'Reference Standards'!AB$15+'Reference Standards'!AB$16,E146*'Reference Standards'!$AC$15+'Reference Standards'!$AC$16)),2))</f>
        <v/>
      </c>
      <c r="G146" s="85" t="str">
        <f>IFERROR(AVERAGE(F146),"")</f>
        <v/>
      </c>
      <c r="H146" s="547" t="str">
        <f>IFERROR(ROUND(AVERAGE(G146:G149),2),"")</f>
        <v/>
      </c>
      <c r="I146" s="534" t="str">
        <f>IF(H146="","",IF(H146&gt;0.69,"Functioning",IF(H146&gt;0.29,"Functioning At Risk",IF(H146&gt;-1,"Not Functioning"))))</f>
        <v/>
      </c>
      <c r="J146" s="559"/>
      <c r="K146" s="555"/>
      <c r="L146" s="21"/>
    </row>
    <row r="147" spans="1:12" ht="15.6" x14ac:dyDescent="0.3">
      <c r="A147" s="538"/>
      <c r="B147" s="306" t="s">
        <v>362</v>
      </c>
      <c r="C147" s="66" t="s">
        <v>354</v>
      </c>
      <c r="D147" s="66"/>
      <c r="E147" s="163"/>
      <c r="F147" s="344" t="str">
        <f>IF(E147="","",IF(OR('Quantification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June")),IF(E147&gt;93,0,IF(E147&lt;13,1,ROUND('Reference Standards'!$AB$53*E147^2+'Reference Standards'!$AB$54*E147+'Reference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R2'!$B$12="73b"),IF(E147&gt;94,0,IF(E147&lt;17,1,ROUND('Reference Standards'!$AC$53*E147^2+'Reference Standards'!$AC$54*E147+'Reference Standards'!$AC$55,2))),    IF(OR(AND(OR('Quantification Tool R2'!$B$12="68b",'Quantification Tool R2'!$B$12="71i"),'Quantification Tool R2'!$B$13&gt;2), 'Quantification Tool R2'!$B$12="71e"),IF(E147&gt;91,0,IF(E147&lt;24,1,ROUND('Reference Standards'!$AD$53*E147^2+'Reference Standards'!$AD$54*E147+'Reference Standards'!$AD$55,2))),  IF(OR(AND(OR('Quantification Tool R2'!$B$12="71f",'Quantification Tool R2'!$B$12="71g",'Quantification Tool R2'!$B$12="71h",'Quantification Tool R2'!$B$12="71i"),'Quantification Tool R2'!$B$13&lt;=2), AND('Quantification Tool R2'!$B$12="74a",'Quantification Tool R2'!$B$13&gt;2)),IF(E147&gt;95,0,IF(E147&lt;=36,1,ROUND('Reference Standards'!$AE$53*E147^2+'Reference Standards'!$AE$54*E147+'Reference Standards'!$AE$55,2))))))))</f>
        <v/>
      </c>
      <c r="G147" s="236" t="str">
        <f>IFERROR(AVERAGE(F147:F147),"")</f>
        <v/>
      </c>
      <c r="H147" s="548"/>
      <c r="I147" s="535"/>
      <c r="J147" s="559"/>
      <c r="K147" s="555"/>
      <c r="L147" s="21"/>
    </row>
    <row r="148" spans="1:12" ht="15.6" x14ac:dyDescent="0.3">
      <c r="A148" s="538"/>
      <c r="B148" s="67" t="s">
        <v>81</v>
      </c>
      <c r="C148" s="68" t="s">
        <v>281</v>
      </c>
      <c r="D148" s="68"/>
      <c r="E148" s="162"/>
      <c r="F148" s="344" t="str">
        <f>IF(E148="","",IF(ISNUMBER('Quantification Tool R2'!$B$13),IF(OR('Quantification Tool R2'!$B$12="66e",'Quantification Tool R2'!$B$12="66f",'Quantification Tool R2'!$B$12="66g"),ROUND(IF(E148&gt;=0.61,0,IF(E148&lt;=0.01,1,IF(E148&lt;=0.06,E148*'Reference Standards'!$AD$197+'Reference Standards'!$AD$198,E148^2*'Reference Standards'!$AB$196+E148*'Reference Standards'!$AB$197+'Reference Standards'!$AB$198))),2),IF('Quantification Tool R2'!$B$12="68b",ROUND(IF(E148&gt;=1.1,0,IF(E148&lt;=0.17,1,IF(E148&lt;=0.22,E148*'Reference Standards'!$AE$197+'Reference Standards'!$AE$198,E148^2*'Reference Standards'!$AC$196+E148*'Reference Standards'!$AC$197+'Reference Standards'!$AC$198))),2),IF('Quantification Tool R2'!$B$13&lt;=2.5,IF('Quantification Tool R2'!$B$12="69de",ROUND(IF(E148&gt;=0.22,0,IF(E148&lt;=0.01,1,E148^2*'Reference Standards'!$AB$90+E148*'Reference Standards'!$AB$91+'Reference Standards'!$AB$92)),2),IF('Quantification Tool R2'!$B$12="68c",ROUND(IF(E148&gt;=0.87,0,IF(E148&lt;=0.01,1,E148^2*'Reference Standards'!$AC$90+E148*'Reference Standards'!$AC$91+'Reference Standards'!$AC$92)),2),IF('Quantification Tool R2'!$B$12="68a",ROUND(IF(E148&gt;=0.81,0,IF(E148&lt;=0.01,1,E148^2*'Reference Standards'!$AD$90+E148*'Reference Standards'!$AD$91+'Reference Standards'!$AD$92)),2),IF('Quantification Tool R2'!$B$12="65abei",ROUND(IF(E148&gt;=0.67,0,IF(E148&lt;=0.01,1,IF(E148&lt;=0.18,E148*'Reference Standards'!$AG$91+'Reference Standards'!$AG$92,E148*'Reference Standards'!$AE$91+'Reference Standards'!$AE$92))),2),IF('Quantification Tool R2'!$B$12="65j",ROUND(IF(E148&gt;=0.32,0,IF(E148&lt;=0.01,1,IF(E148&lt;=0.25,E148*'Reference Standards'!$AH$91+'Reference Standards'!$AH$92,E148*'Reference Standards'!$AF$91+'Reference Standards'!$AF$92))),2),IF('Quantification Tool R2'!$B$12="71f",ROUND(IF(E148&gt;=3,0,IF(E148&lt;=0,1,IF(E148&lt;=0.01,0.7,E148^2*'Reference Standards'!$AB$126+E148*'Reference Standards'!$AB$127+'Reference Standards'!$AB$128))),2),IF('Quantification Tool R2'!$B$12="74a",ROUND(IF(E148&gt;=0.14,0,IF(E148&lt;=0.01,1,IF(E148&lt;=0.02,0.7,E148^2*'Reference Standards'!$AC$126+E148*'Reference Standards'!$AC$127+'Reference Standards'!$AC$128))),2),IF(OR('Quantification Tool R2'!$B$12="67fhi",'Quantification Tool R2'!$B$12="67g"),ROUND(IF(E148&gt;=1.9,0,IF(E148&lt;=0.01,1,IF(E148&lt;=0.05,E148*'Reference Standards'!$AF$127+'Reference Standards'!$AF$128,E148^2*'Reference Standards'!$AD$126+E148*'Reference Standards'!$AD$127+'Reference Standards'!$AD$128))),2),IF('Quantification Tool R2'!$B$12="73a",ROUND(IF(E148&gt;=1.44,0,IF(E148&lt;=0.01,1,IF(E148&lt;=0.12,E148*'Reference Standards'!$AG$127+'Reference Standards'!$AG$128,E148^2*'Reference Standards'!$AE$126+E148*'Reference Standards'!$AE$127+'Reference Standards'!$AE$128))),2),IF('Quantification Tool R2'!$B$12="66d",ROUND(IF(E148&gt;=0.46,0,IF(E148&lt;=0.02,1,IF(E148&lt;=0.08,E148*'Reference Standards'!$AF$163+'Reference Standards'!$AF$164,E148^2*'Reference Standards'!$AB$162+E148*'Reference Standards'!$AB$163+'Reference Standards'!$AB$164))),2),IF(OR('Quantification Tool R2'!$B$12="71g",'Quantification Tool R2'!$B$12="71h",'Quantification Tool R2'!$B$12="71i"),ROUND(IF(E148&gt;=3,0,IF(E148&lt;=0.06,1,IF(E148&lt;=0.24,E148*'Reference Standards'!$AG$163+'Reference Standards'!$AG$164,E148^2*'Reference Standards'!$AC$162+E148*'Reference Standards'!$AC$163+'Reference Standards'!$AC$164))),2),IF('Quantification Tool R2'!$B$12="74b",ROUND(IF(E148&gt;=1.3,0,IF(E148&lt;=0.29,1,IF(E148&lt;=0.48,E148*'Reference Standards'!$AH$163+'Reference Standards'!$AH$164,E148^2*'Reference Standards'!$AD$162+E148*'Reference Standards'!$AD$163+'Reference Standards'!$AD$164))),2),IF('Quantification Tool R2'!$B$12="71e",ROUND(IF(E148&gt;=4.3,0,IF(E148&lt;=0.53,1,IF(E148&lt;=0.67,E148*'Reference Standards'!$AI$163+'Reference Standards'!$AI$164,E148^2*'Reference Standards'!$AE$162+E148*'Reference Standards'!$AE$163+'Reference Standards'!$AE$164))),2)))))))))))))),IF('Quantification Tool R2'!$B$13&gt;2.5,IF('Quantification Tool R2'!$B$12="73a",ROUND(IF(E148&gt;=0.55,0,IF(E148&lt;=0,1,E148^2*'Reference Standards'!$AB$232+E148*'Reference Standards'!$AB$233+'Reference Standards'!$AB$234)),2),IF('Quantification Tool R2'!$B$12="68a",ROUND(IF(E148&gt;=0.54,0,IF(E148&lt;=0,1,IF(E148&lt;=0.01,0.85,E148^2*'Reference Standards'!$AC$232+E148*'Reference Standards'!$AC$233+'Reference Standards'!$AC$234))),2),IF('Quantification Tool R2'!$B$12="74a",ROUND(IF(E148&gt;=0.47,0,IF(E148&lt;=0.01,1,IF(E148&lt;=0.02,0.7,E148^2*'Reference Standards'!$AD$232+E148*'Reference Standards'!$AD$233+'Reference Standards'!$AD$234))),2),IF('Quantification Tool R2'!$B$12="69de",ROUND(IF(E148&gt;=0.26,0,IF(E148&lt;=0.01,1,IF(E148&lt;=0.02,0.85,E148^2*'Reference Standards'!$AE$232+E148*'Reference Standards'!$AE$233+'Reference Standards'!$AE$234))),2),IF('Quantification Tool R2'!$B$12="71f",ROUND(IF(E148&gt;=0.87,0,IF(E148&lt;=0.01,1,IF(E148&lt;=0.04,E148*'Reference Standards'!$AF$269+'Reference Standards'!$AF$270,E148^2*'Reference Standards'!$AB$268+E148*'Reference Standards'!$AB$269+'Reference Standards'!$AB$270))),2),IF('Quantification Tool R2'!$B$12="65abei",ROUND(IF(E148&gt;=0.82,0,IF(E148&lt;=0.01,1,IF(E148&lt;=0.06,E148*'Reference Standards'!$AG$269+'Reference Standards'!$AG$270,E148^2*'Reference Standards'!$AC$268+E148*'Reference Standards'!$AC$269+'Reference Standards'!$AC$270))),2),IF('Quantification Tool R2'!$B$12="65j",ROUND(IF(E148&gt;=0.33,0,IF(E148&lt;=0.03,1,IF(E148&lt;=0.09,E148*'Reference Standards'!$AH$269+'Reference Standards'!$AH$270,E148^2*'Reference Standards'!$AD$268+E148*'Reference Standards'!$AD$269+'Reference Standards'!$AD$270))),2),IF('Quantification Tool R2'!$B$12="68c",ROUND(IF(E148&gt;=0.7,0,IF(E148&lt;=0.07,1,IF(E148&lt;=0.12,E148*'Reference Standards'!$AI$269+'Reference Standards'!$AI$270,E148^2*'Reference Standards'!$AE$268+E148*'Reference Standards'!$AE$269+'Reference Standards'!$AE$270))),2),IF(OR('Quantification Tool R2'!$B$12="67fhi",'Quantification Tool R2'!$B$12="67g"),ROUND(IF(E148&gt;=1.8,0,IF(E148&lt;=0.08,1,IF(E148&lt;=0.2,E148*'Reference Standards'!$AF$306+'Reference Standards'!$AF$307,E148^2*'Reference Standards'!$AB$305+E148*'Reference Standards'!$AB$306+'Reference Standards'!$AB$307))),2),IF('Quantification Tool R2'!$B$12="74b",ROUND(IF(E148&gt;=0.96,0,IF(E148&lt;=0.12,1,IF(E148&lt;=0.16,E148*'Reference Standards'!$AG$306+'Reference Standards'!$AG$307,E148^2*'Reference Standards'!$AC$305+E148*'Reference Standards'!$AC$306+'Reference Standards'!$AC$307))),2),IF('Quantification Tool R2'!$B$12="66d",ROUND(IF(E148&gt;=0.75,0,IF(E148&lt;=0.13,1,IF(E148&lt;=0.2,E148*'Reference Standards'!$AH$306+'Reference Standards'!$AH$307,E148^2*'Reference Standards'!$AD$305+E148*'Reference Standards'!$AD$306+'Reference Standards'!$AD$307))),2),IF(OR('Quantification Tool R2'!$B$12="71g",'Quantification Tool R2'!$B$12="71h",'Quantification Tool R2'!$B$12="71i"),ROUND(IF(E148&gt;=1.68,0,IF(E148&lt;=0.08,1,IF(E148&lt;=0.23,E148*'Reference Standards'!$AI$306+'Reference Standards'!$AI$307,E148^2*'Reference Standards'!$AE$305+E148*'Reference Standards'!$AE$306+'Reference Standards'!$AE$307))),2),IF('Quantification Tool R2'!$B$12="71e",ROUND(IF(E148&gt;=5.3,0,IF(E148&lt;=0.94,1,IF(E148&lt;=1.4,E148*'Reference Standards'!$AF$310+'Reference Standards'!$AF$311,E148^2*'Reference Standards'!$AB$309+E148*'Reference Standards'!$AB$310+'Reference Standards'!$AB$311))),2))))))))))))))))))))</f>
        <v/>
      </c>
      <c r="G148" s="86" t="str">
        <f>IFERROR(AVERAGE(F148),"")</f>
        <v/>
      </c>
      <c r="H148" s="548"/>
      <c r="I148" s="535"/>
      <c r="J148" s="559"/>
      <c r="K148" s="555"/>
      <c r="L148" s="21"/>
    </row>
    <row r="149" spans="1:12" ht="15.6" x14ac:dyDescent="0.3">
      <c r="A149" s="539"/>
      <c r="B149" s="307" t="s">
        <v>82</v>
      </c>
      <c r="C149" s="66" t="s">
        <v>280</v>
      </c>
      <c r="D149" s="66"/>
      <c r="E149" s="136"/>
      <c r="F149" s="343" t="str">
        <f>IF(E149="","",IF(ISNUMBER('Quantification Tool R2'!$B$13),IF('Quantification Tool R2'!$B$13&gt;2.5,IF(OR('Quantification Tool R2'!$B$12="71h",'Quantification Tool R2'!$B$12="71i",'Quantification Tool R2'!$B$12="73a",'Quantification Tool R2'!$B$12="74a"),IF(E149&lt;=0.01,1,IF(OR('Quantification Tool R2'!$B$12="71h",'Quantification Tool R2'!$B$12="71i"),IF(E149&gt;0.37,0,ROUND(IF(E149&gt;0.03,'Reference Standards'!$AB$425*E149^2+'Reference Standards'!$AB$426*E149+'Reference Standards'!$AB$427,'Reference Standards'!$AF$426*E149+'Reference Standards'!$AF$427),2)),IF('Quantification Tool R2'!$B$12="73a",IF(E149&gt;0.405,0,ROUND(IF(E149&gt;0.046,'Reference Standards'!$AC$425*E149^2+'Reference Standards'!$AC$426*E149+'Reference Standards'!$AC$427,'Reference Standards'!$AG$426*E149+'Reference Standards'!$AG$427),2)),IF('Quantification Tool R2'!$B$12="74a",IF(E149&gt;0.3,0,ROUND(IF(E149&gt;0.052,'Reference Standards'!$AD$425*E149^2+'Reference Standards'!$AD$426*E149+'Reference Standards'!$AD$427,'Reference Standards'!$AH$426*E149+'Reference Standards'!$AH$427),2)))))),IF(E149&lt;=0.002,1,IF(OR('Quantification Tool R2'!$B$12="66d",'Quantification Tool R2'!$B$12="66e",'Quantification Tool R2'!$B$12="66g"),IF(E149&gt;0.053,0,ROUND(E149^2*'Reference Standards'!$AB$347+E149*'Reference Standards'!$AB$348+'Reference Standards'!$AB$349,2)),IF('Quantification Tool R2'!$B$12="68b",IF(E149&gt;0.05,0,ROUND(E149^2*'Reference Standards'!$AC$347+E149*'Reference Standards'!$AC$348+'Reference Standards'!$AC$349,2)),IF(OR('Quantification Tool R2'!$B$12="68a",'Quantification Tool R2'!$B$12="68c"),IF(E149&gt;0.07,0,ROUND(E149^2*'Reference Standards'!$AD$347+E149*'Reference Standards'!$AD$348+'Reference Standards'!$AD$349,2)),IF(OR('Quantification Tool R2'!$B$12="71f",'Quantification Tool R2'!$B$12="71g"),IF(E149&gt;0.13,0,ROUND(IF(E149&gt;0.042,E149*'Reference Standards'!$AE$348+'Reference Standards'!$AE$349,E149*'Reference Standards'!$AF$348+'Reference Standards'!$AF$349),2)),IF('Quantification Tool R2'!$B$12="67fhi",IF(E149&gt;0.16,0,ROUND(E149^2*'Reference Standards'!$AG$347+E149*'Reference Standards'!$AG$348+'Reference Standards'!$AG$349,2)),IF('Quantification Tool R2'!$B$12="65j",IF(E149&gt;0.035,0,ROUND(IF(E149&lt;=0.003,0.7,E149^2*'Reference Standards'!$AB$387+E149*'Reference Standards'!$AB$388+'Reference Standards'!$AB$389),2)),IF('Quantification Tool R2'!$B$12="69de",IF(E149&gt;0.037,0,ROUND(IF(E149&lt;=0.003,0.7,E149^2*'Reference Standards'!$AC$387+E149*'Reference Standards'!$AC$388+'Reference Standards'!$AC$389),2)),IF('Quantification Tool R2'!$B$12="71e",IF(E149&gt;0.23,0,ROUND(IF(E149&lt;=0.003,0.7,E149^2*'Reference Standards'!$AD$387+E149*'Reference Standards'!$AD$388+'Reference Standards'!$AD$389),2)),IF('Quantification Tool R2'!$B$12="66f",IF(E149&gt;0.06,0,ROUND(IF(E149&lt;=0.003,0.85,IF(E149&lt;=0.004,0.7,E149^2*'Reference Standards'!$AE$387+E149*'Reference Standards'!$AE$388+'Reference Standards'!$AE$389)),2)),IF('Quantification Tool R2'!$B$12="67g",IF(E149&gt;0.11,0,ROUND(IF(E149&lt;=0.01,E149*'Reference Standards'!$AH$388+'Reference Standards'!$AH$389,E149^2*'Reference Standards'!$AF$387+E149*'Reference Standards'!$AF$388+'Reference Standards'!$AF$389),2)),IF('Quantification Tool R2'!$B$12="74b",IF(E149&gt;0.49,0,ROUND(IF(E149&lt;=0.01,E149*'Reference Standards'!$AH$388+'Reference Standards'!$AH$389,E149^2*'Reference Standards'!$AG$387+E149*'Reference Standards'!$AG$388+'Reference Standards'!$AG$389),2)),IF('Quantification Tool R2'!$B$12="65abei",IF(E149&gt;0.199,0,ROUND(IF(E149&lt;=0.01,E149*'Reference Standards'!$AI$426+'Reference Standards'!$AI$427,E149^2*'Reference Standards'!$AE$425+E149*'Reference Standards'!$AE$426+'Reference Standards'!$AE$427),2)))))))))))))))),IF('Quantification Tool R2'!$B$13&lt;=2.5,IF(OR('Quantification Tool R2'!$B$12="66d",'Quantification Tool R2'!$B$12="66e",'Quantification Tool R2'!$B$12="66g"),IF(E149&gt;0.05,0,ROUND(IF(E149&lt;=0.002,1,IF(E149&lt;=0.005,E149*'Reference Standards'!$AF$464+'Reference Standards'!$AF$465,E149^2*'Reference Standards'!$AB$463+E149*'Reference Standards'!$AB$464+'Reference Standards'!$AB$465)),2)),IF('Quantification Tool R2'!$B$12="67fhi",IF(E149&gt;0.1,0,ROUND(IF(E149&lt;=0.002,1,IF(E149&lt;=0.006,E149*'Reference Standards'!$AG$464+'Reference Standards'!$AG$465,E149^2*'Reference Standards'!$AC$463+E149*'Reference Standards'!$AC$464+'Reference Standards'!$AC$465)),2)),IF('Quantification Tool R2'!$B$12="65abei",IF(E149&gt;0.13,0,ROUND(IF(E149&lt;=0.003,1,IF(E149&lt;=0.008,E149*'Reference Standards'!$AH$464+'Reference Standards'!$AH$465,E149^2*'Reference Standards'!$AD$463+E149*'Reference Standards'!$AD$464+'Reference Standards'!$AD$465)),2)),IF('Quantification Tool R2'!$B$12="68b",IF(E149&gt;0.043,0,ROUND(IF(E149&lt;=0.004,1,IF(E149&lt;=0.005,0.7,E149^2*'Reference Standards'!$AE$463+E149*'Reference Standards'!$AE$464+'Reference Standards'!$AE$465)),2)),IF('Quantification Tool R2'!$B$12="69de",IF(E149&gt;=0.034,0,ROUND(IF(E149&lt;=0.003,1,IF(E149&lt;=0.006,E149*'Reference Standards'!$AG$500+'Reference Standards'!$AG$501,E149*'Reference Standards'!$AB$500+'Reference Standards'!$AB$501)),2)),IF(OR('Quantification Tool R2'!$B$12="68a",'Quantification Tool R2'!$B$12="68c"),IF(E149&gt;0.202,0,ROUND(IF(E149&lt;=0.003,1,IF(E149&lt;=0.006,E149*'Reference Standards'!$AG$500+'Reference Standards'!$AG$501,IF(E149&gt;=0.04,E149*'Reference Standards'!$AC$500+'Reference Standards'!$AC$501,E149*'Reference Standards'!$AE$500+'Reference Standards'!$AE$501))),2)),IF(OR('Quantification Tool R2'!$B$12="71f",'Quantification Tool R2'!$B$12="71g"),IF(E149&gt;0.631,0,ROUND(IF(E149&lt;=0.003,1,IF(E149&lt;=0.006,E149*'Reference Standards'!$AG$500+'Reference Standards'!$AG$501,IF(E149&gt;=0.17,E149*'Reference Standards'!$AD$500+'Reference Standards'!$AD$501,E149*'Reference Standards'!$AF$500+'Reference Standards'!$AF$501))),2)),IF('Quantification Tool R2'!$B$12="71e",IF(E149&gt;1.23,0,ROUND(IF(E149&lt;=0.004,1,IF(E149&lt;=0.006,E149*'Reference Standards'!$AF$538+'Reference Standards'!$AF$539,E149^2*'Reference Standards'!$AB$537+E149*'Reference Standards'!$AB$538+'Reference Standards'!$AB$539)),2)),IF('Quantification Tool R2'!$B$12="67g",IF(E149&gt;0.11,0,ROUND(IF(E149&lt;=0.006,1,IF(E149&lt;=0.011,E149*'Reference Standards'!$AG$538+'Reference Standards'!$AG$539,E149^2*'Reference Standards'!$AC$537+E149*'Reference Standards'!$AC$538+'Reference Standards'!$AC$539)),2)),IF('Quantification Tool R2'!$B$12="65j",IF(E149&gt;0.046,0,ROUND(IF(E149&lt;=0.007,1,IF(E149&lt;=0.012,E149*'Reference Standards'!$AH$538+'Reference Standards'!$AH$539,E149^2*'Reference Standards'!$AD$537+E149*'Reference Standards'!$AD$538+'Reference Standards'!$AD$539)),2)),IF('Quantification Tool R2'!$B$12="66f",IF(E149&gt;0.081,0,ROUND(IF(E149&lt;=0.008,1,IF(E149&lt;=0.011,E149*'Reference Standards'!$AI$538+'Reference Standards'!$AI$539,E149^2*'Reference Standards'!$AE$537+E149*'Reference Standards'!$AE$538+'Reference Standards'!$AE$539)),2)),IF(OR('Quantification Tool R2'!$B$12="71h",'Quantification Tool R2'!$B$12="71i"),IF(E149&gt;0.37,0,ROUND(IF(E149&lt;=0.013,1,IF(E149&lt;=0.032,E149*'Reference Standards'!$AH$576+'Reference Standards'!$AH$577,IF(E149&lt;=0.3,E149*'Reference Standards'!$AF$576+'Reference Standards'!$AF$577,E149*'Reference Standards'!$AB$576+'Reference Standards'!$AB$577))),2)),IF('Quantification Tool R2'!$B$12="73a",IF(E149&gt;0.448,0,ROUND(IF(E149&lt;=0.071,1,IF(E149&lt;=0.086,E149*'Reference Standards'!$AJ$576+'Reference Standards'!$AJ$577,IF(E149&lt;=0.165,E149*'Reference Standards'!$AG$576+'Reference Standards'!$AG$577,E149*'Reference Standards'!$AE$576+'Reference Standards'!$AE$577))),2)),IF('Quantification Tool R2'!$B$12="74b",IF(E149&gt;0.43,0,ROUND(IF(E149&lt;=0.018,1,IF(E149&lt;=0.019,0.85,IF(E149&lt;=0.02,0.7,E149^2*'Reference Standards'!$AC$575+E149*'Reference Standards'!$AC$576+'Reference Standards'!$AC$577))),2)),IF('Quantification Tool R2'!$B$12="74a",IF(E149&gt;0.217,0,ROUND(IF(E149&lt;=0.02,1,IF(E149&lt;=0.033,E149*'Reference Standards'!$AI$576+'Reference Standards'!$AI$577,E149^2*'Reference Standards'!$AD$575+E149*'Reference Standards'!$AD$576+'Reference Standards'!$AD$577)),2)))))))))))))))))))))</f>
        <v/>
      </c>
      <c r="G149" s="87" t="str">
        <f>IFERROR(AVERAGE(F149),"")</f>
        <v/>
      </c>
      <c r="H149" s="549"/>
      <c r="I149" s="536"/>
      <c r="J149" s="559"/>
      <c r="K149" s="555"/>
      <c r="L149" s="21"/>
    </row>
    <row r="150" spans="1:12" ht="15.6" x14ac:dyDescent="0.3">
      <c r="A150" s="550" t="s">
        <v>59</v>
      </c>
      <c r="B150" s="560" t="s">
        <v>340</v>
      </c>
      <c r="C150" s="125" t="s">
        <v>331</v>
      </c>
      <c r="D150" s="126"/>
      <c r="E150" s="166"/>
      <c r="F150" s="345" t="str">
        <f>IF(E150="","",IF(OR('Quantification Tool R2'!B$12="73a",'Quantification Tool R2'!B$12="73b"),IF(E150&lt;1,0,IF(E150&gt;=30,1,ROUND(IF(E150&lt;22,'Reference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531" t="str">
        <f>IFERROR(AVERAGE(F150:F153),"")</f>
        <v/>
      </c>
      <c r="H150" s="568" t="str">
        <f>IFERROR(ROUND(AVERAGE(G150:G155),2),"")</f>
        <v/>
      </c>
      <c r="I150" s="519" t="str">
        <f>IF(H150="","",IF(H150&gt;0.69,"Functioning",IF(H150&gt;0.29,"Functioning At Risk",IF(H150&gt;-1,"Not Functioning"))))</f>
        <v/>
      </c>
      <c r="J150" s="559"/>
      <c r="K150" s="555"/>
      <c r="L150" s="21"/>
    </row>
    <row r="151" spans="1:12" ht="15.6" x14ac:dyDescent="0.3">
      <c r="A151" s="556"/>
      <c r="B151" s="561"/>
      <c r="C151" s="174" t="s">
        <v>335</v>
      </c>
      <c r="D151" s="175"/>
      <c r="E151" s="165"/>
      <c r="F151" s="346" t="str">
        <f>IF(E151="","",IF(AND('Quantification Tool R2'!$B$12="74b",'Quantification Tool R2'!$B$13&lt;=2),IF(E151&lt;0,0,IF(E151&gt;15.6,0.69,ROUND('Reference Standards'!$AL$54*E151^2+'Reference Standards'!$AL$55*E151+'Reference Standards'!$AL$56,2))),IF(AND('Quantification Tool R2'!$B$12="65abei",'Quantification Tool R2'!$B$13&lt;=2),IF(E151&lt;0,0,IF(E151&gt;=20,0.69,ROUND('Reference Standards'!$AM$54*E151^2+'Reference Standards'!$AM$55*E151+'Reference Standards'!$AM$56,2))),IF(OR(AND('Quantification Tool R2'!$B$12="74a",'Quantification Tool R2'!$B$13&gt;2,'Quantification Tool R2'!$B$19="January - June"),AND('Quantification Tool R2'!$B$12="71i",'Quantification Tool R2'!$B$13&gt;2,'Quantification Tool R2'!$B$20="SQBANK")),IF(E151&lt;0,0,IF(E151&gt;24.7,0.69,ROUND('Reference Standards'!$AN$54*E151^2+'Reference Standards'!$AN$55*E151+'Reference Standards'!$AN$56,2))),IF(OR('Quantification Tool R2'!$B$12="74b",'Quantification Tool R2'!$B$12="65abei"),IF(E151&lt;0,0,IF(E151&gt;32.7,0.69,ROUND('Reference Standards'!$AO$54*E151^2+'Reference Standards'!$AO$55*E151+'Reference Standards'!$AO$56,2))),IF(AND('Quantification Tool R2'!$B$12="68b",'Quantification Tool R2'!$B$13&gt;2),IF(E151&lt;0,0,IF(E151&gt;41.2,0.69,ROUND('Reference Standards'!$AP$54*E151^2+'Reference Standards'!$AP$55*E151+'Reference Standards'!$AP$56,2))),IF(OR(AND('Quantification Tool R2'!$B$12="71i",'Quantification Tool R2'!$B$13&lt;=2),AND(OR('Quantification Tool R2'!$B$12="68c",'Quantification Tool R2'!$B$12="68d"),'Quantification Tool R2'!$B$19="January - June")),IF(E151&lt;0,0,IF(E151&gt;49.2,0.69,ROUND('Reference Standards'!$AL$94*E151^2+'Reference Standards'!$AL$95*E151+'Reference Standards'!$AL$96,2))),IF(OR(AND('Quantification Tool R2'!$B$12="68a",'Quantification Tool R2'!$B$19="January - June"),AND(OR('Quantification Tool R2'!$B$12="68c",'Quantification Tool R2'!$B$12="68d"),'Quantification Tool R2'!$B$19="July - December")),IF(E151&lt;0,0,IF(E151&gt;53.4,0.69,ROUND('Reference Standards'!$AM$94*E151^2+'Reference Standards'!$AM$95*E151+'Reference Standards'!$AM$96,2))),IF(OR(AND('Quantification Tool R2'!$B$12="71i",'Quantification Tool R2'!$B$13&gt;2,'Quantification Tool R2'!$B$20="SQKICK"),AND(OR('Quantification Tool R2'!$B$12="67fhi",'Quantification Tool R2'!$B$12="67g"),'Quantification Tool R2'!$B$13&lt;=2),'Quantification Tool R2'!$B$12="65j"),IF(E151&lt;0,0,IF(E151&gt;57.8,0.69,ROUND('Reference Standards'!$AN$94*E151^2+'Reference Standards'!$AN$95*E151+'Reference Standards'!$AN$96,2))),IF(OR(AND('Quantification Tool R2'!$B$12="74a",'Quantification Tool R2'!$B$13&gt;2,'Quantification Tool R2'!$B$19="July - December"),AND(OR('Quantification Tool R2'!$B$12="67fhi",'Quantification Tool R2'!$B$12="67g"),'Quantification Tool R2'!$B$13&gt;2),'Quantification Tool R2'!$B$12="69de"),IF(E151&lt;0,0,IF(E151&gt;62.5,0.69,ROUND('Reference Standards'!$AO$94*E151^2+'Reference Standards'!$AO$95*E151+'Reference Standards'!$AO$96,2))),  IF(OR('Quantification Tool R2'!$B$12="66d",'Quantification Tool R2'!$B$12="66e",'Quantification Tool R2'!$B$12="66ik",'Quantification Tool R2'!$B$12="71e",'Quantification Tool R2'!$B$12="71f",'Quantification Tool R2'!$B$12="71g",'Quantification Tool R2'!$B$12="71h"),IF(E151&lt;0,0,IF(E151&gt;66.5,0.69,ROUND('Reference Standards'!$AP$94*E151^2+'Reference Standards'!$AP$95*E151+'Reference Standards'!$AP$96,2))),IF(OR('Quantification Tool R2'!$B$12="66f",'Quantification Tool R2'!$B$12="66g",'Quantification Tool R2'!$B$12="66j",AND('Quantification Tool R2'!$B$12="68a",'Quantification Tool R2'!$B$19="July - December")), IF(E151&lt;0,0,IF(E151&gt;69,0.69,ROUND('Reference Standards'!$AQ$94*E151^2+'Reference Standards'!$AQ$95*E151+'Reference Standards'!$AQ$96,2))))   )))))))))))</f>
        <v/>
      </c>
      <c r="G151" s="531"/>
      <c r="H151" s="568"/>
      <c r="I151" s="519"/>
      <c r="J151" s="559"/>
      <c r="K151" s="555"/>
      <c r="L151" s="21"/>
    </row>
    <row r="152" spans="1:12" ht="15.6" x14ac:dyDescent="0.3">
      <c r="A152" s="556"/>
      <c r="B152" s="561"/>
      <c r="C152" s="174" t="s">
        <v>339</v>
      </c>
      <c r="D152" s="175"/>
      <c r="E152" s="165"/>
      <c r="F152" s="346" t="str">
        <f>IF(E152="","",IF(AND('Quantification Tool R2'!$B$12="74b",'Quantification Tool R2'!$B$13&lt;=2),IF(E152&lt;0,0,IF(E152&gt;8.1,0.69,ROUND('Reference Standards'!$AL$131*E152^2+'Reference Standards'!$AL$132*E152+'Reference Standards'!$AL$133,2))),IF(OR('Quantification Tool R2'!$B$12="73a",'Quantification Tool R2'!$B$12="73b"),IF(E152&lt;0,0,IF(E152&gt;=28,0.69,ROUND('Reference Standards'!$AM$131*E152^2+'Reference Standards'!$AM$132*E152+'Reference Standards'!$AM$133,2))),IF(AND('Quantification Tool R2'!$B$12="74a",'Quantification Tool R2'!$B$13&gt;2,'Quantification Tool R2'!$B$19="January - June"),IF(E152&lt;0,0,IF(E152&gt;=32.5,0.69,ROUND('Reference Standards'!$AN$131*E152^2+'Reference Standards'!$AN$132*E152+'Reference Standards'!$AN$133,2))),IF(AND('Quantification Tool R2'!$B$12="71i",'Quantification Tool R2'!$B$13&gt;2,'Quantification Tool R2'!$B$20="SQBANK"),IF(E152&lt;0,0,IF(E152&gt;=37,0.69,ROUND('Reference Standards'!$AO$131*E152^2+'Reference Standards'!$AO$132*E152+'Reference Standards'!$AO$133,2))),IF(OR(AND(OR('Quantification Tool R2'!$B$12="65abei",'Quantification Tool R2'!$B$12="74b"),'Quantification Tool R2'!$B$13&gt;2),AND('Quantification Tool R2'!$B$12="71i",'Quantification Tool R2'!$B$13&gt;2,'Quantification Tool R2'!$B$20="SQKICK")),IF(E152&lt;0,0,IF(E152&gt;42.6,0.69,ROUND('Reference Standards'!$AP$131*E152^2+'Reference Standards'!$AP$132*E152+'Reference Standards'!$AP$133,2))),     IF(OR(AND('Quantification Tool R2'!$B$12="65abei",'Quantification Tool R2'!$B$13&lt;=2),AND(OR('Quantification Tool R2'!$B$12="68c",'Quantification Tool R2'!$B$12="68d"),'Quantification Tool R2'!$B$19="July - December"),'Quantification Tool R2'!$B$12="71e"),IF(E152&lt;0,0,IF(E152&gt;=48,0.69,ROUND('Reference Standards'!$AL$171*E152^2+'Reference Standards'!$AL$172*E152+'Reference Standards'!$AL$173,2))),IF(OR('Quantification Tool R2'!$B$12="65j",'Quantification Tool R2'!$B$12="67fhi",'Quantification Tool R2'!$B$12="67g",AND('Quantification Tool R2'!$B$12="74a",'Quantification Tool R2'!$B$19="July - December",'Quantification Tool R2'!$B$13&gt;2),AND('Quantification Tool R2'!$B$12="71i",'Quantification Tool R2'!$B$13&lt;=2)),IF(E152&lt;0,0,IF(E152&gt;=53,0.69,ROUND('Reference Standards'!$AM$171*E152^2+'Reference Standards'!$AM$172*E152+'Reference Standards'!$AM$173,2))),IF(OR(AND(OR('Quantification Tool R2'!$B$12="68b",'Quantification Tool R2'!$B$12="71f",'Quantification Tool R2'!$B$12="71g",'Quantification Tool R2'!$B$12="71h"),'Quantification Tool R2'!$B$13&gt;2),'Quantification Tool R2'!$B$12="68a"),IF(E152&lt;0,0,IF(E152&gt;=57,0.69,ROUND('Reference Standards'!$AN$171*E152^2+'Reference Standards'!$AN$172*E152+'Reference Standards'!$AN$173,2))),IF(OR('Quantification Tool R2'!$B$12="66f",'Quantification Tool R2'!$B$12="66g",'Quantification Tool R2'!$B$12="66j",AND(OR('Quantification Tool R2'!$B$12="71f",'Quantification Tool R2'!$B$12="71g",'Quantification Tool R2'!$B$12="71h"),'Quantification Tool R2'!$B$13&lt;=2)),IF(E152&lt;0,0,IF(E152&gt;=60,0.69,ROUND('Reference Standards'!$AO$171*E152^2+'Reference Standards'!$AO$172*E152+'Reference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December")),IF(E152&lt;0,0,IF(E152&gt;=67.5,0.69,ROUND('Reference Standards'!$AP$171*E152^2+'Reference Standards'!$AP$172*E152+'Reference Standards'!$AP$173,2))),IF(AND('Quantification Tool R2'!$B$12="69de",'Quantification Tool R2'!$B$19="January - June"), IF(E152&lt;0,0,IF(E152&gt;=72,0.69,ROUND('Reference Standards'!$AQ$171*E152^2+'Reference Standards'!$AQ$172*E152+'Reference Standards'!$AQ$173,2))))   )))))))))))</f>
        <v/>
      </c>
      <c r="G152" s="531"/>
      <c r="H152" s="568"/>
      <c r="I152" s="519"/>
      <c r="J152" s="559"/>
      <c r="K152" s="555"/>
      <c r="L152" s="21"/>
    </row>
    <row r="153" spans="1:12" ht="15.6" x14ac:dyDescent="0.3">
      <c r="A153" s="556"/>
      <c r="B153" s="562"/>
      <c r="C153" s="127" t="s">
        <v>336</v>
      </c>
      <c r="D153" s="71"/>
      <c r="E153" s="167"/>
      <c r="F153" s="346" t="str">
        <f>IF(E153="","",IF(OR('Quantification Tool R2'!$B$12="67fhi",'Quantification Tool R2'!$B$12="67g",'Quantification Tool R2'!$B$12="71e",'Quantification Tool R2'!$B$12="73a",'Quantification Tool R2'!$B$12="73b",AND(OR('Quantification Tool R2'!$B$12="71f",'Quantification Tool R2'!$B$12="71g",'Quantification Tool R2'!$B$12="71h"),'Quantification Tool R2'!$B$13&gt;2)),IF(E153&gt;100,0,IF(E153&lt;15,0.69,ROUND('Reference Standards'!$AL$208*E153^2+'Reference Standards'!$AL$209*E153+'Reference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),IF(E153&gt;100,0,IF(E153&lt;19,0.69,ROUND('Reference Standards'!$AM$208*E153^2+'Reference Standards'!$AM$209*E153+'Reference Standards'!$AM$210,2))),    IF(OR(AND('Quantification Tool R2'!$B$12="69de",'Quantification Tool R2'!$B$19="January - June"),AND('Quantification Tool R2'!$B$12="71i",'Quantification Tool R2'!$B$13&gt;2,'Quantification Tool R2'!$B$20="SQKICK" )),IF(E153&gt;100,0,IF(E153&lt;22,0.69,ROUND('Reference Standards'!$AN$208*E153^2+'Reference Standards'!$AN$209*E153+'Reference Standards'!$AN$210,2))),    IF(OR('Quantification Tool R2'!$B$12="65j",AND('Quantification Tool R2'!$B$12="68b",'Quantification Tool R2'!$B$13&gt;2)),IF(E153&gt;100,0,IF(E153&lt;24,0.69,ROUND('Reference Standards'!$AO$208*E153^2+'Reference Standards'!$AO$209*E153+'Reference Standards'!$AO$210,2))),    IF(AND(OR('Quantification Tool R2'!$B$12="65abei",'Quantification Tool R2'!$B$12="71f",'Quantification Tool R2'!$B$12="71g",'Quantification Tool R2'!$B$12="71h"),'Quantification Tool R2'!$B$13&lt;=2),IF(E153&gt;95,0,IF(E153&lt;33,0.69,ROUND('Reference Standards'!$AL$246*E153^2+'Reference Standards'!$AL$247*E153+'Reference Standards'!$AL$248,2))),   IF(AND(OR('Quantification Tool R2'!$B$12="65abei",'Quantification Tool R2'!$B$12="74b"),'Quantification Tool R2'!$B$13&gt;2),IF(E153&gt;97,0,IF(E153&lt;36,0.69,ROUND('Reference Standards'!$AM$246*E153^2+'Reference Standards'!$AM$247*E153+'Reference Standards'!$AM$248,2))),  IF(AND('Quantification Tool R2'!$B$12="74a",'Quantification Tool R2'!$B$19="January - June",'Quantification Tool R2'!$B$13&gt;2),IF(E153&gt;93,0,IF(E153&lt;52,0.69,ROUND('Reference Standards'!$AN$246*E153^2+'Reference Standards'!$AN$247*E153+'Reference Standards'!$AN$248,2))),   IF(AND('Quantification Tool R2'!$B$12="74b",'Quantification Tool R2'!$B$13&lt;=2),IF(E153&gt;97,0,IF(E153&lt;62,0.69,ROUND('Reference Standards'!$AO$246*E153^2+'Reference Standards'!$AO$247*E153+'Reference Standards'!$AO$248,2)))  )))))))))</f>
        <v/>
      </c>
      <c r="G153" s="531"/>
      <c r="H153" s="568"/>
      <c r="I153" s="519"/>
      <c r="J153" s="559"/>
      <c r="K153" s="555"/>
      <c r="L153" s="21"/>
    </row>
    <row r="154" spans="1:12" ht="15.6" x14ac:dyDescent="0.3">
      <c r="A154" s="556"/>
      <c r="B154" s="563" t="s">
        <v>74</v>
      </c>
      <c r="C154" s="125" t="s">
        <v>211</v>
      </c>
      <c r="D154" s="126"/>
      <c r="E154" s="166"/>
      <c r="F154" s="345" t="str">
        <f>IF(E154="","",IF(E154=1,0.15,IF(E154=3,0.5,IF(E154=5,0.85,0))))</f>
        <v/>
      </c>
      <c r="G154" s="564" t="str">
        <f>IFERROR(AVERAGE(F154:F155),"")</f>
        <v/>
      </c>
      <c r="H154" s="568"/>
      <c r="I154" s="519"/>
      <c r="J154" s="559"/>
      <c r="K154" s="555"/>
      <c r="L154" s="21"/>
    </row>
    <row r="155" spans="1:12" ht="15.6" x14ac:dyDescent="0.3">
      <c r="A155" s="551"/>
      <c r="B155" s="563"/>
      <c r="C155" s="127" t="s">
        <v>332</v>
      </c>
      <c r="D155" s="71"/>
      <c r="E155" s="167"/>
      <c r="F155" s="347" t="str">
        <f>IF(E155="","",IF(E155=1,0.15,IF(E155=3,0.5,IF(E155=5,0.85,0))))</f>
        <v/>
      </c>
      <c r="G155" s="565"/>
      <c r="H155" s="568"/>
      <c r="I155" s="519"/>
      <c r="J155" s="559"/>
      <c r="K155" s="555"/>
      <c r="L155" s="21"/>
    </row>
    <row r="156" spans="1:12" x14ac:dyDescent="0.3">
      <c r="L156" s="21"/>
    </row>
    <row r="157" spans="1:12" ht="21" x14ac:dyDescent="0.4">
      <c r="A157" s="148" t="s">
        <v>135</v>
      </c>
      <c r="B157" s="246"/>
      <c r="C157" s="249" t="s">
        <v>324</v>
      </c>
      <c r="D157" s="246"/>
      <c r="E157" s="247"/>
      <c r="F157" s="248"/>
      <c r="G157" s="544" t="s">
        <v>18</v>
      </c>
      <c r="H157" s="545"/>
      <c r="I157" s="545"/>
      <c r="J157" s="545"/>
      <c r="K157" s="546"/>
      <c r="L157" s="21"/>
    </row>
    <row r="158" spans="1:12" ht="15.6" x14ac:dyDescent="0.3">
      <c r="A158" s="158" t="s">
        <v>1</v>
      </c>
      <c r="B158" s="158" t="s">
        <v>2</v>
      </c>
      <c r="C158" s="542" t="s">
        <v>3</v>
      </c>
      <c r="D158" s="644"/>
      <c r="E158" s="158" t="s">
        <v>15</v>
      </c>
      <c r="F158" s="158" t="s">
        <v>16</v>
      </c>
      <c r="G158" s="158" t="s">
        <v>19</v>
      </c>
      <c r="H158" s="158" t="s">
        <v>20</v>
      </c>
      <c r="I158" s="314" t="s">
        <v>20</v>
      </c>
      <c r="J158" s="158" t="s">
        <v>21</v>
      </c>
      <c r="K158" s="315" t="s">
        <v>21</v>
      </c>
    </row>
    <row r="159" spans="1:12" ht="15.6" x14ac:dyDescent="0.3">
      <c r="A159" s="540" t="s">
        <v>60</v>
      </c>
      <c r="B159" s="308" t="s">
        <v>86</v>
      </c>
      <c r="C159" s="52" t="s">
        <v>388</v>
      </c>
      <c r="D159" s="52"/>
      <c r="E159" s="162"/>
      <c r="F159" s="338" t="str">
        <f>IF(E159="","",IF(E159&lt;=0,0,IF(E159&gt;=0.95,1,ROUND('Reference Standards'!C$14*E159+'Reference Standards'!C$15,2))))</f>
        <v/>
      </c>
      <c r="G159" s="83" t="str">
        <f>IFERROR(AVERAGE(F159),"")</f>
        <v/>
      </c>
      <c r="H159" s="522" t="str">
        <f>IFERROR(ROUND(AVERAGE(G159:G160),2),"")</f>
        <v/>
      </c>
      <c r="I159" s="519" t="str">
        <f>IF(H159="","",IF(H159&gt;0.69,"Functioning",IF(H159&gt;0.29,"Functioning At Risk",IF(H159&gt;-1,"Not Functioning"))))</f>
        <v/>
      </c>
      <c r="J159" s="559" t="str">
        <f>IF(AND(H159="",H161="",H163="",H185="",H189=""),"",ROUND((IF(H159="",0,H159)*0.2)+(IF(H161="",0,H161)*0.2)+(IF(H163="",0,H163)*0.2)+(IF(H185="",0,H185)*0.2)+(IF(H189="",0,H189)*0.2),2))</f>
        <v/>
      </c>
      <c r="K159" s="555" t="str">
        <f>IF(J159="","",IF(J159&lt;0.3, "Not Functioning",IF(OR(H159&lt;0.7,H161&lt;0.7,H163&lt;0.7,H185&lt;0.7,H189&lt;0.7),"Functioning At Risk",IF(J159&lt;0.7,"Functioning At Risk","Functioning"))))</f>
        <v/>
      </c>
    </row>
    <row r="160" spans="1:12" ht="15.6" x14ac:dyDescent="0.3">
      <c r="A160" s="541"/>
      <c r="B160" s="371" t="s">
        <v>128</v>
      </c>
      <c r="C160" s="373" t="s">
        <v>161</v>
      </c>
      <c r="D160" s="374"/>
      <c r="E160" s="43"/>
      <c r="F160" s="372" t="str">
        <f>IF(E160="","",IF(E160&gt;=1,1,IF(E160&lt;=0,0,ROUND(E160,2))))</f>
        <v/>
      </c>
      <c r="G160" s="367" t="str">
        <f>IFERROR(AVERAGE(F160:F160),"")</f>
        <v/>
      </c>
      <c r="H160" s="523"/>
      <c r="I160" s="519"/>
      <c r="J160" s="559"/>
      <c r="K160" s="555"/>
    </row>
    <row r="161" spans="1:11" ht="15.6" x14ac:dyDescent="0.3">
      <c r="A161" s="524" t="s">
        <v>6</v>
      </c>
      <c r="B161" s="572" t="s">
        <v>7</v>
      </c>
      <c r="C161" s="54" t="s">
        <v>8</v>
      </c>
      <c r="D161" s="54"/>
      <c r="E161" s="162"/>
      <c r="F161" s="339" t="str">
        <f>IF(E161="","",ROUND(IF(E161&gt;1.6,0,IF(E161&lt;=1,1,E161^2*'Reference Standards'!K$14+E161*'Reference Standards'!K$15+'Reference Standards'!K$16)),2))</f>
        <v/>
      </c>
      <c r="G161" s="579" t="str">
        <f>IFERROR(AVERAGE(F161:F162),"")</f>
        <v/>
      </c>
      <c r="H161" s="579" t="str">
        <f>IFERROR(ROUND(AVERAGE(G161),2),"")</f>
        <v/>
      </c>
      <c r="I161" s="569" t="str">
        <f>IF(H161="","",IF(H161&gt;0.69,"Functioning",IF(H161&gt;0.29,"Functioning At Risk",IF(H161&gt;-1,"Not Functioning"))))</f>
        <v/>
      </c>
      <c r="J161" s="559"/>
      <c r="K161" s="555"/>
    </row>
    <row r="162" spans="1:11" ht="15.6" x14ac:dyDescent="0.3">
      <c r="A162" s="525"/>
      <c r="B162" s="572"/>
      <c r="C162" s="54" t="s">
        <v>9</v>
      </c>
      <c r="D162" s="54"/>
      <c r="E162" s="163"/>
      <c r="F162" s="339" t="str">
        <f>IF(E162="","",(IF(OR('Quantification Tool R2'!B$11="A",'Quantification Tool R2'!B$11="B",'Quantification Tool R2'!$B$11="Bc"),IF(E162&lt;1.2,0,IF(E162&gt;=2.2,1,ROUND(IF(E162&lt;1.4,E162*'Reference Standards'!$K$84+'Reference Standards'!$K$85,E162*'Reference Standards'!$L$84+'Reference Standards'!$L$85),2))),IF(OR('Quantification Tool R2'!B$11="C",'Quantification Tool R2'!B$11="E"),IF(E162&lt;2,0,IF(E162&gt;=5,1,ROUND(IF(E162&lt;2.4,E162*'Reference Standards'!$L$49+'Reference Standards'!$L$50,E162*'Reference Standards'!$K$49+'Reference Standards'!$K$50),2)))))))</f>
        <v/>
      </c>
      <c r="G162" s="581"/>
      <c r="H162" s="580"/>
      <c r="I162" s="570"/>
      <c r="J162" s="559"/>
      <c r="K162" s="555"/>
    </row>
    <row r="163" spans="1:11" ht="15.6" x14ac:dyDescent="0.3">
      <c r="A163" s="526" t="s">
        <v>26</v>
      </c>
      <c r="B163" s="557" t="s">
        <v>27</v>
      </c>
      <c r="C163" s="60" t="s">
        <v>333</v>
      </c>
      <c r="D163" s="244"/>
      <c r="E163" s="61"/>
      <c r="F163" s="340" t="str">
        <f>IF(E163="","",IF(OR(LEFT('Quantification Tool R2'!$B$12,2)="65",LEFT('Quantification Tool R2'!$B$12,2)="66",LEFT('Quantification Tool R2'!$B$12,2)="71"),IF(E163&gt;=850,1,IF(E163&lt;250,ROUND('Reference Standards'!$S$17*(E163)+'Reference Standards'!$S$18,2),ROUND('Reference Standards'!$T$17*E163+'Reference Standards'!$T$18,2))),  IF(E163&gt;=345,1,IF(E163&lt;=180,ROUND('Reference Standards'!$U$17*(E163)+'Reference Standards'!$U$18,2),ROUND('Reference Standards'!$V$17*E163+'Reference Standards'!$V$18,2))))    )</f>
        <v/>
      </c>
      <c r="G163" s="528" t="str">
        <f>IFERROR(AVERAGE(F163:F164),"")</f>
        <v/>
      </c>
      <c r="H163" s="566" t="str">
        <f>IFERROR(ROUND(AVERAGE(G163:G184),2),"")</f>
        <v/>
      </c>
      <c r="I163" s="555" t="str">
        <f>IF(H163="","",IF(H163&gt;0.69,"Functioning",IF(H163&gt;0.29,"Functioning At Risk",IF(H163&gt;-1,"Not Functioning"))))</f>
        <v/>
      </c>
      <c r="J163" s="559"/>
      <c r="K163" s="555"/>
    </row>
    <row r="164" spans="1:11" ht="15.6" x14ac:dyDescent="0.3">
      <c r="A164" s="520"/>
      <c r="B164" s="558"/>
      <c r="C164" s="63" t="s">
        <v>323</v>
      </c>
      <c r="D164" s="245"/>
      <c r="E164" s="53"/>
      <c r="F164" s="341" t="str">
        <f>IF(E164="","",IF(OR(LEFT('Quantification Tool R2'!$B$12,2)="65",LEFT('Quantification Tool R2'!$B$12,2)="66",LEFT('Quantification Tool R2'!$B$12,2)="71"),IF(E164&gt;=30,1,IF(E164&lt;13,ROUND('Reference Standards'!$S$53*(E164)+'Reference Standards'!$S$54,2),ROUND('Reference Standards'!$T$53*E164+'Reference Standards'!$T$54,2))),  IF(E164&gt;=16,1,IF(E164&lt;=9,ROUND('Reference Standards'!$U$53*(E164)+'Reference Standards'!$U$54,2),ROUND('Reference Standards'!$V$53*E164+'Reference Standards'!$V$54,2))))    )</f>
        <v/>
      </c>
      <c r="G164" s="530"/>
      <c r="H164" s="566"/>
      <c r="I164" s="555"/>
      <c r="J164" s="559"/>
      <c r="K164" s="555"/>
    </row>
    <row r="165" spans="1:11" ht="15.6" x14ac:dyDescent="0.3">
      <c r="A165" s="520"/>
      <c r="B165" s="520" t="s">
        <v>395</v>
      </c>
      <c r="C165" s="58" t="s">
        <v>80</v>
      </c>
      <c r="D165" s="58"/>
      <c r="E165" s="165"/>
      <c r="F165" s="340" t="str">
        <f>IF(E165="","",ROUND(IF(E165&gt;0.7,0,IF(E165&lt;=0.1,1,E165^3*'Reference Standards'!S$87+E165^2*'Reference Standards'!S$88+E165*'Reference Standards'!S$89+'Reference Standards'!S$90)),2))</f>
        <v/>
      </c>
      <c r="G165" s="528" t="str">
        <f>IFERROR(ROUND(AVERAGE(F165:F168),2),"")</f>
        <v/>
      </c>
      <c r="H165" s="567"/>
      <c r="I165" s="555"/>
      <c r="J165" s="559"/>
      <c r="K165" s="555"/>
    </row>
    <row r="166" spans="1:11" ht="15.6" x14ac:dyDescent="0.3">
      <c r="A166" s="520"/>
      <c r="B166" s="520"/>
      <c r="C166" s="58" t="s">
        <v>49</v>
      </c>
      <c r="D166" s="58"/>
      <c r="E166" s="165"/>
      <c r="F166" s="84"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529"/>
      <c r="H166" s="567"/>
      <c r="I166" s="555"/>
      <c r="J166" s="559"/>
      <c r="K166" s="555"/>
    </row>
    <row r="167" spans="1:11" ht="15.6" x14ac:dyDescent="0.3">
      <c r="A167" s="520"/>
      <c r="B167" s="520"/>
      <c r="C167" s="58" t="s">
        <v>87</v>
      </c>
      <c r="D167" s="58"/>
      <c r="E167" s="165"/>
      <c r="F167" s="84" t="str">
        <f>IF(E167="","",ROUND(IF(E167&gt;40,0,IF(E167&lt;5,1,E167^3*'Reference Standards'!S$122+E167^2*'Reference Standards'!S$123+E167*'Reference Standards'!S$124+'Reference Standards'!S$125)),2))</f>
        <v/>
      </c>
      <c r="G167" s="529"/>
      <c r="H167" s="567"/>
      <c r="I167" s="555"/>
      <c r="J167" s="559"/>
      <c r="K167" s="555"/>
    </row>
    <row r="168" spans="1:11" ht="15.6" x14ac:dyDescent="0.3">
      <c r="A168" s="520"/>
      <c r="B168" s="521"/>
      <c r="C168" s="59" t="s">
        <v>394</v>
      </c>
      <c r="D168" s="59"/>
      <c r="E168" s="167"/>
      <c r="F168" s="341" t="str">
        <f>IF(E168="","",ROUND(IF(E168&gt;=30,0,IF(E168&lt;=0,1,E168*'Reference Standards'!S$156+'Reference Standards'!S$157)),2))</f>
        <v/>
      </c>
      <c r="G168" s="530"/>
      <c r="H168" s="567"/>
      <c r="I168" s="555"/>
      <c r="J168" s="559"/>
      <c r="K168" s="555"/>
    </row>
    <row r="169" spans="1:11" ht="15.6" x14ac:dyDescent="0.3">
      <c r="A169" s="520"/>
      <c r="B169" s="520" t="s">
        <v>50</v>
      </c>
      <c r="C169" s="60" t="s">
        <v>377</v>
      </c>
      <c r="D169" s="64"/>
      <c r="E169" s="136"/>
      <c r="F169" s="294" t="str">
        <f>IF(E169="","",ROUND(IF(E169&gt;9.2,1,E169*'Reference Standards'!$S$189+'Reference Standards'!$S$190),2))</f>
        <v/>
      </c>
      <c r="G169" s="552" t="str">
        <f>IFERROR(ROUND(AVERAGE(F169:F178),2),"")</f>
        <v/>
      </c>
      <c r="H169" s="567"/>
      <c r="I169" s="555"/>
      <c r="J169" s="559"/>
      <c r="K169" s="555"/>
    </row>
    <row r="170" spans="1:11" ht="15.6" x14ac:dyDescent="0.3">
      <c r="A170" s="520"/>
      <c r="B170" s="520"/>
      <c r="C170" s="62" t="s">
        <v>378</v>
      </c>
      <c r="D170" s="58"/>
      <c r="E170" s="162"/>
      <c r="F170" s="294" t="str">
        <f>IF(E170="","",ROUND(IF(E170&gt;9.2,1,E170*'Reference Standards'!$S$189+'Reference Standards'!$S$190),2))</f>
        <v/>
      </c>
      <c r="G170" s="553"/>
      <c r="H170" s="567"/>
      <c r="I170" s="555"/>
      <c r="J170" s="559"/>
      <c r="K170" s="555"/>
    </row>
    <row r="171" spans="1:11" ht="15.6" x14ac:dyDescent="0.3">
      <c r="A171" s="520"/>
      <c r="B171" s="520"/>
      <c r="C171" s="62" t="s">
        <v>379</v>
      </c>
      <c r="D171" s="58"/>
      <c r="E171" s="162"/>
      <c r="F171" s="294" t="str">
        <f>IF(E171="","",ROUND( IF(E171&gt;=200,1,IF(E171&lt;50, E171^2*'Reference Standards'!S$224+E171*'Reference Standards'!S$225+'Reference Standards'!S$226, E171*'Reference Standards'!T$224+'Reference Standards'!T$225)),2))</f>
        <v/>
      </c>
      <c r="G171" s="553"/>
      <c r="H171" s="567"/>
      <c r="I171" s="555"/>
      <c r="J171" s="559"/>
      <c r="K171" s="555"/>
    </row>
    <row r="172" spans="1:11" ht="15.6" x14ac:dyDescent="0.3">
      <c r="A172" s="520"/>
      <c r="B172" s="520"/>
      <c r="C172" s="62" t="s">
        <v>380</v>
      </c>
      <c r="D172" s="58"/>
      <c r="E172" s="162"/>
      <c r="F172" s="294" t="str">
        <f>IF(E172="","",ROUND( IF(E172&gt;=200,1,IF(E172&lt;50, E172^2*'Reference Standards'!S$224+E172*'Reference Standards'!S$225+'Reference Standards'!S$226, E172*'Reference Standards'!T$224+'Reference Standards'!T$225)),2))</f>
        <v/>
      </c>
      <c r="G172" s="553"/>
      <c r="H172" s="567"/>
      <c r="I172" s="555"/>
      <c r="J172" s="559"/>
      <c r="K172" s="555"/>
    </row>
    <row r="173" spans="1:11" ht="15.6" x14ac:dyDescent="0.3">
      <c r="A173" s="520"/>
      <c r="B173" s="520"/>
      <c r="C173" s="58" t="s">
        <v>381</v>
      </c>
      <c r="D173" s="58"/>
      <c r="E173" s="162"/>
      <c r="F173" s="294" t="str">
        <f>IF(E173="","",ROUND(IF(AND(E173&gt;=135,E173&lt;=262),1,IF(  E173&gt;=366,0.5, IF(E173&lt;135,E173*'Reference Standards'!S$259+'Reference Standards'!S$260, E173*'Reference Standards'!T$259+'Reference Standards'!T$260))),2))</f>
        <v/>
      </c>
      <c r="G173" s="553"/>
      <c r="H173" s="567"/>
      <c r="I173" s="555"/>
      <c r="J173" s="559"/>
      <c r="K173" s="555"/>
    </row>
    <row r="174" spans="1:11" ht="15.6" x14ac:dyDescent="0.3">
      <c r="A174" s="520"/>
      <c r="B174" s="520"/>
      <c r="C174" s="58" t="s">
        <v>382</v>
      </c>
      <c r="D174" s="58"/>
      <c r="E174" s="162"/>
      <c r="F174" s="294" t="str">
        <f>IF(E174="","",ROUND(IF(AND(E174&gt;=135,E174&lt;=262),1,IF(  E174&gt;=366,0.5, IF(E174&lt;135,E174*'Reference Standards'!S$259+'Reference Standards'!S$260, E174*'Reference Standards'!T$259+'Reference Standards'!T$260))),2))</f>
        <v/>
      </c>
      <c r="G174" s="553"/>
      <c r="H174" s="567"/>
      <c r="I174" s="555"/>
      <c r="J174" s="559"/>
      <c r="K174" s="555"/>
    </row>
    <row r="175" spans="1:11" ht="15.6" x14ac:dyDescent="0.3">
      <c r="A175" s="520"/>
      <c r="B175" s="520"/>
      <c r="C175" s="58" t="s">
        <v>383</v>
      </c>
      <c r="D175" s="58"/>
      <c r="E175" s="162"/>
      <c r="F175" s="84" t="str">
        <f>IF(E175="","",ROUND(IF(E175&gt;=75,1,IF(E175&lt;=0,0,E175*'Reference Standards'!S$330)),2))</f>
        <v/>
      </c>
      <c r="G175" s="553"/>
      <c r="H175" s="567"/>
      <c r="I175" s="555"/>
      <c r="J175" s="559"/>
      <c r="K175" s="555"/>
    </row>
    <row r="176" spans="1:11" ht="15.6" x14ac:dyDescent="0.3">
      <c r="A176" s="520"/>
      <c r="B176" s="520"/>
      <c r="C176" s="58" t="s">
        <v>384</v>
      </c>
      <c r="D176" s="58"/>
      <c r="E176" s="162"/>
      <c r="F176" s="84" t="str">
        <f>IF(E176="","",ROUND(IF(E176&gt;=75,1,IF(E176&lt;=0,0,E176*'Reference Standards'!S$330)),2))</f>
        <v/>
      </c>
      <c r="G176" s="553"/>
      <c r="H176" s="567"/>
      <c r="I176" s="555"/>
      <c r="J176" s="559"/>
      <c r="K176" s="555"/>
    </row>
    <row r="177" spans="1:13" ht="15.6" x14ac:dyDescent="0.3">
      <c r="A177" s="520"/>
      <c r="B177" s="520"/>
      <c r="C177" s="58" t="s">
        <v>385</v>
      </c>
      <c r="D177" s="58"/>
      <c r="E177" s="162"/>
      <c r="F177" s="294" t="str">
        <f>IF(E177="","",ROUND(IF(AND(E177&gt;=36.3,E177&lt;=68),1,IF(E177&gt;100,0,IF(E177&lt;36.3,(('Reference Standards'!S$297*(E177^2))+('Reference Standards'!S$298*E177)+'Reference Standards'!S$299),IF(E177&gt;68,(('Reference Standards'!T$297*(E177^2))+('Reference Standards'!T$298*E177)+'Reference Standards'!T$299))))),2))</f>
        <v/>
      </c>
      <c r="G177" s="553"/>
      <c r="H177" s="567"/>
      <c r="I177" s="555"/>
      <c r="J177" s="559"/>
      <c r="K177" s="555"/>
      <c r="M177" s="21"/>
    </row>
    <row r="178" spans="1:13" ht="15.6" x14ac:dyDescent="0.3">
      <c r="A178" s="520"/>
      <c r="B178" s="521"/>
      <c r="C178" s="58" t="s">
        <v>386</v>
      </c>
      <c r="D178" s="65"/>
      <c r="E178" s="162"/>
      <c r="F178" s="294" t="str">
        <f>IF(E178="","",ROUND(IF(AND(E178&gt;=36.3,E178&lt;=68),1,IF(E178&gt;100,0,IF(E178&lt;36.3,(('Reference Standards'!S$297*(E178^2))+('Reference Standards'!S$298*E178)+'Reference Standards'!S$299),IF(E178&gt;68,(('Reference Standards'!T$297*(E178^2))+('Reference Standards'!T$298*E178)+'Reference Standards'!T$299))))),2))</f>
        <v/>
      </c>
      <c r="G178" s="554"/>
      <c r="H178" s="567"/>
      <c r="I178" s="555"/>
      <c r="J178" s="559"/>
      <c r="K178" s="555"/>
    </row>
    <row r="179" spans="1:13" ht="15.6" x14ac:dyDescent="0.3">
      <c r="A179" s="520"/>
      <c r="B179" s="56" t="s">
        <v>108</v>
      </c>
      <c r="C179" s="72" t="s">
        <v>130</v>
      </c>
      <c r="D179" s="58"/>
      <c r="E179" s="43"/>
      <c r="F179" s="82" t="str">
        <f>IF(E179="","",IF(OR('Quantification Tool R2'!B$14="Gravel",'Quantification Tool R2'!B$14="Cobble"),IF(E179&gt;0.1,1,IF(E179&lt;=0.01,0,ROUND(E179*'Reference Standards'!$S$362+'Reference Standards'!$S$363,2)))))</f>
        <v/>
      </c>
      <c r="G179" s="82" t="str">
        <f>IFERROR(AVERAGE(F179),"")</f>
        <v/>
      </c>
      <c r="H179" s="567"/>
      <c r="I179" s="555"/>
      <c r="J179" s="559"/>
      <c r="K179" s="555"/>
    </row>
    <row r="180" spans="1:13" ht="15.6" x14ac:dyDescent="0.3">
      <c r="A180" s="520"/>
      <c r="B180" s="526" t="s">
        <v>51</v>
      </c>
      <c r="C180" s="64" t="s">
        <v>52</v>
      </c>
      <c r="D180" s="64"/>
      <c r="E180" s="166"/>
      <c r="F180" s="337" t="str">
        <f>IF(E180="","",IF(ISNUMBER('Quantification Tool R2'!$B$17),IF('Quantification Tool R2'!$B$17&lt;=2,IF(AND(E180&gt;=3,E180&lt;=5),1,IF(OR(E180&lt;=1,E180&gt;=7),0,ROUND(IF(E180&lt;3,E180*'Reference Standards'!S$398+'Reference Standards'!S$399,E180*'Reference Standards'!T$398+'Reference Standards'!T$399),2))),IF(E180&lt;=2.5,1,IF(E180&gt;=5.8,0,ROUND(E180*'Reference Standards'!S$430+'Reference Standards'!S$431,2))))))</f>
        <v/>
      </c>
      <c r="G180" s="528" t="str">
        <f>IFERROR(AVERAGE(F180:F183),"")</f>
        <v/>
      </c>
      <c r="H180" s="567"/>
      <c r="I180" s="555"/>
      <c r="J180" s="559"/>
      <c r="K180" s="555"/>
    </row>
    <row r="181" spans="1:13" ht="15.6" x14ac:dyDescent="0.3">
      <c r="A181" s="520"/>
      <c r="B181" s="520"/>
      <c r="C181" s="58" t="s">
        <v>53</v>
      </c>
      <c r="D181" s="58"/>
      <c r="E181" s="165"/>
      <c r="F181" s="84" t="str">
        <f>IF(E181="","", IF( E181&gt;=2.4,1, IF(E181&lt;=1,0,  ROUND(IF(E181&lt;2.4, E181*'Reference Standards'!$S$464+'Reference Standards'!$S$465  ),2))))</f>
        <v/>
      </c>
      <c r="G181" s="529"/>
      <c r="H181" s="567"/>
      <c r="I181" s="555"/>
      <c r="J181" s="559"/>
      <c r="K181" s="555"/>
    </row>
    <row r="182" spans="1:13" ht="15.6" x14ac:dyDescent="0.3">
      <c r="A182" s="520"/>
      <c r="B182" s="520"/>
      <c r="C182" s="58" t="s">
        <v>334</v>
      </c>
      <c r="D182" s="58"/>
      <c r="E182" s="165"/>
      <c r="F182" s="390" t="str">
        <f>IF(E182="","", IF(LEFT('Quantification Tool R2'!$B$12,2)="67",  IF( AND(E182&gt;=45,E182&lt;=65),1, IF(OR(E182&lt;=20,E182&gt;=90),0, ROUND(  IF(E182&lt;45, E182*'Reference Standards'!$S$498+'Reference Standards'!$S$499,E182*'Reference Standards'!$T$498+'Reference Standards'!$T$499),2))), IF(OR(  LEFT('Quantification Tool R2'!$B$12,2)="68", LEFT('Quantification Tool R2'!$B$12,2)="69",LEFT('Quantification Tool R2'!$B$12,2)="71"),  IF( AND(E182&gt;=30,E182&lt;=50),1, IF(OR(E182&lt;=10,E182&gt;=70),0, ROUND(  IF(E182&lt;30, E182*'Reference Standards'!$S$533+'Reference Standards'!$S$534,E182*'Reference Standards'!$T$533+'Reference Standards'!$T$534),2))), IF(LEFT('Quantification Tool R2'!$B$12,2)="66",  IF( AND(E182&gt;=20,E182&lt;=45),1, IF(OR(E182&lt;=0,E182&gt;=90),0, ROUND(  IF(E182&lt;20, E182*'Reference Standards'!$S$567+'Reference Standards'!$S$568,E182*'Reference Standards'!$T$567+'Reference Standards'!$T$568),2))), IF(OR(  LEFT('Quantification Tool R2'!$B$12,2)="65", LEFT('Quantification Tool R2'!$B$12,2)="74", LEFT('Quantification Tool R2'!$B$12,2)="73"),  IF( AND(E182&gt;=20,E182&lt;=30),1, IF(OR(E182&lt;=0,E182&gt;=50),0, ROUND(  IF(E182&lt;20, E182*'Reference Standards'!$S$601+'Reference Standards'!$S$602,E182*'Reference Standards'!$T$601+'Reference Standards'!$T$602),2))))))))</f>
        <v/>
      </c>
      <c r="G182" s="529"/>
      <c r="H182" s="567"/>
      <c r="I182" s="555"/>
      <c r="J182" s="559"/>
      <c r="K182" s="555"/>
    </row>
    <row r="183" spans="1:13" ht="15.6" x14ac:dyDescent="0.3">
      <c r="A183" s="520"/>
      <c r="B183" s="521"/>
      <c r="C183" s="62" t="s">
        <v>210</v>
      </c>
      <c r="D183" s="58"/>
      <c r="E183" s="167"/>
      <c r="F183" s="391" t="str">
        <f>IF(E183="","",IF(E183&gt;=1.6,0,IF(E183&lt;=1,1,ROUND('Reference Standards'!$S$633*E183^3+'Reference Standards'!$S$634*E183^2+'Reference Standards'!$S$635*E183+'Reference Standards'!$S$636,2))))</f>
        <v/>
      </c>
      <c r="G183" s="530"/>
      <c r="H183" s="567"/>
      <c r="I183" s="555"/>
      <c r="J183" s="559"/>
      <c r="K183" s="555"/>
      <c r="L183" s="13"/>
    </row>
    <row r="184" spans="1:13" ht="15.6" x14ac:dyDescent="0.3">
      <c r="A184" s="521"/>
      <c r="B184" s="309" t="s">
        <v>55</v>
      </c>
      <c r="C184" s="242" t="s">
        <v>54</v>
      </c>
      <c r="D184" s="243"/>
      <c r="E184" s="163"/>
      <c r="F184" s="342" t="str">
        <f>IF(E184="","",IF(AND('Quantification Tool R2'!B$11="E",'Quantification Tool R2'!$B$14="Sand",'Quantification Tool R2'!$B$21="Unconfined Alluvial"),ROUND(IF(OR(E184&gt;1.8,E184&lt;1.3),0,IF(E184&lt;=1.6,1,E184*'Reference Standards'!S$667+'Reference Standards'!S$668)),2),    IF('Quantification Tool R2'!$B$21="Unconfined Alluvial",ROUND(IF(OR(E184&lt;1.2, E184&gt;1.5),0,IF(E184&lt;=1.4,1,E184*'Reference Standards'!$S$700+'Reference Standards'!$S$701)),2), IF('Quantification Tool R2'!$B$21="Confined Alluvial",ROUND(IF(E184&lt;1.15,0,IF(E184&lt;=1.4,E184*'Reference Standards'!$S$729+'Reference Standards'!$S$730,1)),2),  IF('Quantification Tool R2'!$B$21="Colluvial",ROUND(IF(E184&gt;1.3,0,IF(E184&gt;1.2,E184*'Reference Standards'!$S$760+'Reference Standards'!$S$761,1)),2) )))))</f>
        <v/>
      </c>
      <c r="G184" s="84" t="str">
        <f>IFERROR(AVERAGE(F184),"")</f>
        <v/>
      </c>
      <c r="H184" s="567"/>
      <c r="I184" s="555"/>
      <c r="J184" s="559"/>
      <c r="K184" s="555"/>
      <c r="L184" s="13"/>
    </row>
    <row r="185" spans="1:13" ht="15.6" x14ac:dyDescent="0.3">
      <c r="A185" s="537" t="s">
        <v>58</v>
      </c>
      <c r="B185" s="67" t="s">
        <v>88</v>
      </c>
      <c r="C185" s="70" t="s">
        <v>338</v>
      </c>
      <c r="D185" s="70"/>
      <c r="E185" s="43"/>
      <c r="F185" s="343" t="str">
        <f>IF(E185="","",ROUND(IF(E185&gt;=942,0,IF(E185&lt;=487,E185*'Reference Standards'!AB$15+'Reference Standards'!AB$16,E185*'Reference Standards'!$AC$15+'Reference Standards'!$AC$16)),2))</f>
        <v/>
      </c>
      <c r="G185" s="85" t="str">
        <f>IFERROR(AVERAGE(F185),"")</f>
        <v/>
      </c>
      <c r="H185" s="547" t="str">
        <f>IFERROR(ROUND(AVERAGE(G185:G188),2),"")</f>
        <v/>
      </c>
      <c r="I185" s="534" t="str">
        <f>IF(H185="","",IF(H185&gt;0.69,"Functioning",IF(H185&gt;0.29,"Functioning At Risk",IF(H185&gt;-1,"Not Functioning"))))</f>
        <v/>
      </c>
      <c r="J185" s="559"/>
      <c r="K185" s="555"/>
      <c r="L185" s="21"/>
    </row>
    <row r="186" spans="1:13" ht="15.6" x14ac:dyDescent="0.3">
      <c r="A186" s="538"/>
      <c r="B186" s="306" t="s">
        <v>362</v>
      </c>
      <c r="C186" s="66" t="s">
        <v>354</v>
      </c>
      <c r="D186" s="66"/>
      <c r="E186" s="163"/>
      <c r="F186" s="344" t="str">
        <f>IF(E186="","",IF(OR('Quantification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June")),IF(E186&gt;93,0,IF(E186&lt;13,1,ROUND('Reference Standards'!$AB$53*E186^2+'Reference Standards'!$AB$54*E186+'Reference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R2'!$B$12="73b"),IF(E186&gt;94,0,IF(E186&lt;17,1,ROUND('Reference Standards'!$AC$53*E186^2+'Reference Standards'!$AC$54*E186+'Reference Standards'!$AC$55,2))),    IF(OR(AND(OR('Quantification Tool R2'!$B$12="68b",'Quantification Tool R2'!$B$12="71i"),'Quantification Tool R2'!$B$13&gt;2), 'Quantification Tool R2'!$B$12="71e"),IF(E186&gt;91,0,IF(E186&lt;24,1,ROUND('Reference Standards'!$AD$53*E186^2+'Reference Standards'!$AD$54*E186+'Reference Standards'!$AD$55,2))),  IF(OR(AND(OR('Quantification Tool R2'!$B$12="71f",'Quantification Tool R2'!$B$12="71g",'Quantification Tool R2'!$B$12="71h",'Quantification Tool R2'!$B$12="71i"),'Quantification Tool R2'!$B$13&lt;=2), AND('Quantification Tool R2'!$B$12="74a",'Quantification Tool R2'!$B$13&gt;2)),IF(E186&gt;95,0,IF(E186&lt;=36,1,ROUND('Reference Standards'!$AE$53*E186^2+'Reference Standards'!$AE$54*E186+'Reference Standards'!$AE$55,2))))))))</f>
        <v/>
      </c>
      <c r="G186" s="236" t="str">
        <f>IFERROR(AVERAGE(F186:F186),"")</f>
        <v/>
      </c>
      <c r="H186" s="548"/>
      <c r="I186" s="535"/>
      <c r="J186" s="559"/>
      <c r="K186" s="555"/>
      <c r="L186" s="21"/>
    </row>
    <row r="187" spans="1:13" ht="15.6" x14ac:dyDescent="0.3">
      <c r="A187" s="538"/>
      <c r="B187" s="67" t="s">
        <v>81</v>
      </c>
      <c r="C187" s="68" t="s">
        <v>281</v>
      </c>
      <c r="D187" s="68"/>
      <c r="E187" s="162"/>
      <c r="F187" s="344" t="str">
        <f>IF(E187="","",IF(ISNUMBER('Quantification Tool R2'!$B$13),IF(OR('Quantification Tool R2'!$B$12="66e",'Quantification Tool R2'!$B$12="66f",'Quantification Tool R2'!$B$12="66g"),ROUND(IF(E187&gt;=0.61,0,IF(E187&lt;=0.01,1,IF(E187&lt;=0.06,E187*'Reference Standards'!$AD$197+'Reference Standards'!$AD$198,E187^2*'Reference Standards'!$AB$196+E187*'Reference Standards'!$AB$197+'Reference Standards'!$AB$198))),2),IF('Quantification Tool R2'!$B$12="68b",ROUND(IF(E187&gt;=1.1,0,IF(E187&lt;=0.17,1,IF(E187&lt;=0.22,E187*'Reference Standards'!$AE$197+'Reference Standards'!$AE$198,E187^2*'Reference Standards'!$AC$196+E187*'Reference Standards'!$AC$197+'Reference Standards'!$AC$198))),2),IF('Quantification Tool R2'!$B$13&lt;=2.5,IF('Quantification Tool R2'!$B$12="69de",ROUND(IF(E187&gt;=0.22,0,IF(E187&lt;=0.01,1,E187^2*'Reference Standards'!$AB$90+E187*'Reference Standards'!$AB$91+'Reference Standards'!$AB$92)),2),IF('Quantification Tool R2'!$B$12="68c",ROUND(IF(E187&gt;=0.87,0,IF(E187&lt;=0.01,1,E187^2*'Reference Standards'!$AC$90+E187*'Reference Standards'!$AC$91+'Reference Standards'!$AC$92)),2),IF('Quantification Tool R2'!$B$12="68a",ROUND(IF(E187&gt;=0.81,0,IF(E187&lt;=0.01,1,E187^2*'Reference Standards'!$AD$90+E187*'Reference Standards'!$AD$91+'Reference Standards'!$AD$92)),2),IF('Quantification Tool R2'!$B$12="65abei",ROUND(IF(E187&gt;=0.67,0,IF(E187&lt;=0.01,1,IF(E187&lt;=0.18,E187*'Reference Standards'!$AG$91+'Reference Standards'!$AG$92,E187*'Reference Standards'!$AE$91+'Reference Standards'!$AE$92))),2),IF('Quantification Tool R2'!$B$12="65j",ROUND(IF(E187&gt;=0.32,0,IF(E187&lt;=0.01,1,IF(E187&lt;=0.25,E187*'Reference Standards'!$AH$91+'Reference Standards'!$AH$92,E187*'Reference Standards'!$AF$91+'Reference Standards'!$AF$92))),2),IF('Quantification Tool R2'!$B$12="71f",ROUND(IF(E187&gt;=3,0,IF(E187&lt;=0,1,IF(E187&lt;=0.01,0.7,E187^2*'Reference Standards'!$AB$126+E187*'Reference Standards'!$AB$127+'Reference Standards'!$AB$128))),2),IF('Quantification Tool R2'!$B$12="74a",ROUND(IF(E187&gt;=0.14,0,IF(E187&lt;=0.01,1,IF(E187&lt;=0.02,0.7,E187^2*'Reference Standards'!$AC$126+E187*'Reference Standards'!$AC$127+'Reference Standards'!$AC$128))),2),IF(OR('Quantification Tool R2'!$B$12="67fhi",'Quantification Tool R2'!$B$12="67g"),ROUND(IF(E187&gt;=1.9,0,IF(E187&lt;=0.01,1,IF(E187&lt;=0.05,E187*'Reference Standards'!$AF$127+'Reference Standards'!$AF$128,E187^2*'Reference Standards'!$AD$126+E187*'Reference Standards'!$AD$127+'Reference Standards'!$AD$128))),2),IF('Quantification Tool R2'!$B$12="73a",ROUND(IF(E187&gt;=1.44,0,IF(E187&lt;=0.01,1,IF(E187&lt;=0.12,E187*'Reference Standards'!$AG$127+'Reference Standards'!$AG$128,E187^2*'Reference Standards'!$AE$126+E187*'Reference Standards'!$AE$127+'Reference Standards'!$AE$128))),2),IF('Quantification Tool R2'!$B$12="66d",ROUND(IF(E187&gt;=0.46,0,IF(E187&lt;=0.02,1,IF(E187&lt;=0.08,E187*'Reference Standards'!$AF$163+'Reference Standards'!$AF$164,E187^2*'Reference Standards'!$AB$162+E187*'Reference Standards'!$AB$163+'Reference Standards'!$AB$164))),2),IF(OR('Quantification Tool R2'!$B$12="71g",'Quantification Tool R2'!$B$12="71h",'Quantification Tool R2'!$B$12="71i"),ROUND(IF(E187&gt;=3,0,IF(E187&lt;=0.06,1,IF(E187&lt;=0.24,E187*'Reference Standards'!$AG$163+'Reference Standards'!$AG$164,E187^2*'Reference Standards'!$AC$162+E187*'Reference Standards'!$AC$163+'Reference Standards'!$AC$164))),2),IF('Quantification Tool R2'!$B$12="74b",ROUND(IF(E187&gt;=1.3,0,IF(E187&lt;=0.29,1,IF(E187&lt;=0.48,E187*'Reference Standards'!$AH$163+'Reference Standards'!$AH$164,E187^2*'Reference Standards'!$AD$162+E187*'Reference Standards'!$AD$163+'Reference Standards'!$AD$164))),2),IF('Quantification Tool R2'!$B$12="71e",ROUND(IF(E187&gt;=4.3,0,IF(E187&lt;=0.53,1,IF(E187&lt;=0.67,E187*'Reference Standards'!$AI$163+'Reference Standards'!$AI$164,E187^2*'Reference Standards'!$AE$162+E187*'Reference Standards'!$AE$163+'Reference Standards'!$AE$164))),2)))))))))))))),IF('Quantification Tool R2'!$B$13&gt;2.5,IF('Quantification Tool R2'!$B$12="73a",ROUND(IF(E187&gt;=0.55,0,IF(E187&lt;=0,1,E187^2*'Reference Standards'!$AB$232+E187*'Reference Standards'!$AB$233+'Reference Standards'!$AB$234)),2),IF('Quantification Tool R2'!$B$12="68a",ROUND(IF(E187&gt;=0.54,0,IF(E187&lt;=0,1,IF(E187&lt;=0.01,0.85,E187^2*'Reference Standards'!$AC$232+E187*'Reference Standards'!$AC$233+'Reference Standards'!$AC$234))),2),IF('Quantification Tool R2'!$B$12="74a",ROUND(IF(E187&gt;=0.47,0,IF(E187&lt;=0.01,1,IF(E187&lt;=0.02,0.7,E187^2*'Reference Standards'!$AD$232+E187*'Reference Standards'!$AD$233+'Reference Standards'!$AD$234))),2),IF('Quantification Tool R2'!$B$12="69de",ROUND(IF(E187&gt;=0.26,0,IF(E187&lt;=0.01,1,IF(E187&lt;=0.02,0.85,E187^2*'Reference Standards'!$AE$232+E187*'Reference Standards'!$AE$233+'Reference Standards'!$AE$234))),2),IF('Quantification Tool R2'!$B$12="71f",ROUND(IF(E187&gt;=0.87,0,IF(E187&lt;=0.01,1,IF(E187&lt;=0.04,E187*'Reference Standards'!$AF$269+'Reference Standards'!$AF$270,E187^2*'Reference Standards'!$AB$268+E187*'Reference Standards'!$AB$269+'Reference Standards'!$AB$270))),2),IF('Quantification Tool R2'!$B$12="65abei",ROUND(IF(E187&gt;=0.82,0,IF(E187&lt;=0.01,1,IF(E187&lt;=0.06,E187*'Reference Standards'!$AG$269+'Reference Standards'!$AG$270,E187^2*'Reference Standards'!$AC$268+E187*'Reference Standards'!$AC$269+'Reference Standards'!$AC$270))),2),IF('Quantification Tool R2'!$B$12="65j",ROUND(IF(E187&gt;=0.33,0,IF(E187&lt;=0.03,1,IF(E187&lt;=0.09,E187*'Reference Standards'!$AH$269+'Reference Standards'!$AH$270,E187^2*'Reference Standards'!$AD$268+E187*'Reference Standards'!$AD$269+'Reference Standards'!$AD$270))),2),IF('Quantification Tool R2'!$B$12="68c",ROUND(IF(E187&gt;=0.7,0,IF(E187&lt;=0.07,1,IF(E187&lt;=0.12,E187*'Reference Standards'!$AI$269+'Reference Standards'!$AI$270,E187^2*'Reference Standards'!$AE$268+E187*'Reference Standards'!$AE$269+'Reference Standards'!$AE$270))),2),IF(OR('Quantification Tool R2'!$B$12="67fhi",'Quantification Tool R2'!$B$12="67g"),ROUND(IF(E187&gt;=1.8,0,IF(E187&lt;=0.08,1,IF(E187&lt;=0.2,E187*'Reference Standards'!$AF$306+'Reference Standards'!$AF$307,E187^2*'Reference Standards'!$AB$305+E187*'Reference Standards'!$AB$306+'Reference Standards'!$AB$307))),2),IF('Quantification Tool R2'!$B$12="74b",ROUND(IF(E187&gt;=0.96,0,IF(E187&lt;=0.12,1,IF(E187&lt;=0.16,E187*'Reference Standards'!$AG$306+'Reference Standards'!$AG$307,E187^2*'Reference Standards'!$AC$305+E187*'Reference Standards'!$AC$306+'Reference Standards'!$AC$307))),2),IF('Quantification Tool R2'!$B$12="66d",ROUND(IF(E187&gt;=0.75,0,IF(E187&lt;=0.13,1,IF(E187&lt;=0.2,E187*'Reference Standards'!$AH$306+'Reference Standards'!$AH$307,E187^2*'Reference Standards'!$AD$305+E187*'Reference Standards'!$AD$306+'Reference Standards'!$AD$307))),2),IF(OR('Quantification Tool R2'!$B$12="71g",'Quantification Tool R2'!$B$12="71h",'Quantification Tool R2'!$B$12="71i"),ROUND(IF(E187&gt;=1.68,0,IF(E187&lt;=0.08,1,IF(E187&lt;=0.23,E187*'Reference Standards'!$AI$306+'Reference Standards'!$AI$307,E187^2*'Reference Standards'!$AE$305+E187*'Reference Standards'!$AE$306+'Reference Standards'!$AE$307))),2),IF('Quantification Tool R2'!$B$12="71e",ROUND(IF(E187&gt;=5.3,0,IF(E187&lt;=0.94,1,IF(E187&lt;=1.4,E187*'Reference Standards'!$AF$310+'Reference Standards'!$AF$311,E187^2*'Reference Standards'!$AB$309+E187*'Reference Standards'!$AB$310+'Reference Standards'!$AB$311))),2))))))))))))))))))))</f>
        <v/>
      </c>
      <c r="G187" s="86" t="str">
        <f>IFERROR(AVERAGE(F187),"")</f>
        <v/>
      </c>
      <c r="H187" s="548"/>
      <c r="I187" s="535"/>
      <c r="J187" s="559"/>
      <c r="K187" s="555"/>
      <c r="L187" s="21"/>
    </row>
    <row r="188" spans="1:13" ht="15.6" x14ac:dyDescent="0.3">
      <c r="A188" s="539"/>
      <c r="B188" s="307" t="s">
        <v>82</v>
      </c>
      <c r="C188" s="66" t="s">
        <v>280</v>
      </c>
      <c r="D188" s="66"/>
      <c r="E188" s="136"/>
      <c r="F188" s="343" t="str">
        <f>IF(E188="","",IF(ISNUMBER('Quantification Tool R2'!$B$13),IF('Quantification Tool R2'!$B$13&gt;2.5,IF(OR('Quantification Tool R2'!$B$12="71h",'Quantification Tool R2'!$B$12="71i",'Quantification Tool R2'!$B$12="73a",'Quantification Tool R2'!$B$12="74a"),IF(E188&lt;=0.01,1,IF(OR('Quantification Tool R2'!$B$12="71h",'Quantification Tool R2'!$B$12="71i"),IF(E188&gt;0.37,0,ROUND(IF(E188&gt;0.03,'Reference Standards'!$AB$425*E188^2+'Reference Standards'!$AB$426*E188+'Reference Standards'!$AB$427,'Reference Standards'!$AF$426*E188+'Reference Standards'!$AF$427),2)),IF('Quantification Tool R2'!$B$12="73a",IF(E188&gt;0.405,0,ROUND(IF(E188&gt;0.046,'Reference Standards'!$AC$425*E188^2+'Reference Standards'!$AC$426*E188+'Reference Standards'!$AC$427,'Reference Standards'!$AG$426*E188+'Reference Standards'!$AG$427),2)),IF('Quantification Tool R2'!$B$12="74a",IF(E188&gt;0.3,0,ROUND(IF(E188&gt;0.052,'Reference Standards'!$AD$425*E188^2+'Reference Standards'!$AD$426*E188+'Reference Standards'!$AD$427,'Reference Standards'!$AH$426*E188+'Reference Standards'!$AH$427),2)))))),IF(E188&lt;=0.002,1,IF(OR('Quantification Tool R2'!$B$12="66d",'Quantification Tool R2'!$B$12="66e",'Quantification Tool R2'!$B$12="66g"),IF(E188&gt;0.053,0,ROUND(E188^2*'Reference Standards'!$AB$347+E188*'Reference Standards'!$AB$348+'Reference Standards'!$AB$349,2)),IF('Quantification Tool R2'!$B$12="68b",IF(E188&gt;0.05,0,ROUND(E188^2*'Reference Standards'!$AC$347+E188*'Reference Standards'!$AC$348+'Reference Standards'!$AC$349,2)),IF(OR('Quantification Tool R2'!$B$12="68a",'Quantification Tool R2'!$B$12="68c"),IF(E188&gt;0.07,0,ROUND(E188^2*'Reference Standards'!$AD$347+E188*'Reference Standards'!$AD$348+'Reference Standards'!$AD$349,2)),IF(OR('Quantification Tool R2'!$B$12="71f",'Quantification Tool R2'!$B$12="71g"),IF(E188&gt;0.13,0,ROUND(IF(E188&gt;0.042,E188*'Reference Standards'!$AE$348+'Reference Standards'!$AE$349,E188*'Reference Standards'!$AF$348+'Reference Standards'!$AF$349),2)),IF('Quantification Tool R2'!$B$12="67fhi",IF(E188&gt;0.16,0,ROUND(E188^2*'Reference Standards'!$AG$347+E188*'Reference Standards'!$AG$348+'Reference Standards'!$AG$349,2)),IF('Quantification Tool R2'!$B$12="65j",IF(E188&gt;0.035,0,ROUND(IF(E188&lt;=0.003,0.7,E188^2*'Reference Standards'!$AB$387+E188*'Reference Standards'!$AB$388+'Reference Standards'!$AB$389),2)),IF('Quantification Tool R2'!$B$12="69de",IF(E188&gt;0.037,0,ROUND(IF(E188&lt;=0.003,0.7,E188^2*'Reference Standards'!$AC$387+E188*'Reference Standards'!$AC$388+'Reference Standards'!$AC$389),2)),IF('Quantification Tool R2'!$B$12="71e",IF(E188&gt;0.23,0,ROUND(IF(E188&lt;=0.003,0.7,E188^2*'Reference Standards'!$AD$387+E188*'Reference Standards'!$AD$388+'Reference Standards'!$AD$389),2)),IF('Quantification Tool R2'!$B$12="66f",IF(E188&gt;0.06,0,ROUND(IF(E188&lt;=0.003,0.85,IF(E188&lt;=0.004,0.7,E188^2*'Reference Standards'!$AE$387+E188*'Reference Standards'!$AE$388+'Reference Standards'!$AE$389)),2)),IF('Quantification Tool R2'!$B$12="67g",IF(E188&gt;0.11,0,ROUND(IF(E188&lt;=0.01,E188*'Reference Standards'!$AH$388+'Reference Standards'!$AH$389,E188^2*'Reference Standards'!$AF$387+E188*'Reference Standards'!$AF$388+'Reference Standards'!$AF$389),2)),IF('Quantification Tool R2'!$B$12="74b",IF(E188&gt;0.49,0,ROUND(IF(E188&lt;=0.01,E188*'Reference Standards'!$AH$388+'Reference Standards'!$AH$389,E188^2*'Reference Standards'!$AG$387+E188*'Reference Standards'!$AG$388+'Reference Standards'!$AG$389),2)),IF('Quantification Tool R2'!$B$12="65abei",IF(E188&gt;0.199,0,ROUND(IF(E188&lt;=0.01,E188*'Reference Standards'!$AI$426+'Reference Standards'!$AI$427,E188^2*'Reference Standards'!$AE$425+E188*'Reference Standards'!$AE$426+'Reference Standards'!$AE$427),2)))))))))))))))),IF('Quantification Tool R2'!$B$13&lt;=2.5,IF(OR('Quantification Tool R2'!$B$12="66d",'Quantification Tool R2'!$B$12="66e",'Quantification Tool R2'!$B$12="66g"),IF(E188&gt;0.05,0,ROUND(IF(E188&lt;=0.002,1,IF(E188&lt;=0.005,E188*'Reference Standards'!$AF$464+'Reference Standards'!$AF$465,E188^2*'Reference Standards'!$AB$463+E188*'Reference Standards'!$AB$464+'Reference Standards'!$AB$465)),2)),IF('Quantification Tool R2'!$B$12="67fhi",IF(E188&gt;0.1,0,ROUND(IF(E188&lt;=0.002,1,IF(E188&lt;=0.006,E188*'Reference Standards'!$AG$464+'Reference Standards'!$AG$465,E188^2*'Reference Standards'!$AC$463+E188*'Reference Standards'!$AC$464+'Reference Standards'!$AC$465)),2)),IF('Quantification Tool R2'!$B$12="65abei",IF(E188&gt;0.13,0,ROUND(IF(E188&lt;=0.003,1,IF(E188&lt;=0.008,E188*'Reference Standards'!$AH$464+'Reference Standards'!$AH$465,E188^2*'Reference Standards'!$AD$463+E188*'Reference Standards'!$AD$464+'Reference Standards'!$AD$465)),2)),IF('Quantification Tool R2'!$B$12="68b",IF(E188&gt;0.043,0,ROUND(IF(E188&lt;=0.004,1,IF(E188&lt;=0.005,0.7,E188^2*'Reference Standards'!$AE$463+E188*'Reference Standards'!$AE$464+'Reference Standards'!$AE$465)),2)),IF('Quantification Tool R2'!$B$12="69de",IF(E188&gt;=0.034,0,ROUND(IF(E188&lt;=0.003,1,IF(E188&lt;=0.006,E188*'Reference Standards'!$AG$500+'Reference Standards'!$AG$501,E188*'Reference Standards'!$AB$500+'Reference Standards'!$AB$501)),2)),IF(OR('Quantification Tool R2'!$B$12="68a",'Quantification Tool R2'!$B$12="68c"),IF(E188&gt;0.202,0,ROUND(IF(E188&lt;=0.003,1,IF(E188&lt;=0.006,E188*'Reference Standards'!$AG$500+'Reference Standards'!$AG$501,IF(E188&gt;=0.04,E188*'Reference Standards'!$AC$500+'Reference Standards'!$AC$501,E188*'Reference Standards'!$AE$500+'Reference Standards'!$AE$501))),2)),IF(OR('Quantification Tool R2'!$B$12="71f",'Quantification Tool R2'!$B$12="71g"),IF(E188&gt;0.631,0,ROUND(IF(E188&lt;=0.003,1,IF(E188&lt;=0.006,E188*'Reference Standards'!$AG$500+'Reference Standards'!$AG$501,IF(E188&gt;=0.17,E188*'Reference Standards'!$AD$500+'Reference Standards'!$AD$501,E188*'Reference Standards'!$AF$500+'Reference Standards'!$AF$501))),2)),IF('Quantification Tool R2'!$B$12="71e",IF(E188&gt;1.23,0,ROUND(IF(E188&lt;=0.004,1,IF(E188&lt;=0.006,E188*'Reference Standards'!$AF$538+'Reference Standards'!$AF$539,E188^2*'Reference Standards'!$AB$537+E188*'Reference Standards'!$AB$538+'Reference Standards'!$AB$539)),2)),IF('Quantification Tool R2'!$B$12="67g",IF(E188&gt;0.11,0,ROUND(IF(E188&lt;=0.006,1,IF(E188&lt;=0.011,E188*'Reference Standards'!$AG$538+'Reference Standards'!$AG$539,E188^2*'Reference Standards'!$AC$537+E188*'Reference Standards'!$AC$538+'Reference Standards'!$AC$539)),2)),IF('Quantification Tool R2'!$B$12="65j",IF(E188&gt;0.046,0,ROUND(IF(E188&lt;=0.007,1,IF(E188&lt;=0.012,E188*'Reference Standards'!$AH$538+'Reference Standards'!$AH$539,E188^2*'Reference Standards'!$AD$537+E188*'Reference Standards'!$AD$538+'Reference Standards'!$AD$539)),2)),IF('Quantification Tool R2'!$B$12="66f",IF(E188&gt;0.081,0,ROUND(IF(E188&lt;=0.008,1,IF(E188&lt;=0.011,E188*'Reference Standards'!$AI$538+'Reference Standards'!$AI$539,E188^2*'Reference Standards'!$AE$537+E188*'Reference Standards'!$AE$538+'Reference Standards'!$AE$539)),2)),IF(OR('Quantification Tool R2'!$B$12="71h",'Quantification Tool R2'!$B$12="71i"),IF(E188&gt;0.37,0,ROUND(IF(E188&lt;=0.013,1,IF(E188&lt;=0.032,E188*'Reference Standards'!$AH$576+'Reference Standards'!$AH$577,IF(E188&lt;=0.3,E188*'Reference Standards'!$AF$576+'Reference Standards'!$AF$577,E188*'Reference Standards'!$AB$576+'Reference Standards'!$AB$577))),2)),IF('Quantification Tool R2'!$B$12="73a",IF(E188&gt;0.448,0,ROUND(IF(E188&lt;=0.071,1,IF(E188&lt;=0.086,E188*'Reference Standards'!$AJ$576+'Reference Standards'!$AJ$577,IF(E188&lt;=0.165,E188*'Reference Standards'!$AG$576+'Reference Standards'!$AG$577,E188*'Reference Standards'!$AE$576+'Reference Standards'!$AE$577))),2)),IF('Quantification Tool R2'!$B$12="74b",IF(E188&gt;0.43,0,ROUND(IF(E188&lt;=0.018,1,IF(E188&lt;=0.019,0.85,IF(E188&lt;=0.02,0.7,E188^2*'Reference Standards'!$AC$575+E188*'Reference Standards'!$AC$576+'Reference Standards'!$AC$577))),2)),IF('Quantification Tool R2'!$B$12="74a",IF(E188&gt;0.217,0,ROUND(IF(E188&lt;=0.02,1,IF(E188&lt;=0.033,E188*'Reference Standards'!$AI$576+'Reference Standards'!$AI$577,E188^2*'Reference Standards'!$AD$575+E188*'Reference Standards'!$AD$576+'Reference Standards'!$AD$577)),2)))))))))))))))))))))</f>
        <v/>
      </c>
      <c r="G188" s="87" t="str">
        <f>IFERROR(AVERAGE(F188),"")</f>
        <v/>
      </c>
      <c r="H188" s="549"/>
      <c r="I188" s="536"/>
      <c r="J188" s="559"/>
      <c r="K188" s="555"/>
      <c r="L188" s="21"/>
    </row>
    <row r="189" spans="1:13" ht="15.6" x14ac:dyDescent="0.3">
      <c r="A189" s="550" t="s">
        <v>59</v>
      </c>
      <c r="B189" s="560" t="s">
        <v>340</v>
      </c>
      <c r="C189" s="125" t="s">
        <v>331</v>
      </c>
      <c r="D189" s="126"/>
      <c r="E189" s="166"/>
      <c r="F189" s="345" t="str">
        <f>IF(E189="","",IF(OR('Quantification Tool R2'!B$12="73a",'Quantification Tool R2'!B$12="73b"),IF(E189&lt;1,0,IF(E189&gt;=30,1,ROUND(IF(E189&lt;22,'Reference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531" t="str">
        <f>IFERROR(AVERAGE(F189:F192),"")</f>
        <v/>
      </c>
      <c r="H189" s="568" t="str">
        <f>IFERROR(ROUND(AVERAGE(G189:G194),2),"")</f>
        <v/>
      </c>
      <c r="I189" s="519" t="str">
        <f>IF(H189="","",IF(H189&gt;0.69,"Functioning",IF(H189&gt;0.29,"Functioning At Risk",IF(H189&gt;-1,"Not Functioning"))))</f>
        <v/>
      </c>
      <c r="J189" s="559"/>
      <c r="K189" s="555"/>
      <c r="L189" s="21"/>
    </row>
    <row r="190" spans="1:13" ht="15.6" x14ac:dyDescent="0.3">
      <c r="A190" s="556"/>
      <c r="B190" s="561"/>
      <c r="C190" s="174" t="s">
        <v>335</v>
      </c>
      <c r="D190" s="175"/>
      <c r="E190" s="165"/>
      <c r="F190" s="346" t="str">
        <f>IF(E190="","",IF(AND('Quantification Tool R2'!$B$12="74b",'Quantification Tool R2'!$B$13&lt;=2),IF(E190&lt;0,0,IF(E190&gt;15.6,0.69,ROUND('Reference Standards'!$AL$54*E190^2+'Reference Standards'!$AL$55*E190+'Reference Standards'!$AL$56,2))),IF(AND('Quantification Tool R2'!$B$12="65abei",'Quantification Tool R2'!$B$13&lt;=2),IF(E190&lt;0,0,IF(E190&gt;=20,0.69,ROUND('Reference Standards'!$AM$54*E190^2+'Reference Standards'!$AM$55*E190+'Reference Standards'!$AM$56,2))),IF(OR(AND('Quantification Tool R2'!$B$12="74a",'Quantification Tool R2'!$B$13&gt;2,'Quantification Tool R2'!$B$19="January - June"),AND('Quantification Tool R2'!$B$12="71i",'Quantification Tool R2'!$B$13&gt;2,'Quantification Tool R2'!$B$20="SQBANK")),IF(E190&lt;0,0,IF(E190&gt;24.7,0.69,ROUND('Reference Standards'!$AN$54*E190^2+'Reference Standards'!$AN$55*E190+'Reference Standards'!$AN$56,2))),IF(OR('Quantification Tool R2'!$B$12="74b",'Quantification Tool R2'!$B$12="65abei"),IF(E190&lt;0,0,IF(E190&gt;32.7,0.69,ROUND('Reference Standards'!$AO$54*E190^2+'Reference Standards'!$AO$55*E190+'Reference Standards'!$AO$56,2))),IF(AND('Quantification Tool R2'!$B$12="68b",'Quantification Tool R2'!$B$13&gt;2),IF(E190&lt;0,0,IF(E190&gt;41.2,0.69,ROUND('Reference Standards'!$AP$54*E190^2+'Reference Standards'!$AP$55*E190+'Reference Standards'!$AP$56,2))),IF(OR(AND('Quantification Tool R2'!$B$12="71i",'Quantification Tool R2'!$B$13&lt;=2),AND(OR('Quantification Tool R2'!$B$12="68c",'Quantification Tool R2'!$B$12="68d"),'Quantification Tool R2'!$B$19="January - June")),IF(E190&lt;0,0,IF(E190&gt;49.2,0.69,ROUND('Reference Standards'!$AL$94*E190^2+'Reference Standards'!$AL$95*E190+'Reference Standards'!$AL$96,2))),IF(OR(AND('Quantification Tool R2'!$B$12="68a",'Quantification Tool R2'!$B$19="January - June"),AND(OR('Quantification Tool R2'!$B$12="68c",'Quantification Tool R2'!$B$12="68d"),'Quantification Tool R2'!$B$19="July - December")),IF(E190&lt;0,0,IF(E190&gt;53.4,0.69,ROUND('Reference Standards'!$AM$94*E190^2+'Reference Standards'!$AM$95*E190+'Reference Standards'!$AM$96,2))),IF(OR(AND('Quantification Tool R2'!$B$12="71i",'Quantification Tool R2'!$B$13&gt;2,'Quantification Tool R2'!$B$20="SQKICK"),AND(OR('Quantification Tool R2'!$B$12="67fhi",'Quantification Tool R2'!$B$12="67g"),'Quantification Tool R2'!$B$13&lt;=2),'Quantification Tool R2'!$B$12="65j"),IF(E190&lt;0,0,IF(E190&gt;57.8,0.69,ROUND('Reference Standards'!$AN$94*E190^2+'Reference Standards'!$AN$95*E190+'Reference Standards'!$AN$96,2))),IF(OR(AND('Quantification Tool R2'!$B$12="74a",'Quantification Tool R2'!$B$13&gt;2,'Quantification Tool R2'!$B$19="July - December"),AND(OR('Quantification Tool R2'!$B$12="67fhi",'Quantification Tool R2'!$B$12="67g"),'Quantification Tool R2'!$B$13&gt;2),'Quantification Tool R2'!$B$12="69de"),IF(E190&lt;0,0,IF(E190&gt;62.5,0.69,ROUND('Reference Standards'!$AO$94*E190^2+'Reference Standards'!$AO$95*E190+'Reference Standards'!$AO$96,2))),  IF(OR('Quantification Tool R2'!$B$12="66d",'Quantification Tool R2'!$B$12="66e",'Quantification Tool R2'!$B$12="66ik",'Quantification Tool R2'!$B$12="71e",'Quantification Tool R2'!$B$12="71f",'Quantification Tool R2'!$B$12="71g",'Quantification Tool R2'!$B$12="71h"),IF(E190&lt;0,0,IF(E190&gt;66.5,0.69,ROUND('Reference Standards'!$AP$94*E190^2+'Reference Standards'!$AP$95*E190+'Reference Standards'!$AP$96,2))),IF(OR('Quantification Tool R2'!$B$12="66f",'Quantification Tool R2'!$B$12="66g",'Quantification Tool R2'!$B$12="66j",AND('Quantification Tool R2'!$B$12="68a",'Quantification Tool R2'!$B$19="July - December")), IF(E190&lt;0,0,IF(E190&gt;69,0.69,ROUND('Reference Standards'!$AQ$94*E190^2+'Reference Standards'!$AQ$95*E190+'Reference Standards'!$AQ$96,2))))   )))))))))))</f>
        <v/>
      </c>
      <c r="G190" s="531"/>
      <c r="H190" s="568"/>
      <c r="I190" s="519"/>
      <c r="J190" s="559"/>
      <c r="K190" s="555"/>
      <c r="L190" s="21"/>
    </row>
    <row r="191" spans="1:13" ht="15.6" x14ac:dyDescent="0.3">
      <c r="A191" s="556"/>
      <c r="B191" s="561"/>
      <c r="C191" s="174" t="s">
        <v>339</v>
      </c>
      <c r="D191" s="175"/>
      <c r="E191" s="165"/>
      <c r="F191" s="346" t="str">
        <f>IF(E191="","",IF(AND('Quantification Tool R2'!$B$12="74b",'Quantification Tool R2'!$B$13&lt;=2),IF(E191&lt;0,0,IF(E191&gt;8.1,0.69,ROUND('Reference Standards'!$AL$131*E191^2+'Reference Standards'!$AL$132*E191+'Reference Standards'!$AL$133,2))),IF(OR('Quantification Tool R2'!$B$12="73a",'Quantification Tool R2'!$B$12="73b"),IF(E191&lt;0,0,IF(E191&gt;=28,0.69,ROUND('Reference Standards'!$AM$131*E191^2+'Reference Standards'!$AM$132*E191+'Reference Standards'!$AM$133,2))),IF(AND('Quantification Tool R2'!$B$12="74a",'Quantification Tool R2'!$B$13&gt;2,'Quantification Tool R2'!$B$19="January - June"),IF(E191&lt;0,0,IF(E191&gt;=32.5,0.69,ROUND('Reference Standards'!$AN$131*E191^2+'Reference Standards'!$AN$132*E191+'Reference Standards'!$AN$133,2))),IF(AND('Quantification Tool R2'!$B$12="71i",'Quantification Tool R2'!$B$13&gt;2,'Quantification Tool R2'!$B$20="SQBANK"),IF(E191&lt;0,0,IF(E191&gt;=37,0.69,ROUND('Reference Standards'!$AO$131*E191^2+'Reference Standards'!$AO$132*E191+'Reference Standards'!$AO$133,2))),IF(OR(AND(OR('Quantification Tool R2'!$B$12="65abei",'Quantification Tool R2'!$B$12="74b"),'Quantification Tool R2'!$B$13&gt;2),AND('Quantification Tool R2'!$B$12="71i",'Quantification Tool R2'!$B$13&gt;2,'Quantification Tool R2'!$B$20="SQKICK")),IF(E191&lt;0,0,IF(E191&gt;42.6,0.69,ROUND('Reference Standards'!$AP$131*E191^2+'Reference Standards'!$AP$132*E191+'Reference Standards'!$AP$133,2))),     IF(OR(AND('Quantification Tool R2'!$B$12="65abei",'Quantification Tool R2'!$B$13&lt;=2),AND(OR('Quantification Tool R2'!$B$12="68c",'Quantification Tool R2'!$B$12="68d"),'Quantification Tool R2'!$B$19="July - December"),'Quantification Tool R2'!$B$12="71e"),IF(E191&lt;0,0,IF(E191&gt;=48,0.69,ROUND('Reference Standards'!$AL$171*E191^2+'Reference Standards'!$AL$172*E191+'Reference Standards'!$AL$173,2))),IF(OR('Quantification Tool R2'!$B$12="65j",'Quantification Tool R2'!$B$12="67fhi",'Quantification Tool R2'!$B$12="67g",AND('Quantification Tool R2'!$B$12="74a",'Quantification Tool R2'!$B$19="July - December",'Quantification Tool R2'!$B$13&gt;2),AND('Quantification Tool R2'!$B$12="71i",'Quantification Tool R2'!$B$13&lt;=2)),IF(E191&lt;0,0,IF(E191&gt;=53,0.69,ROUND('Reference Standards'!$AM$171*E191^2+'Reference Standards'!$AM$172*E191+'Reference Standards'!$AM$173,2))),IF(OR(AND(OR('Quantification Tool R2'!$B$12="68b",'Quantification Tool R2'!$B$12="71f",'Quantification Tool R2'!$B$12="71g",'Quantification Tool R2'!$B$12="71h"),'Quantification Tool R2'!$B$13&gt;2),'Quantification Tool R2'!$B$12="68a"),IF(E191&lt;0,0,IF(E191&gt;=57,0.69,ROUND('Reference Standards'!$AN$171*E191^2+'Reference Standards'!$AN$172*E191+'Reference Standards'!$AN$173,2))),IF(OR('Quantification Tool R2'!$B$12="66f",'Quantification Tool R2'!$B$12="66g",'Quantification Tool R2'!$B$12="66j",AND(OR('Quantification Tool R2'!$B$12="71f",'Quantification Tool R2'!$B$12="71g",'Quantification Tool R2'!$B$12="71h"),'Quantification Tool R2'!$B$13&lt;=2)),IF(E191&lt;0,0,IF(E191&gt;=60,0.69,ROUND('Reference Standards'!$AO$171*E191^2+'Reference Standards'!$AO$172*E191+'Reference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December")),IF(E191&lt;0,0,IF(E191&gt;=67.5,0.69,ROUND('Reference Standards'!$AP$171*E191^2+'Reference Standards'!$AP$172*E191+'Reference Standards'!$AP$173,2))),IF(AND('Quantification Tool R2'!$B$12="69de",'Quantification Tool R2'!$B$19="January - June"), IF(E191&lt;0,0,IF(E191&gt;=72,0.69,ROUND('Reference Standards'!$AQ$171*E191^2+'Reference Standards'!$AQ$172*E191+'Reference Standards'!$AQ$173,2))))   )))))))))))</f>
        <v/>
      </c>
      <c r="G191" s="531"/>
      <c r="H191" s="568"/>
      <c r="I191" s="519"/>
      <c r="J191" s="559"/>
      <c r="K191" s="555"/>
      <c r="L191" s="21"/>
    </row>
    <row r="192" spans="1:13" ht="15.6" x14ac:dyDescent="0.3">
      <c r="A192" s="556"/>
      <c r="B192" s="562"/>
      <c r="C192" s="127" t="s">
        <v>336</v>
      </c>
      <c r="D192" s="71"/>
      <c r="E192" s="167"/>
      <c r="F192" s="346" t="str">
        <f>IF(E192="","",IF(OR('Quantification Tool R2'!$B$12="67fhi",'Quantification Tool R2'!$B$12="67g",'Quantification Tool R2'!$B$12="71e",'Quantification Tool R2'!$B$12="73a",'Quantification Tool R2'!$B$12="73b",AND(OR('Quantification Tool R2'!$B$12="71f",'Quantification Tool R2'!$B$12="71g",'Quantification Tool R2'!$B$12="71h"),'Quantification Tool R2'!$B$13&gt;2)),IF(E192&gt;100,0,IF(E192&lt;15,0.69,ROUND('Reference Standards'!$AL$208*E192^2+'Reference Standards'!$AL$209*E192+'Reference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),IF(E192&gt;100,0,IF(E192&lt;19,0.69,ROUND('Reference Standards'!$AM$208*E192^2+'Reference Standards'!$AM$209*E192+'Reference Standards'!$AM$210,2))),    IF(OR(AND('Quantification Tool R2'!$B$12="69de",'Quantification Tool R2'!$B$19="January - June"),AND('Quantification Tool R2'!$B$12="71i",'Quantification Tool R2'!$B$13&gt;2,'Quantification Tool R2'!$B$20="SQKICK" )),IF(E192&gt;100,0,IF(E192&lt;22,0.69,ROUND('Reference Standards'!$AN$208*E192^2+'Reference Standards'!$AN$209*E192+'Reference Standards'!$AN$210,2))),    IF(OR('Quantification Tool R2'!$B$12="65j",AND('Quantification Tool R2'!$B$12="68b",'Quantification Tool R2'!$B$13&gt;2)),IF(E192&gt;100,0,IF(E192&lt;24,0.69,ROUND('Reference Standards'!$AO$208*E192^2+'Reference Standards'!$AO$209*E192+'Reference Standards'!$AO$210,2))),    IF(AND(OR('Quantification Tool R2'!$B$12="65abei",'Quantification Tool R2'!$B$12="71f",'Quantification Tool R2'!$B$12="71g",'Quantification Tool R2'!$B$12="71h"),'Quantification Tool R2'!$B$13&lt;=2),IF(E192&gt;95,0,IF(E192&lt;33,0.69,ROUND('Reference Standards'!$AL$246*E192^2+'Reference Standards'!$AL$247*E192+'Reference Standards'!$AL$248,2))),   IF(AND(OR('Quantification Tool R2'!$B$12="65abei",'Quantification Tool R2'!$B$12="74b"),'Quantification Tool R2'!$B$13&gt;2),IF(E192&gt;97,0,IF(E192&lt;36,0.69,ROUND('Reference Standards'!$AM$246*E192^2+'Reference Standards'!$AM$247*E192+'Reference Standards'!$AM$248,2))),  IF(AND('Quantification Tool R2'!$B$12="74a",'Quantification Tool R2'!$B$19="January - June",'Quantification Tool R2'!$B$13&gt;2),IF(E192&gt;93,0,IF(E192&lt;52,0.69,ROUND('Reference Standards'!$AN$246*E192^2+'Reference Standards'!$AN$247*E192+'Reference Standards'!$AN$248,2))),   IF(AND('Quantification Tool R2'!$B$12="74b",'Quantification Tool R2'!$B$13&lt;=2),IF(E192&gt;97,0,IF(E192&lt;62,0.69,ROUND('Reference Standards'!$AO$246*E192^2+'Reference Standards'!$AO$247*E192+'Reference Standards'!$AO$248,2)))  )))))))))</f>
        <v/>
      </c>
      <c r="G192" s="531"/>
      <c r="H192" s="568"/>
      <c r="I192" s="519"/>
      <c r="J192" s="559"/>
      <c r="K192" s="555"/>
      <c r="L192" s="21"/>
    </row>
    <row r="193" spans="1:12" ht="15.6" x14ac:dyDescent="0.3">
      <c r="A193" s="556"/>
      <c r="B193" s="563" t="s">
        <v>74</v>
      </c>
      <c r="C193" s="125" t="s">
        <v>211</v>
      </c>
      <c r="D193" s="126"/>
      <c r="E193" s="166"/>
      <c r="F193" s="345" t="str">
        <f>IF(E193="","",IF(E193=1,0.15,IF(E193=3,0.5,IF(E193=5,0.85,0))))</f>
        <v/>
      </c>
      <c r="G193" s="564" t="str">
        <f>IFERROR(AVERAGE(F193:F194),"")</f>
        <v/>
      </c>
      <c r="H193" s="568"/>
      <c r="I193" s="519"/>
      <c r="J193" s="559"/>
      <c r="K193" s="555"/>
      <c r="L193" s="21"/>
    </row>
    <row r="194" spans="1:12" ht="15.6" x14ac:dyDescent="0.3">
      <c r="A194" s="551"/>
      <c r="B194" s="563"/>
      <c r="C194" s="127" t="s">
        <v>332</v>
      </c>
      <c r="D194" s="71"/>
      <c r="E194" s="167"/>
      <c r="F194" s="347" t="str">
        <f>IF(E194="","",IF(E194=1,0.15,IF(E194=3,0.5,IF(E194=5,0.85,0))))</f>
        <v/>
      </c>
      <c r="G194" s="565"/>
      <c r="H194" s="568"/>
      <c r="I194" s="519"/>
      <c r="J194" s="559"/>
      <c r="K194" s="555"/>
      <c r="L194" s="21"/>
    </row>
    <row r="195" spans="1:12" ht="13.95" customHeight="1" x14ac:dyDescent="0.3">
      <c r="L195" s="21"/>
    </row>
    <row r="196" spans="1:12" ht="21" x14ac:dyDescent="0.4">
      <c r="A196" s="148" t="s">
        <v>135</v>
      </c>
      <c r="B196" s="246"/>
      <c r="C196" s="249" t="s">
        <v>324</v>
      </c>
      <c r="D196" s="246"/>
      <c r="E196" s="247"/>
      <c r="F196" s="248"/>
      <c r="G196" s="544" t="s">
        <v>18</v>
      </c>
      <c r="H196" s="545"/>
      <c r="I196" s="545"/>
      <c r="J196" s="545"/>
      <c r="K196" s="546"/>
      <c r="L196" s="21"/>
    </row>
    <row r="197" spans="1:12" ht="15.6" x14ac:dyDescent="0.3">
      <c r="A197" s="158" t="s">
        <v>1</v>
      </c>
      <c r="B197" s="158" t="s">
        <v>2</v>
      </c>
      <c r="C197" s="542" t="s">
        <v>3</v>
      </c>
      <c r="D197" s="644"/>
      <c r="E197" s="158" t="s">
        <v>15</v>
      </c>
      <c r="F197" s="158" t="s">
        <v>16</v>
      </c>
      <c r="G197" s="158" t="s">
        <v>19</v>
      </c>
      <c r="H197" s="158" t="s">
        <v>20</v>
      </c>
      <c r="I197" s="314" t="s">
        <v>20</v>
      </c>
      <c r="J197" s="158" t="s">
        <v>21</v>
      </c>
      <c r="K197" s="315" t="s">
        <v>21</v>
      </c>
    </row>
    <row r="198" spans="1:12" ht="15.6" x14ac:dyDescent="0.3">
      <c r="A198" s="540" t="s">
        <v>60</v>
      </c>
      <c r="B198" s="308" t="s">
        <v>86</v>
      </c>
      <c r="C198" s="52" t="s">
        <v>388</v>
      </c>
      <c r="D198" s="52"/>
      <c r="E198" s="162"/>
      <c r="F198" s="338" t="str">
        <f>IF(E198="","",IF(E198&lt;=0,0,IF(E198&gt;=0.95,1,ROUND('Reference Standards'!C$14*E198+'Reference Standards'!C$15,2))))</f>
        <v/>
      </c>
      <c r="G198" s="83" t="str">
        <f>IFERROR(AVERAGE(F198),"")</f>
        <v/>
      </c>
      <c r="H198" s="522" t="str">
        <f>IFERROR(ROUND(AVERAGE(G198:G199),2),"")</f>
        <v/>
      </c>
      <c r="I198" s="519" t="str">
        <f>IF(H198="","",IF(H198&gt;0.69,"Functioning",IF(H198&gt;0.29,"Functioning At Risk",IF(H198&gt;-1,"Not Functioning"))))</f>
        <v/>
      </c>
      <c r="J198" s="559" t="str">
        <f>IF(AND(H198="",H200="",H202="",H224="",H228=""),"",ROUND((IF(H198="",0,H198)*0.2)+(IF(H200="",0,H200)*0.2)+(IF(H202="",0,H202)*0.2)+(IF(H224="",0,H224)*0.2)+(IF(H228="",0,H228)*0.2),2))</f>
        <v/>
      </c>
      <c r="K198" s="555" t="str">
        <f>IF(J198="","",IF(J198&lt;0.3, "Not Functioning",IF(OR(H198&lt;0.7,H200&lt;0.7,H202&lt;0.7,H224&lt;0.7,H228&lt;0.7),"Functioning At Risk",IF(J198&lt;0.7,"Functioning At Risk","Functioning"))))</f>
        <v/>
      </c>
    </row>
    <row r="199" spans="1:12" ht="15.6" x14ac:dyDescent="0.3">
      <c r="A199" s="541"/>
      <c r="B199" s="371" t="s">
        <v>128</v>
      </c>
      <c r="C199" s="373" t="s">
        <v>161</v>
      </c>
      <c r="D199" s="374"/>
      <c r="E199" s="43"/>
      <c r="F199" s="372" t="str">
        <f>IF(E199="","",IF(E199&gt;=1,1,IF(E199&lt;=0,0,ROUND(E199,2))))</f>
        <v/>
      </c>
      <c r="G199" s="367" t="str">
        <f>IFERROR(AVERAGE(F199:F199),"")</f>
        <v/>
      </c>
      <c r="H199" s="523"/>
      <c r="I199" s="519"/>
      <c r="J199" s="559"/>
      <c r="K199" s="555"/>
    </row>
    <row r="200" spans="1:12" ht="15.6" x14ac:dyDescent="0.3">
      <c r="A200" s="524" t="s">
        <v>6</v>
      </c>
      <c r="B200" s="572" t="s">
        <v>7</v>
      </c>
      <c r="C200" s="54" t="s">
        <v>8</v>
      </c>
      <c r="D200" s="54"/>
      <c r="E200" s="162"/>
      <c r="F200" s="339" t="str">
        <f>IF(E200="","",ROUND(IF(E200&gt;1.6,0,IF(E200&lt;=1,1,E200^2*'Reference Standards'!K$14+E200*'Reference Standards'!K$15+'Reference Standards'!K$16)),2))</f>
        <v/>
      </c>
      <c r="G200" s="579" t="str">
        <f>IFERROR(AVERAGE(F200:F201),"")</f>
        <v/>
      </c>
      <c r="H200" s="579" t="str">
        <f>IFERROR(ROUND(AVERAGE(G200),2),"")</f>
        <v/>
      </c>
      <c r="I200" s="569" t="str">
        <f>IF(H200="","",IF(H200&gt;0.69,"Functioning",IF(H200&gt;0.29,"Functioning At Risk",IF(H200&gt;-1,"Not Functioning"))))</f>
        <v/>
      </c>
      <c r="J200" s="559"/>
      <c r="K200" s="555"/>
    </row>
    <row r="201" spans="1:12" ht="15.6" x14ac:dyDescent="0.3">
      <c r="A201" s="525"/>
      <c r="B201" s="572"/>
      <c r="C201" s="54" t="s">
        <v>9</v>
      </c>
      <c r="D201" s="54"/>
      <c r="E201" s="163"/>
      <c r="F201" s="339" t="str">
        <f>IF(E201="","",(IF(OR('Quantification Tool R2'!B$11="A",'Quantification Tool R2'!B$11="B",'Quantification Tool R2'!$B$11="Bc"),IF(E201&lt;1.2,0,IF(E201&gt;=2.2,1,ROUND(IF(E201&lt;1.4,E201*'Reference Standards'!$K$84+'Reference Standards'!$K$85,E201*'Reference Standards'!$L$84+'Reference Standards'!$L$85),2))),IF(OR('Quantification Tool R2'!B$11="C",'Quantification Tool R2'!B$11="E"),IF(E201&lt;2,0,IF(E201&gt;=5,1,ROUND(IF(E201&lt;2.4,E201*'Reference Standards'!$L$49+'Reference Standards'!$L$50,E201*'Reference Standards'!$K$49+'Reference Standards'!$K$50),2)))))))</f>
        <v/>
      </c>
      <c r="G201" s="581"/>
      <c r="H201" s="580"/>
      <c r="I201" s="570"/>
      <c r="J201" s="559"/>
      <c r="K201" s="555"/>
    </row>
    <row r="202" spans="1:12" ht="15.6" x14ac:dyDescent="0.3">
      <c r="A202" s="526" t="s">
        <v>26</v>
      </c>
      <c r="B202" s="557" t="s">
        <v>27</v>
      </c>
      <c r="C202" s="60" t="s">
        <v>333</v>
      </c>
      <c r="D202" s="244"/>
      <c r="E202" s="61"/>
      <c r="F202" s="340" t="str">
        <f>IF(E202="","",IF(OR(LEFT('Quantification Tool R2'!$B$12,2)="65",LEFT('Quantification Tool R2'!$B$12,2)="66",LEFT('Quantification Tool R2'!$B$12,2)="71"),IF(E202&gt;=850,1,IF(E202&lt;250,ROUND('Reference Standards'!$S$17*(E202)+'Reference Standards'!$S$18,2),ROUND('Reference Standards'!$T$17*E202+'Reference Standards'!$T$18,2))),  IF(E202&gt;=345,1,IF(E202&lt;=180,ROUND('Reference Standards'!$U$17*(E202)+'Reference Standards'!$U$18,2),ROUND('Reference Standards'!$V$17*E202+'Reference Standards'!$V$18,2))))    )</f>
        <v/>
      </c>
      <c r="G202" s="528" t="str">
        <f>IFERROR(AVERAGE(F202:F203),"")</f>
        <v/>
      </c>
      <c r="H202" s="566" t="str">
        <f>IFERROR(ROUND(AVERAGE(G202:G223),2),"")</f>
        <v/>
      </c>
      <c r="I202" s="555" t="str">
        <f>IF(H202="","",IF(H202&gt;0.69,"Functioning",IF(H202&gt;0.29,"Functioning At Risk",IF(H202&gt;-1,"Not Functioning"))))</f>
        <v/>
      </c>
      <c r="J202" s="559"/>
      <c r="K202" s="555"/>
    </row>
    <row r="203" spans="1:12" ht="15.6" x14ac:dyDescent="0.3">
      <c r="A203" s="520"/>
      <c r="B203" s="558"/>
      <c r="C203" s="63" t="s">
        <v>323</v>
      </c>
      <c r="D203" s="245"/>
      <c r="E203" s="53"/>
      <c r="F203" s="341" t="str">
        <f>IF(E203="","",IF(OR(LEFT('Quantification Tool R2'!$B$12,2)="65",LEFT('Quantification Tool R2'!$B$12,2)="66",LEFT('Quantification Tool R2'!$B$12,2)="71"),IF(E203&gt;=30,1,IF(E203&lt;13,ROUND('Reference Standards'!$S$53*(E203)+'Reference Standards'!$S$54,2),ROUND('Reference Standards'!$T$53*E203+'Reference Standards'!$T$54,2))),  IF(E203&gt;=16,1,IF(E203&lt;=9,ROUND('Reference Standards'!$U$53*(E203)+'Reference Standards'!$U$54,2),ROUND('Reference Standards'!$V$53*E203+'Reference Standards'!$V$54,2))))    )</f>
        <v/>
      </c>
      <c r="G203" s="530"/>
      <c r="H203" s="566"/>
      <c r="I203" s="555"/>
      <c r="J203" s="559"/>
      <c r="K203" s="555"/>
    </row>
    <row r="204" spans="1:12" ht="15.6" x14ac:dyDescent="0.3">
      <c r="A204" s="520"/>
      <c r="B204" s="520" t="s">
        <v>395</v>
      </c>
      <c r="C204" s="58" t="s">
        <v>80</v>
      </c>
      <c r="D204" s="58"/>
      <c r="E204" s="165"/>
      <c r="F204" s="340" t="str">
        <f>IF(E204="","",ROUND(IF(E204&gt;0.7,0,IF(E204&lt;=0.1,1,E204^3*'Reference Standards'!S$87+E204^2*'Reference Standards'!S$88+E204*'Reference Standards'!S$89+'Reference Standards'!S$90)),2))</f>
        <v/>
      </c>
      <c r="G204" s="528" t="str">
        <f>IFERROR(ROUND(AVERAGE(F204:F207),2),"")</f>
        <v/>
      </c>
      <c r="H204" s="567"/>
      <c r="I204" s="555"/>
      <c r="J204" s="559"/>
      <c r="K204" s="555"/>
    </row>
    <row r="205" spans="1:12" ht="15.6" x14ac:dyDescent="0.3">
      <c r="A205" s="520"/>
      <c r="B205" s="520"/>
      <c r="C205" s="58" t="s">
        <v>49</v>
      </c>
      <c r="D205" s="58"/>
      <c r="E205" s="165"/>
      <c r="F205" s="84"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529"/>
      <c r="H205" s="567"/>
      <c r="I205" s="555"/>
      <c r="J205" s="559"/>
      <c r="K205" s="555"/>
    </row>
    <row r="206" spans="1:12" ht="15.6" x14ac:dyDescent="0.3">
      <c r="A206" s="520"/>
      <c r="B206" s="520"/>
      <c r="C206" s="58" t="s">
        <v>87</v>
      </c>
      <c r="D206" s="58"/>
      <c r="E206" s="165"/>
      <c r="F206" s="84" t="str">
        <f>IF(E206="","",ROUND(IF(E206&gt;40,0,IF(E206&lt;5,1,E206^3*'Reference Standards'!S$122+E206^2*'Reference Standards'!S$123+E206*'Reference Standards'!S$124+'Reference Standards'!S$125)),2))</f>
        <v/>
      </c>
      <c r="G206" s="529"/>
      <c r="H206" s="567"/>
      <c r="I206" s="555"/>
      <c r="J206" s="559"/>
      <c r="K206" s="555"/>
    </row>
    <row r="207" spans="1:12" ht="15.6" x14ac:dyDescent="0.3">
      <c r="A207" s="520"/>
      <c r="B207" s="521"/>
      <c r="C207" s="59" t="s">
        <v>394</v>
      </c>
      <c r="D207" s="59"/>
      <c r="E207" s="167"/>
      <c r="F207" s="341" t="str">
        <f>IF(E207="","",ROUND(IF(E207&gt;=30,0,IF(E207&lt;=0,1,E207*'Reference Standards'!S$156+'Reference Standards'!S$157)),2))</f>
        <v/>
      </c>
      <c r="G207" s="530"/>
      <c r="H207" s="567"/>
      <c r="I207" s="555"/>
      <c r="J207" s="559"/>
      <c r="K207" s="555"/>
    </row>
    <row r="208" spans="1:12" ht="15.6" x14ac:dyDescent="0.3">
      <c r="A208" s="520"/>
      <c r="B208" s="520" t="s">
        <v>50</v>
      </c>
      <c r="C208" s="60" t="s">
        <v>377</v>
      </c>
      <c r="D208" s="64"/>
      <c r="E208" s="136"/>
      <c r="F208" s="294" t="str">
        <f>IF(E208="","",ROUND(IF(E208&gt;9.2,1,E208*'Reference Standards'!$S$189+'Reference Standards'!$S$190),2))</f>
        <v/>
      </c>
      <c r="G208" s="552" t="str">
        <f>IFERROR(ROUND(AVERAGE(F208:F217),2),"")</f>
        <v/>
      </c>
      <c r="H208" s="567"/>
      <c r="I208" s="555"/>
      <c r="J208" s="559"/>
      <c r="K208" s="555"/>
    </row>
    <row r="209" spans="1:13" ht="15.6" x14ac:dyDescent="0.3">
      <c r="A209" s="520"/>
      <c r="B209" s="520"/>
      <c r="C209" s="62" t="s">
        <v>378</v>
      </c>
      <c r="D209" s="58"/>
      <c r="E209" s="162"/>
      <c r="F209" s="294" t="str">
        <f>IF(E209="","",ROUND(IF(E209&gt;9.2,1,E209*'Reference Standards'!$S$189+'Reference Standards'!$S$190),2))</f>
        <v/>
      </c>
      <c r="G209" s="553"/>
      <c r="H209" s="567"/>
      <c r="I209" s="555"/>
      <c r="J209" s="559"/>
      <c r="K209" s="555"/>
    </row>
    <row r="210" spans="1:13" ht="15.6" x14ac:dyDescent="0.3">
      <c r="A210" s="520"/>
      <c r="B210" s="520"/>
      <c r="C210" s="62" t="s">
        <v>379</v>
      </c>
      <c r="D210" s="58"/>
      <c r="E210" s="162"/>
      <c r="F210" s="294" t="str">
        <f>IF(E210="","",ROUND( IF(E210&gt;=200,1,IF(E210&lt;50, E210^2*'Reference Standards'!S$224+E210*'Reference Standards'!S$225+'Reference Standards'!S$226, E210*'Reference Standards'!T$224+'Reference Standards'!T$225)),2))</f>
        <v/>
      </c>
      <c r="G210" s="553"/>
      <c r="H210" s="567"/>
      <c r="I210" s="555"/>
      <c r="J210" s="559"/>
      <c r="K210" s="555"/>
    </row>
    <row r="211" spans="1:13" ht="15.6" x14ac:dyDescent="0.3">
      <c r="A211" s="520"/>
      <c r="B211" s="520"/>
      <c r="C211" s="62" t="s">
        <v>380</v>
      </c>
      <c r="D211" s="58"/>
      <c r="E211" s="162"/>
      <c r="F211" s="294" t="str">
        <f>IF(E211="","",ROUND( IF(E211&gt;=200,1,IF(E211&lt;50, E211^2*'Reference Standards'!S$224+E211*'Reference Standards'!S$225+'Reference Standards'!S$226, E211*'Reference Standards'!T$224+'Reference Standards'!T$225)),2))</f>
        <v/>
      </c>
      <c r="G211" s="553"/>
      <c r="H211" s="567"/>
      <c r="I211" s="555"/>
      <c r="J211" s="559"/>
      <c r="K211" s="555"/>
    </row>
    <row r="212" spans="1:13" ht="15.6" x14ac:dyDescent="0.3">
      <c r="A212" s="520"/>
      <c r="B212" s="520"/>
      <c r="C212" s="58" t="s">
        <v>381</v>
      </c>
      <c r="D212" s="58"/>
      <c r="E212" s="162"/>
      <c r="F212" s="294" t="str">
        <f>IF(E212="","",ROUND(IF(AND(E212&gt;=135,E212&lt;=262),1,IF(  E212&gt;=366,0.5, IF(E212&lt;135,E212*'Reference Standards'!S$259+'Reference Standards'!S$260, E212*'Reference Standards'!T$259+'Reference Standards'!T$260))),2))</f>
        <v/>
      </c>
      <c r="G212" s="553"/>
      <c r="H212" s="567"/>
      <c r="I212" s="555"/>
      <c r="J212" s="559"/>
      <c r="K212" s="555"/>
    </row>
    <row r="213" spans="1:13" ht="15.6" x14ac:dyDescent="0.3">
      <c r="A213" s="520"/>
      <c r="B213" s="520"/>
      <c r="C213" s="58" t="s">
        <v>382</v>
      </c>
      <c r="D213" s="58"/>
      <c r="E213" s="162"/>
      <c r="F213" s="294" t="str">
        <f>IF(E213="","",ROUND(IF(AND(E213&gt;=135,E213&lt;=262),1,IF(  E213&gt;=366,0.5, IF(E213&lt;135,E213*'Reference Standards'!S$259+'Reference Standards'!S$260, E213*'Reference Standards'!T$259+'Reference Standards'!T$260))),2))</f>
        <v/>
      </c>
      <c r="G213" s="553"/>
      <c r="H213" s="567"/>
      <c r="I213" s="555"/>
      <c r="J213" s="559"/>
      <c r="K213" s="555"/>
    </row>
    <row r="214" spans="1:13" ht="15.6" x14ac:dyDescent="0.3">
      <c r="A214" s="520"/>
      <c r="B214" s="520"/>
      <c r="C214" s="58" t="s">
        <v>383</v>
      </c>
      <c r="D214" s="58"/>
      <c r="E214" s="162"/>
      <c r="F214" s="84" t="str">
        <f>IF(E214="","",ROUND(IF(E214&gt;=75,1,IF(E214&lt;=0,0,E214*'Reference Standards'!S$330)),2))</f>
        <v/>
      </c>
      <c r="G214" s="553"/>
      <c r="H214" s="567"/>
      <c r="I214" s="555"/>
      <c r="J214" s="559"/>
      <c r="K214" s="555"/>
    </row>
    <row r="215" spans="1:13" ht="15.6" x14ac:dyDescent="0.3">
      <c r="A215" s="520"/>
      <c r="B215" s="520"/>
      <c r="C215" s="58" t="s">
        <v>384</v>
      </c>
      <c r="D215" s="58"/>
      <c r="E215" s="162"/>
      <c r="F215" s="84" t="str">
        <f>IF(E215="","",ROUND(IF(E215&gt;=75,1,IF(E215&lt;=0,0,E215*'Reference Standards'!S$330)),2))</f>
        <v/>
      </c>
      <c r="G215" s="553"/>
      <c r="H215" s="567"/>
      <c r="I215" s="555"/>
      <c r="J215" s="559"/>
      <c r="K215" s="555"/>
    </row>
    <row r="216" spans="1:13" ht="15.6" x14ac:dyDescent="0.3">
      <c r="A216" s="520"/>
      <c r="B216" s="520"/>
      <c r="C216" s="58" t="s">
        <v>385</v>
      </c>
      <c r="D216" s="58"/>
      <c r="E216" s="162"/>
      <c r="F216" s="294" t="str">
        <f>IF(E216="","",ROUND(IF(AND(E216&gt;=36.3,E216&lt;=68),1,IF(E216&gt;100,0,IF(E216&lt;36.3,(('Reference Standards'!S$297*(E216^2))+('Reference Standards'!S$298*E216)+'Reference Standards'!S$299),IF(E216&gt;68,(('Reference Standards'!T$297*(E216^2))+('Reference Standards'!T$298*E216)+'Reference Standards'!T$299))))),2))</f>
        <v/>
      </c>
      <c r="G216" s="553"/>
      <c r="H216" s="567"/>
      <c r="I216" s="555"/>
      <c r="J216" s="559"/>
      <c r="K216" s="555"/>
      <c r="M216" s="21"/>
    </row>
    <row r="217" spans="1:13" ht="15.6" x14ac:dyDescent="0.3">
      <c r="A217" s="520"/>
      <c r="B217" s="521"/>
      <c r="C217" s="58" t="s">
        <v>386</v>
      </c>
      <c r="D217" s="65"/>
      <c r="E217" s="162"/>
      <c r="F217" s="294" t="str">
        <f>IF(E217="","",ROUND(IF(AND(E217&gt;=36.3,E217&lt;=68),1,IF(E217&gt;100,0,IF(E217&lt;36.3,(('Reference Standards'!S$297*(E217^2))+('Reference Standards'!S$298*E217)+'Reference Standards'!S$299),IF(E217&gt;68,(('Reference Standards'!T$297*(E217^2))+('Reference Standards'!T$298*E217)+'Reference Standards'!T$299))))),2))</f>
        <v/>
      </c>
      <c r="G217" s="554"/>
      <c r="H217" s="567"/>
      <c r="I217" s="555"/>
      <c r="J217" s="559"/>
      <c r="K217" s="555"/>
    </row>
    <row r="218" spans="1:13" ht="15.6" x14ac:dyDescent="0.3">
      <c r="A218" s="520"/>
      <c r="B218" s="56" t="s">
        <v>108</v>
      </c>
      <c r="C218" s="72" t="s">
        <v>130</v>
      </c>
      <c r="D218" s="58"/>
      <c r="E218" s="43"/>
      <c r="F218" s="82" t="str">
        <f>IF(E218="","",IF(OR('Quantification Tool R2'!B$14="Gravel",'Quantification Tool R2'!B$14="Cobble"),IF(E218&gt;0.1,1,IF(E218&lt;=0.01,0,ROUND(E218*'Reference Standards'!$S$362+'Reference Standards'!$S$363,2)))))</f>
        <v/>
      </c>
      <c r="G218" s="82" t="str">
        <f>IFERROR(AVERAGE(F218),"")</f>
        <v/>
      </c>
      <c r="H218" s="567"/>
      <c r="I218" s="555"/>
      <c r="J218" s="559"/>
      <c r="K218" s="555"/>
    </row>
    <row r="219" spans="1:13" ht="15.6" x14ac:dyDescent="0.3">
      <c r="A219" s="520"/>
      <c r="B219" s="526" t="s">
        <v>51</v>
      </c>
      <c r="C219" s="64" t="s">
        <v>52</v>
      </c>
      <c r="D219" s="64"/>
      <c r="E219" s="166"/>
      <c r="F219" s="337" t="str">
        <f>IF(E219="","",IF(ISNUMBER('Quantification Tool R2'!$B$17),IF('Quantification Tool R2'!$B$17&lt;=2,IF(AND(E219&gt;=3,E219&lt;=5),1,IF(OR(E219&lt;=1,E219&gt;=7),0,ROUND(IF(E219&lt;3,E219*'Reference Standards'!S$398+'Reference Standards'!S$399,E219*'Reference Standards'!T$398+'Reference Standards'!T$399),2))),IF(E219&lt;=2.5,1,IF(E219&gt;=5.8,0,ROUND(E219*'Reference Standards'!S$430+'Reference Standards'!S$431,2))))))</f>
        <v/>
      </c>
      <c r="G219" s="528" t="str">
        <f>IFERROR(AVERAGE(F219:F222),"")</f>
        <v/>
      </c>
      <c r="H219" s="567"/>
      <c r="I219" s="555"/>
      <c r="J219" s="559"/>
      <c r="K219" s="555"/>
    </row>
    <row r="220" spans="1:13" ht="15.6" x14ac:dyDescent="0.3">
      <c r="A220" s="520"/>
      <c r="B220" s="520"/>
      <c r="C220" s="58" t="s">
        <v>53</v>
      </c>
      <c r="D220" s="58"/>
      <c r="E220" s="165"/>
      <c r="F220" s="84" t="str">
        <f>IF(E220="","", IF( E220&gt;=2.4,1, IF(E220&lt;=1,0,  ROUND(IF(E220&lt;2.4, E220*'Reference Standards'!$S$464+'Reference Standards'!$S$465  ),2))))</f>
        <v/>
      </c>
      <c r="G220" s="529"/>
      <c r="H220" s="567"/>
      <c r="I220" s="555"/>
      <c r="J220" s="559"/>
      <c r="K220" s="555"/>
    </row>
    <row r="221" spans="1:13" ht="15.6" x14ac:dyDescent="0.3">
      <c r="A221" s="520"/>
      <c r="B221" s="520"/>
      <c r="C221" s="58" t="s">
        <v>334</v>
      </c>
      <c r="D221" s="58"/>
      <c r="E221" s="165"/>
      <c r="F221" s="390" t="str">
        <f>IF(E221="","", IF(LEFT('Quantification Tool R2'!$B$12,2)="67",  IF( AND(E221&gt;=45,E221&lt;=65),1, IF(OR(E221&lt;=20,E221&gt;=90),0, ROUND(  IF(E221&lt;45, E221*'Reference Standards'!$S$498+'Reference Standards'!$S$499,E221*'Reference Standards'!$T$498+'Reference Standards'!$T$499),2))), IF(OR(  LEFT('Quantification Tool R2'!$B$12,2)="68", LEFT('Quantification Tool R2'!$B$12,2)="69",LEFT('Quantification Tool R2'!$B$12,2)="71"),  IF( AND(E221&gt;=30,E221&lt;=50),1, IF(OR(E221&lt;=10,E221&gt;=70),0, ROUND(  IF(E221&lt;30, E221*'Reference Standards'!$S$533+'Reference Standards'!$S$534,E221*'Reference Standards'!$T$533+'Reference Standards'!$T$534),2))), IF(LEFT('Quantification Tool R2'!$B$12,2)="66",  IF( AND(E221&gt;=20,E221&lt;=45),1, IF(OR(E221&lt;=0,E221&gt;=90),0, ROUND(  IF(E221&lt;20, E221*'Reference Standards'!$S$567+'Reference Standards'!$S$568,E221*'Reference Standards'!$T$567+'Reference Standards'!$T$568),2))), IF(OR(  LEFT('Quantification Tool R2'!$B$12,2)="65", LEFT('Quantification Tool R2'!$B$12,2)="74", LEFT('Quantification Tool R2'!$B$12,2)="73"),  IF( AND(E221&gt;=20,E221&lt;=30),1, IF(OR(E221&lt;=0,E221&gt;=50),0, ROUND(  IF(E221&lt;20, E221*'Reference Standards'!$S$601+'Reference Standards'!$S$602,E221*'Reference Standards'!$T$601+'Reference Standards'!$T$602),2))))))))</f>
        <v/>
      </c>
      <c r="G221" s="529"/>
      <c r="H221" s="567"/>
      <c r="I221" s="555"/>
      <c r="J221" s="559"/>
      <c r="K221" s="555"/>
    </row>
    <row r="222" spans="1:13" ht="15.6" x14ac:dyDescent="0.3">
      <c r="A222" s="520"/>
      <c r="B222" s="521"/>
      <c r="C222" s="62" t="s">
        <v>210</v>
      </c>
      <c r="D222" s="58"/>
      <c r="E222" s="167"/>
      <c r="F222" s="391" t="str">
        <f>IF(E222="","",IF(E222&gt;=1.6,0,IF(E222&lt;=1,1,ROUND('Reference Standards'!$S$633*E222^3+'Reference Standards'!$S$634*E222^2+'Reference Standards'!$S$635*E222+'Reference Standards'!$S$636,2))))</f>
        <v/>
      </c>
      <c r="G222" s="530"/>
      <c r="H222" s="567"/>
      <c r="I222" s="555"/>
      <c r="J222" s="559"/>
      <c r="K222" s="555"/>
    </row>
    <row r="223" spans="1:13" ht="15.6" x14ac:dyDescent="0.3">
      <c r="A223" s="521"/>
      <c r="B223" s="309" t="s">
        <v>55</v>
      </c>
      <c r="C223" s="242" t="s">
        <v>54</v>
      </c>
      <c r="D223" s="243"/>
      <c r="E223" s="163"/>
      <c r="F223" s="342" t="str">
        <f>IF(E223="","",IF(AND('Quantification Tool R2'!B$11="E",'Quantification Tool R2'!$B$14="Sand",'Quantification Tool R2'!$B$21="Unconfined Alluvial"),ROUND(IF(OR(E223&gt;1.8,E223&lt;1.3),0,IF(E223&lt;=1.6,1,E223*'Reference Standards'!S$667+'Reference Standards'!S$668)),2),    IF('Quantification Tool R2'!$B$21="Unconfined Alluvial",ROUND(IF(OR(E223&lt;1.2, E223&gt;1.5),0,IF(E223&lt;=1.4,1,E223*'Reference Standards'!$S$700+'Reference Standards'!$S$701)),2), IF('Quantification Tool R2'!$B$21="Confined Alluvial",ROUND(IF(E223&lt;1.15,0,IF(E223&lt;=1.4,E223*'Reference Standards'!$S$729+'Reference Standards'!$S$730,1)),2),  IF('Quantification Tool R2'!$B$21="Colluvial",ROUND(IF(E223&gt;1.3,0,IF(E223&gt;1.2,E223*'Reference Standards'!$S$760+'Reference Standards'!$S$761,1)),2) )))))</f>
        <v/>
      </c>
      <c r="G223" s="84" t="str">
        <f>IFERROR(AVERAGE(F223),"")</f>
        <v/>
      </c>
      <c r="H223" s="567"/>
      <c r="I223" s="555"/>
      <c r="J223" s="559"/>
      <c r="K223" s="555"/>
      <c r="L223" s="13"/>
    </row>
    <row r="224" spans="1:13" ht="15.6" x14ac:dyDescent="0.3">
      <c r="A224" s="537" t="s">
        <v>58</v>
      </c>
      <c r="B224" s="67" t="s">
        <v>88</v>
      </c>
      <c r="C224" s="70" t="s">
        <v>338</v>
      </c>
      <c r="D224" s="70"/>
      <c r="E224" s="43"/>
      <c r="F224" s="343" t="str">
        <f>IF(E224="","",ROUND(IF(E224&gt;=942,0,IF(E224&lt;=487,E224*'Reference Standards'!AB$15+'Reference Standards'!AB$16,E224*'Reference Standards'!$AC$15+'Reference Standards'!$AC$16)),2))</f>
        <v/>
      </c>
      <c r="G224" s="85" t="str">
        <f>IFERROR(AVERAGE(F224),"")</f>
        <v/>
      </c>
      <c r="H224" s="547" t="str">
        <f>IFERROR(ROUND(AVERAGE(G224:G227),2),"")</f>
        <v/>
      </c>
      <c r="I224" s="534" t="str">
        <f>IF(H224="","",IF(H224&gt;0.69,"Functioning",IF(H224&gt;0.29,"Functioning At Risk",IF(H224&gt;-1,"Not Functioning"))))</f>
        <v/>
      </c>
      <c r="J224" s="559"/>
      <c r="K224" s="555"/>
      <c r="L224" s="13"/>
    </row>
    <row r="225" spans="1:12" ht="15.6" x14ac:dyDescent="0.3">
      <c r="A225" s="538"/>
      <c r="B225" s="306" t="s">
        <v>362</v>
      </c>
      <c r="C225" s="66" t="s">
        <v>354</v>
      </c>
      <c r="D225" s="66"/>
      <c r="E225" s="163"/>
      <c r="F225" s="344" t="str">
        <f>IF(E225="","",IF(OR('Quantification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June")),IF(E225&gt;93,0,IF(E225&lt;13,1,ROUND('Reference Standards'!$AB$53*E225^2+'Reference Standards'!$AB$54*E225+'Reference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R2'!$B$12="73b"),IF(E225&gt;94,0,IF(E225&lt;17,1,ROUND('Reference Standards'!$AC$53*E225^2+'Reference Standards'!$AC$54*E225+'Reference Standards'!$AC$55,2))),    IF(OR(AND(OR('Quantification Tool R2'!$B$12="68b",'Quantification Tool R2'!$B$12="71i"),'Quantification Tool R2'!$B$13&gt;2), 'Quantification Tool R2'!$B$12="71e"),IF(E225&gt;91,0,IF(E225&lt;24,1,ROUND('Reference Standards'!$AD$53*E225^2+'Reference Standards'!$AD$54*E225+'Reference Standards'!$AD$55,2))),  IF(OR(AND(OR('Quantification Tool R2'!$B$12="71f",'Quantification Tool R2'!$B$12="71g",'Quantification Tool R2'!$B$12="71h",'Quantification Tool R2'!$B$12="71i"),'Quantification Tool R2'!$B$13&lt;=2), AND('Quantification Tool R2'!$B$12="74a",'Quantification Tool R2'!$B$13&gt;2)),IF(E225&gt;95,0,IF(E225&lt;=36,1,ROUND('Reference Standards'!$AE$53*E225^2+'Reference Standards'!$AE$54*E225+'Reference Standards'!$AE$55,2))))))))</f>
        <v/>
      </c>
      <c r="G225" s="236" t="str">
        <f>IFERROR(AVERAGE(F225:F225),"")</f>
        <v/>
      </c>
      <c r="H225" s="548"/>
      <c r="I225" s="535"/>
      <c r="J225" s="559"/>
      <c r="K225" s="555"/>
      <c r="L225" s="21"/>
    </row>
    <row r="226" spans="1:12" ht="15.6" x14ac:dyDescent="0.3">
      <c r="A226" s="538"/>
      <c r="B226" s="67" t="s">
        <v>81</v>
      </c>
      <c r="C226" s="68" t="s">
        <v>281</v>
      </c>
      <c r="D226" s="68"/>
      <c r="E226" s="162"/>
      <c r="F226" s="344" t="str">
        <f>IF(E226="","",IF(ISNUMBER('Quantification Tool R2'!$B$13),IF(OR('Quantification Tool R2'!$B$12="66e",'Quantification Tool R2'!$B$12="66f",'Quantification Tool R2'!$B$12="66g"),ROUND(IF(E226&gt;=0.61,0,IF(E226&lt;=0.01,1,IF(E226&lt;=0.06,E226*'Reference Standards'!$AD$197+'Reference Standards'!$AD$198,E226^2*'Reference Standards'!$AB$196+E226*'Reference Standards'!$AB$197+'Reference Standards'!$AB$198))),2),IF('Quantification Tool R2'!$B$12="68b",ROUND(IF(E226&gt;=1.1,0,IF(E226&lt;=0.17,1,IF(E226&lt;=0.22,E226*'Reference Standards'!$AE$197+'Reference Standards'!$AE$198,E226^2*'Reference Standards'!$AC$196+E226*'Reference Standards'!$AC$197+'Reference Standards'!$AC$198))),2),IF('Quantification Tool R2'!$B$13&lt;=2.5,IF('Quantification Tool R2'!$B$12="69de",ROUND(IF(E226&gt;=0.22,0,IF(E226&lt;=0.01,1,E226^2*'Reference Standards'!$AB$90+E226*'Reference Standards'!$AB$91+'Reference Standards'!$AB$92)),2),IF('Quantification Tool R2'!$B$12="68c",ROUND(IF(E226&gt;=0.87,0,IF(E226&lt;=0.01,1,E226^2*'Reference Standards'!$AC$90+E226*'Reference Standards'!$AC$91+'Reference Standards'!$AC$92)),2),IF('Quantification Tool R2'!$B$12="68a",ROUND(IF(E226&gt;=0.81,0,IF(E226&lt;=0.01,1,E226^2*'Reference Standards'!$AD$90+E226*'Reference Standards'!$AD$91+'Reference Standards'!$AD$92)),2),IF('Quantification Tool R2'!$B$12="65abei",ROUND(IF(E226&gt;=0.67,0,IF(E226&lt;=0.01,1,IF(E226&lt;=0.18,E226*'Reference Standards'!$AG$91+'Reference Standards'!$AG$92,E226*'Reference Standards'!$AE$91+'Reference Standards'!$AE$92))),2),IF('Quantification Tool R2'!$B$12="65j",ROUND(IF(E226&gt;=0.32,0,IF(E226&lt;=0.01,1,IF(E226&lt;=0.25,E226*'Reference Standards'!$AH$91+'Reference Standards'!$AH$92,E226*'Reference Standards'!$AF$91+'Reference Standards'!$AF$92))),2),IF('Quantification Tool R2'!$B$12="71f",ROUND(IF(E226&gt;=3,0,IF(E226&lt;=0,1,IF(E226&lt;=0.01,0.7,E226^2*'Reference Standards'!$AB$126+E226*'Reference Standards'!$AB$127+'Reference Standards'!$AB$128))),2),IF('Quantification Tool R2'!$B$12="74a",ROUND(IF(E226&gt;=0.14,0,IF(E226&lt;=0.01,1,IF(E226&lt;=0.02,0.7,E226^2*'Reference Standards'!$AC$126+E226*'Reference Standards'!$AC$127+'Reference Standards'!$AC$128))),2),IF(OR('Quantification Tool R2'!$B$12="67fhi",'Quantification Tool R2'!$B$12="67g"),ROUND(IF(E226&gt;=1.9,0,IF(E226&lt;=0.01,1,IF(E226&lt;=0.05,E226*'Reference Standards'!$AF$127+'Reference Standards'!$AF$128,E226^2*'Reference Standards'!$AD$126+E226*'Reference Standards'!$AD$127+'Reference Standards'!$AD$128))),2),IF('Quantification Tool R2'!$B$12="73a",ROUND(IF(E226&gt;=1.44,0,IF(E226&lt;=0.01,1,IF(E226&lt;=0.12,E226*'Reference Standards'!$AG$127+'Reference Standards'!$AG$128,E226^2*'Reference Standards'!$AE$126+E226*'Reference Standards'!$AE$127+'Reference Standards'!$AE$128))),2),IF('Quantification Tool R2'!$B$12="66d",ROUND(IF(E226&gt;=0.46,0,IF(E226&lt;=0.02,1,IF(E226&lt;=0.08,E226*'Reference Standards'!$AF$163+'Reference Standards'!$AF$164,E226^2*'Reference Standards'!$AB$162+E226*'Reference Standards'!$AB$163+'Reference Standards'!$AB$164))),2),IF(OR('Quantification Tool R2'!$B$12="71g",'Quantification Tool R2'!$B$12="71h",'Quantification Tool R2'!$B$12="71i"),ROUND(IF(E226&gt;=3,0,IF(E226&lt;=0.06,1,IF(E226&lt;=0.24,E226*'Reference Standards'!$AG$163+'Reference Standards'!$AG$164,E226^2*'Reference Standards'!$AC$162+E226*'Reference Standards'!$AC$163+'Reference Standards'!$AC$164))),2),IF('Quantification Tool R2'!$B$12="74b",ROUND(IF(E226&gt;=1.3,0,IF(E226&lt;=0.29,1,IF(E226&lt;=0.48,E226*'Reference Standards'!$AH$163+'Reference Standards'!$AH$164,E226^2*'Reference Standards'!$AD$162+E226*'Reference Standards'!$AD$163+'Reference Standards'!$AD$164))),2),IF('Quantification Tool R2'!$B$12="71e",ROUND(IF(E226&gt;=4.3,0,IF(E226&lt;=0.53,1,IF(E226&lt;=0.67,E226*'Reference Standards'!$AI$163+'Reference Standards'!$AI$164,E226^2*'Reference Standards'!$AE$162+E226*'Reference Standards'!$AE$163+'Reference Standards'!$AE$164))),2)))))))))))))),IF('Quantification Tool R2'!$B$13&gt;2.5,IF('Quantification Tool R2'!$B$12="73a",ROUND(IF(E226&gt;=0.55,0,IF(E226&lt;=0,1,E226^2*'Reference Standards'!$AB$232+E226*'Reference Standards'!$AB$233+'Reference Standards'!$AB$234)),2),IF('Quantification Tool R2'!$B$12="68a",ROUND(IF(E226&gt;=0.54,0,IF(E226&lt;=0,1,IF(E226&lt;=0.01,0.85,E226^2*'Reference Standards'!$AC$232+E226*'Reference Standards'!$AC$233+'Reference Standards'!$AC$234))),2),IF('Quantification Tool R2'!$B$12="74a",ROUND(IF(E226&gt;=0.47,0,IF(E226&lt;=0.01,1,IF(E226&lt;=0.02,0.7,E226^2*'Reference Standards'!$AD$232+E226*'Reference Standards'!$AD$233+'Reference Standards'!$AD$234))),2),IF('Quantification Tool R2'!$B$12="69de",ROUND(IF(E226&gt;=0.26,0,IF(E226&lt;=0.01,1,IF(E226&lt;=0.02,0.85,E226^2*'Reference Standards'!$AE$232+E226*'Reference Standards'!$AE$233+'Reference Standards'!$AE$234))),2),IF('Quantification Tool R2'!$B$12="71f",ROUND(IF(E226&gt;=0.87,0,IF(E226&lt;=0.01,1,IF(E226&lt;=0.04,E226*'Reference Standards'!$AF$269+'Reference Standards'!$AF$270,E226^2*'Reference Standards'!$AB$268+E226*'Reference Standards'!$AB$269+'Reference Standards'!$AB$270))),2),IF('Quantification Tool R2'!$B$12="65abei",ROUND(IF(E226&gt;=0.82,0,IF(E226&lt;=0.01,1,IF(E226&lt;=0.06,E226*'Reference Standards'!$AG$269+'Reference Standards'!$AG$270,E226^2*'Reference Standards'!$AC$268+E226*'Reference Standards'!$AC$269+'Reference Standards'!$AC$270))),2),IF('Quantification Tool R2'!$B$12="65j",ROUND(IF(E226&gt;=0.33,0,IF(E226&lt;=0.03,1,IF(E226&lt;=0.09,E226*'Reference Standards'!$AH$269+'Reference Standards'!$AH$270,E226^2*'Reference Standards'!$AD$268+E226*'Reference Standards'!$AD$269+'Reference Standards'!$AD$270))),2),IF('Quantification Tool R2'!$B$12="68c",ROUND(IF(E226&gt;=0.7,0,IF(E226&lt;=0.07,1,IF(E226&lt;=0.12,E226*'Reference Standards'!$AI$269+'Reference Standards'!$AI$270,E226^2*'Reference Standards'!$AE$268+E226*'Reference Standards'!$AE$269+'Reference Standards'!$AE$270))),2),IF(OR('Quantification Tool R2'!$B$12="67fhi",'Quantification Tool R2'!$B$12="67g"),ROUND(IF(E226&gt;=1.8,0,IF(E226&lt;=0.08,1,IF(E226&lt;=0.2,E226*'Reference Standards'!$AF$306+'Reference Standards'!$AF$307,E226^2*'Reference Standards'!$AB$305+E226*'Reference Standards'!$AB$306+'Reference Standards'!$AB$307))),2),IF('Quantification Tool R2'!$B$12="74b",ROUND(IF(E226&gt;=0.96,0,IF(E226&lt;=0.12,1,IF(E226&lt;=0.16,E226*'Reference Standards'!$AG$306+'Reference Standards'!$AG$307,E226^2*'Reference Standards'!$AC$305+E226*'Reference Standards'!$AC$306+'Reference Standards'!$AC$307))),2),IF('Quantification Tool R2'!$B$12="66d",ROUND(IF(E226&gt;=0.75,0,IF(E226&lt;=0.13,1,IF(E226&lt;=0.2,E226*'Reference Standards'!$AH$306+'Reference Standards'!$AH$307,E226^2*'Reference Standards'!$AD$305+E226*'Reference Standards'!$AD$306+'Reference Standards'!$AD$307))),2),IF(OR('Quantification Tool R2'!$B$12="71g",'Quantification Tool R2'!$B$12="71h",'Quantification Tool R2'!$B$12="71i"),ROUND(IF(E226&gt;=1.68,0,IF(E226&lt;=0.08,1,IF(E226&lt;=0.23,E226*'Reference Standards'!$AI$306+'Reference Standards'!$AI$307,E226^2*'Reference Standards'!$AE$305+E226*'Reference Standards'!$AE$306+'Reference Standards'!$AE$307))),2),IF('Quantification Tool R2'!$B$12="71e",ROUND(IF(E226&gt;=5.3,0,IF(E226&lt;=0.94,1,IF(E226&lt;=1.4,E226*'Reference Standards'!$AF$310+'Reference Standards'!$AF$311,E226^2*'Reference Standards'!$AB$309+E226*'Reference Standards'!$AB$310+'Reference Standards'!$AB$311))),2))))))))))))))))))))</f>
        <v/>
      </c>
      <c r="G226" s="86" t="str">
        <f>IFERROR(AVERAGE(F226),"")</f>
        <v/>
      </c>
      <c r="H226" s="548"/>
      <c r="I226" s="535"/>
      <c r="J226" s="559"/>
      <c r="K226" s="555"/>
      <c r="L226" s="21"/>
    </row>
    <row r="227" spans="1:12" ht="15.6" x14ac:dyDescent="0.3">
      <c r="A227" s="539"/>
      <c r="B227" s="307" t="s">
        <v>82</v>
      </c>
      <c r="C227" s="66" t="s">
        <v>280</v>
      </c>
      <c r="D227" s="66"/>
      <c r="E227" s="136"/>
      <c r="F227" s="343" t="str">
        <f>IF(E227="","",IF(ISNUMBER('Quantification Tool R2'!$B$13),IF('Quantification Tool R2'!$B$13&gt;2.5,IF(OR('Quantification Tool R2'!$B$12="71h",'Quantification Tool R2'!$B$12="71i",'Quantification Tool R2'!$B$12="73a",'Quantification Tool R2'!$B$12="74a"),IF(E227&lt;=0.01,1,IF(OR('Quantification Tool R2'!$B$12="71h",'Quantification Tool R2'!$B$12="71i"),IF(E227&gt;0.37,0,ROUND(IF(E227&gt;0.03,'Reference Standards'!$AB$425*E227^2+'Reference Standards'!$AB$426*E227+'Reference Standards'!$AB$427,'Reference Standards'!$AF$426*E227+'Reference Standards'!$AF$427),2)),IF('Quantification Tool R2'!$B$12="73a",IF(E227&gt;0.405,0,ROUND(IF(E227&gt;0.046,'Reference Standards'!$AC$425*E227^2+'Reference Standards'!$AC$426*E227+'Reference Standards'!$AC$427,'Reference Standards'!$AG$426*E227+'Reference Standards'!$AG$427),2)),IF('Quantification Tool R2'!$B$12="74a",IF(E227&gt;0.3,0,ROUND(IF(E227&gt;0.052,'Reference Standards'!$AD$425*E227^2+'Reference Standards'!$AD$426*E227+'Reference Standards'!$AD$427,'Reference Standards'!$AH$426*E227+'Reference Standards'!$AH$427),2)))))),IF(E227&lt;=0.002,1,IF(OR('Quantification Tool R2'!$B$12="66d",'Quantification Tool R2'!$B$12="66e",'Quantification Tool R2'!$B$12="66g"),IF(E227&gt;0.053,0,ROUND(E227^2*'Reference Standards'!$AB$347+E227*'Reference Standards'!$AB$348+'Reference Standards'!$AB$349,2)),IF('Quantification Tool R2'!$B$12="68b",IF(E227&gt;0.05,0,ROUND(E227^2*'Reference Standards'!$AC$347+E227*'Reference Standards'!$AC$348+'Reference Standards'!$AC$349,2)),IF(OR('Quantification Tool R2'!$B$12="68a",'Quantification Tool R2'!$B$12="68c"),IF(E227&gt;0.07,0,ROUND(E227^2*'Reference Standards'!$AD$347+E227*'Reference Standards'!$AD$348+'Reference Standards'!$AD$349,2)),IF(OR('Quantification Tool R2'!$B$12="71f",'Quantification Tool R2'!$B$12="71g"),IF(E227&gt;0.13,0,ROUND(IF(E227&gt;0.042,E227*'Reference Standards'!$AE$348+'Reference Standards'!$AE$349,E227*'Reference Standards'!$AF$348+'Reference Standards'!$AF$349),2)),IF('Quantification Tool R2'!$B$12="67fhi",IF(E227&gt;0.16,0,ROUND(E227^2*'Reference Standards'!$AG$347+E227*'Reference Standards'!$AG$348+'Reference Standards'!$AG$349,2)),IF('Quantification Tool R2'!$B$12="65j",IF(E227&gt;0.035,0,ROUND(IF(E227&lt;=0.003,0.7,E227^2*'Reference Standards'!$AB$387+E227*'Reference Standards'!$AB$388+'Reference Standards'!$AB$389),2)),IF('Quantification Tool R2'!$B$12="69de",IF(E227&gt;0.037,0,ROUND(IF(E227&lt;=0.003,0.7,E227^2*'Reference Standards'!$AC$387+E227*'Reference Standards'!$AC$388+'Reference Standards'!$AC$389),2)),IF('Quantification Tool R2'!$B$12="71e",IF(E227&gt;0.23,0,ROUND(IF(E227&lt;=0.003,0.7,E227^2*'Reference Standards'!$AD$387+E227*'Reference Standards'!$AD$388+'Reference Standards'!$AD$389),2)),IF('Quantification Tool R2'!$B$12="66f",IF(E227&gt;0.06,0,ROUND(IF(E227&lt;=0.003,0.85,IF(E227&lt;=0.004,0.7,E227^2*'Reference Standards'!$AE$387+E227*'Reference Standards'!$AE$388+'Reference Standards'!$AE$389)),2)),IF('Quantification Tool R2'!$B$12="67g",IF(E227&gt;0.11,0,ROUND(IF(E227&lt;=0.01,E227*'Reference Standards'!$AH$388+'Reference Standards'!$AH$389,E227^2*'Reference Standards'!$AF$387+E227*'Reference Standards'!$AF$388+'Reference Standards'!$AF$389),2)),IF('Quantification Tool R2'!$B$12="74b",IF(E227&gt;0.49,0,ROUND(IF(E227&lt;=0.01,E227*'Reference Standards'!$AH$388+'Reference Standards'!$AH$389,E227^2*'Reference Standards'!$AG$387+E227*'Reference Standards'!$AG$388+'Reference Standards'!$AG$389),2)),IF('Quantification Tool R2'!$B$12="65abei",IF(E227&gt;0.199,0,ROUND(IF(E227&lt;=0.01,E227*'Reference Standards'!$AI$426+'Reference Standards'!$AI$427,E227^2*'Reference Standards'!$AE$425+E227*'Reference Standards'!$AE$426+'Reference Standards'!$AE$427),2)))))))))))))))),IF('Quantification Tool R2'!$B$13&lt;=2.5,IF(OR('Quantification Tool R2'!$B$12="66d",'Quantification Tool R2'!$B$12="66e",'Quantification Tool R2'!$B$12="66g"),IF(E227&gt;0.05,0,ROUND(IF(E227&lt;=0.002,1,IF(E227&lt;=0.005,E227*'Reference Standards'!$AF$464+'Reference Standards'!$AF$465,E227^2*'Reference Standards'!$AB$463+E227*'Reference Standards'!$AB$464+'Reference Standards'!$AB$465)),2)),IF('Quantification Tool R2'!$B$12="67fhi",IF(E227&gt;0.1,0,ROUND(IF(E227&lt;=0.002,1,IF(E227&lt;=0.006,E227*'Reference Standards'!$AG$464+'Reference Standards'!$AG$465,E227^2*'Reference Standards'!$AC$463+E227*'Reference Standards'!$AC$464+'Reference Standards'!$AC$465)),2)),IF('Quantification Tool R2'!$B$12="65abei",IF(E227&gt;0.13,0,ROUND(IF(E227&lt;=0.003,1,IF(E227&lt;=0.008,E227*'Reference Standards'!$AH$464+'Reference Standards'!$AH$465,E227^2*'Reference Standards'!$AD$463+E227*'Reference Standards'!$AD$464+'Reference Standards'!$AD$465)),2)),IF('Quantification Tool R2'!$B$12="68b",IF(E227&gt;0.043,0,ROUND(IF(E227&lt;=0.004,1,IF(E227&lt;=0.005,0.7,E227^2*'Reference Standards'!$AE$463+E227*'Reference Standards'!$AE$464+'Reference Standards'!$AE$465)),2)),IF('Quantification Tool R2'!$B$12="69de",IF(E227&gt;=0.034,0,ROUND(IF(E227&lt;=0.003,1,IF(E227&lt;=0.006,E227*'Reference Standards'!$AG$500+'Reference Standards'!$AG$501,E227*'Reference Standards'!$AB$500+'Reference Standards'!$AB$501)),2)),IF(OR('Quantification Tool R2'!$B$12="68a",'Quantification Tool R2'!$B$12="68c"),IF(E227&gt;0.202,0,ROUND(IF(E227&lt;=0.003,1,IF(E227&lt;=0.006,E227*'Reference Standards'!$AG$500+'Reference Standards'!$AG$501,IF(E227&gt;=0.04,E227*'Reference Standards'!$AC$500+'Reference Standards'!$AC$501,E227*'Reference Standards'!$AE$500+'Reference Standards'!$AE$501))),2)),IF(OR('Quantification Tool R2'!$B$12="71f",'Quantification Tool R2'!$B$12="71g"),IF(E227&gt;0.631,0,ROUND(IF(E227&lt;=0.003,1,IF(E227&lt;=0.006,E227*'Reference Standards'!$AG$500+'Reference Standards'!$AG$501,IF(E227&gt;=0.17,E227*'Reference Standards'!$AD$500+'Reference Standards'!$AD$501,E227*'Reference Standards'!$AF$500+'Reference Standards'!$AF$501))),2)),IF('Quantification Tool R2'!$B$12="71e",IF(E227&gt;1.23,0,ROUND(IF(E227&lt;=0.004,1,IF(E227&lt;=0.006,E227*'Reference Standards'!$AF$538+'Reference Standards'!$AF$539,E227^2*'Reference Standards'!$AB$537+E227*'Reference Standards'!$AB$538+'Reference Standards'!$AB$539)),2)),IF('Quantification Tool R2'!$B$12="67g",IF(E227&gt;0.11,0,ROUND(IF(E227&lt;=0.006,1,IF(E227&lt;=0.011,E227*'Reference Standards'!$AG$538+'Reference Standards'!$AG$539,E227^2*'Reference Standards'!$AC$537+E227*'Reference Standards'!$AC$538+'Reference Standards'!$AC$539)),2)),IF('Quantification Tool R2'!$B$12="65j",IF(E227&gt;0.046,0,ROUND(IF(E227&lt;=0.007,1,IF(E227&lt;=0.012,E227*'Reference Standards'!$AH$538+'Reference Standards'!$AH$539,E227^2*'Reference Standards'!$AD$537+E227*'Reference Standards'!$AD$538+'Reference Standards'!$AD$539)),2)),IF('Quantification Tool R2'!$B$12="66f",IF(E227&gt;0.081,0,ROUND(IF(E227&lt;=0.008,1,IF(E227&lt;=0.011,E227*'Reference Standards'!$AI$538+'Reference Standards'!$AI$539,E227^2*'Reference Standards'!$AE$537+E227*'Reference Standards'!$AE$538+'Reference Standards'!$AE$539)),2)),IF(OR('Quantification Tool R2'!$B$12="71h",'Quantification Tool R2'!$B$12="71i"),IF(E227&gt;0.37,0,ROUND(IF(E227&lt;=0.013,1,IF(E227&lt;=0.032,E227*'Reference Standards'!$AH$576+'Reference Standards'!$AH$577,IF(E227&lt;=0.3,E227*'Reference Standards'!$AF$576+'Reference Standards'!$AF$577,E227*'Reference Standards'!$AB$576+'Reference Standards'!$AB$577))),2)),IF('Quantification Tool R2'!$B$12="73a",IF(E227&gt;0.448,0,ROUND(IF(E227&lt;=0.071,1,IF(E227&lt;=0.086,E227*'Reference Standards'!$AJ$576+'Reference Standards'!$AJ$577,IF(E227&lt;=0.165,E227*'Reference Standards'!$AG$576+'Reference Standards'!$AG$577,E227*'Reference Standards'!$AE$576+'Reference Standards'!$AE$577))),2)),IF('Quantification Tool R2'!$B$12="74b",IF(E227&gt;0.43,0,ROUND(IF(E227&lt;=0.018,1,IF(E227&lt;=0.019,0.85,IF(E227&lt;=0.02,0.7,E227^2*'Reference Standards'!$AC$575+E227*'Reference Standards'!$AC$576+'Reference Standards'!$AC$577))),2)),IF('Quantification Tool R2'!$B$12="74a",IF(E227&gt;0.217,0,ROUND(IF(E227&lt;=0.02,1,IF(E227&lt;=0.033,E227*'Reference Standards'!$AI$576+'Reference Standards'!$AI$577,E227^2*'Reference Standards'!$AD$575+E227*'Reference Standards'!$AD$576+'Reference Standards'!$AD$577)),2)))))))))))))))))))))</f>
        <v/>
      </c>
      <c r="G227" s="87" t="str">
        <f>IFERROR(AVERAGE(F227),"")</f>
        <v/>
      </c>
      <c r="H227" s="549"/>
      <c r="I227" s="536"/>
      <c r="J227" s="559"/>
      <c r="K227" s="555"/>
      <c r="L227" s="21"/>
    </row>
    <row r="228" spans="1:12" ht="15.6" x14ac:dyDescent="0.3">
      <c r="A228" s="550" t="s">
        <v>59</v>
      </c>
      <c r="B228" s="560" t="s">
        <v>340</v>
      </c>
      <c r="C228" s="125" t="s">
        <v>331</v>
      </c>
      <c r="D228" s="126"/>
      <c r="E228" s="166"/>
      <c r="F228" s="345" t="str">
        <f>IF(E228="","",IF(OR('Quantification Tool R2'!B$12="73a",'Quantification Tool R2'!B$12="73b"),IF(E228&lt;1,0,IF(E228&gt;=30,1,ROUND(IF(E228&lt;22,'Reference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531" t="str">
        <f>IFERROR(AVERAGE(F228:F231),"")</f>
        <v/>
      </c>
      <c r="H228" s="568" t="str">
        <f>IFERROR(ROUND(AVERAGE(G228:G233),2),"")</f>
        <v/>
      </c>
      <c r="I228" s="519" t="str">
        <f>IF(H228="","",IF(H228&gt;0.69,"Functioning",IF(H228&gt;0.29,"Functioning At Risk",IF(H228&gt;-1,"Not Functioning"))))</f>
        <v/>
      </c>
      <c r="J228" s="559"/>
      <c r="K228" s="555"/>
      <c r="L228" s="21"/>
    </row>
    <row r="229" spans="1:12" ht="15.6" x14ac:dyDescent="0.3">
      <c r="A229" s="556"/>
      <c r="B229" s="561"/>
      <c r="C229" s="174" t="s">
        <v>335</v>
      </c>
      <c r="D229" s="175"/>
      <c r="E229" s="165"/>
      <c r="F229" s="346" t="str">
        <f>IF(E229="","",IF(AND('Quantification Tool R2'!$B$12="74b",'Quantification Tool R2'!$B$13&lt;=2),IF(E229&lt;0,0,IF(E229&gt;15.6,0.69,ROUND('Reference Standards'!$AL$54*E229^2+'Reference Standards'!$AL$55*E229+'Reference Standards'!$AL$56,2))),IF(AND('Quantification Tool R2'!$B$12="65abei",'Quantification Tool R2'!$B$13&lt;=2),IF(E229&lt;0,0,IF(E229&gt;=20,0.69,ROUND('Reference Standards'!$AM$54*E229^2+'Reference Standards'!$AM$55*E229+'Reference Standards'!$AM$56,2))),IF(OR(AND('Quantification Tool R2'!$B$12="74a",'Quantification Tool R2'!$B$13&gt;2,'Quantification Tool R2'!$B$19="January - June"),AND('Quantification Tool R2'!$B$12="71i",'Quantification Tool R2'!$B$13&gt;2,'Quantification Tool R2'!$B$20="SQBANK")),IF(E229&lt;0,0,IF(E229&gt;24.7,0.69,ROUND('Reference Standards'!$AN$54*E229^2+'Reference Standards'!$AN$55*E229+'Reference Standards'!$AN$56,2))),IF(OR('Quantification Tool R2'!$B$12="74b",'Quantification Tool R2'!$B$12="65abei"),IF(E229&lt;0,0,IF(E229&gt;32.7,0.69,ROUND('Reference Standards'!$AO$54*E229^2+'Reference Standards'!$AO$55*E229+'Reference Standards'!$AO$56,2))),IF(AND('Quantification Tool R2'!$B$12="68b",'Quantification Tool R2'!$B$13&gt;2),IF(E229&lt;0,0,IF(E229&gt;41.2,0.69,ROUND('Reference Standards'!$AP$54*E229^2+'Reference Standards'!$AP$55*E229+'Reference Standards'!$AP$56,2))),IF(OR(AND('Quantification Tool R2'!$B$12="71i",'Quantification Tool R2'!$B$13&lt;=2),AND(OR('Quantification Tool R2'!$B$12="68c",'Quantification Tool R2'!$B$12="68d"),'Quantification Tool R2'!$B$19="January - June")),IF(E229&lt;0,0,IF(E229&gt;49.2,0.69,ROUND('Reference Standards'!$AL$94*E229^2+'Reference Standards'!$AL$95*E229+'Reference Standards'!$AL$96,2))),IF(OR(AND('Quantification Tool R2'!$B$12="68a",'Quantification Tool R2'!$B$19="January - June"),AND(OR('Quantification Tool R2'!$B$12="68c",'Quantification Tool R2'!$B$12="68d"),'Quantification Tool R2'!$B$19="July - December")),IF(E229&lt;0,0,IF(E229&gt;53.4,0.69,ROUND('Reference Standards'!$AM$94*E229^2+'Reference Standards'!$AM$95*E229+'Reference Standards'!$AM$96,2))),IF(OR(AND('Quantification Tool R2'!$B$12="71i",'Quantification Tool R2'!$B$13&gt;2,'Quantification Tool R2'!$B$20="SQKICK"),AND(OR('Quantification Tool R2'!$B$12="67fhi",'Quantification Tool R2'!$B$12="67g"),'Quantification Tool R2'!$B$13&lt;=2),'Quantification Tool R2'!$B$12="65j"),IF(E229&lt;0,0,IF(E229&gt;57.8,0.69,ROUND('Reference Standards'!$AN$94*E229^2+'Reference Standards'!$AN$95*E229+'Reference Standards'!$AN$96,2))),IF(OR(AND('Quantification Tool R2'!$B$12="74a",'Quantification Tool R2'!$B$13&gt;2,'Quantification Tool R2'!$B$19="July - December"),AND(OR('Quantification Tool R2'!$B$12="67fhi",'Quantification Tool R2'!$B$12="67g"),'Quantification Tool R2'!$B$13&gt;2),'Quantification Tool R2'!$B$12="69de"),IF(E229&lt;0,0,IF(E229&gt;62.5,0.69,ROUND('Reference Standards'!$AO$94*E229^2+'Reference Standards'!$AO$95*E229+'Reference Standards'!$AO$96,2))),  IF(OR('Quantification Tool R2'!$B$12="66d",'Quantification Tool R2'!$B$12="66e",'Quantification Tool R2'!$B$12="66ik",'Quantification Tool R2'!$B$12="71e",'Quantification Tool R2'!$B$12="71f",'Quantification Tool R2'!$B$12="71g",'Quantification Tool R2'!$B$12="71h"),IF(E229&lt;0,0,IF(E229&gt;66.5,0.69,ROUND('Reference Standards'!$AP$94*E229^2+'Reference Standards'!$AP$95*E229+'Reference Standards'!$AP$96,2))),IF(OR('Quantification Tool R2'!$B$12="66f",'Quantification Tool R2'!$B$12="66g",'Quantification Tool R2'!$B$12="66j",AND('Quantification Tool R2'!$B$12="68a",'Quantification Tool R2'!$B$19="July - December")), IF(E229&lt;0,0,IF(E229&gt;69,0.69,ROUND('Reference Standards'!$AQ$94*E229^2+'Reference Standards'!$AQ$95*E229+'Reference Standards'!$AQ$96,2))))   )))))))))))</f>
        <v/>
      </c>
      <c r="G229" s="531"/>
      <c r="H229" s="568"/>
      <c r="I229" s="519"/>
      <c r="J229" s="559"/>
      <c r="K229" s="555"/>
      <c r="L229" s="21"/>
    </row>
    <row r="230" spans="1:12" ht="15.6" x14ac:dyDescent="0.3">
      <c r="A230" s="556"/>
      <c r="B230" s="561"/>
      <c r="C230" s="174" t="s">
        <v>339</v>
      </c>
      <c r="D230" s="175"/>
      <c r="E230" s="165"/>
      <c r="F230" s="346" t="str">
        <f>IF(E230="","",IF(AND('Quantification Tool R2'!$B$12="74b",'Quantification Tool R2'!$B$13&lt;=2),IF(E230&lt;0,0,IF(E230&gt;8.1,0.69,ROUND('Reference Standards'!$AL$131*E230^2+'Reference Standards'!$AL$132*E230+'Reference Standards'!$AL$133,2))),IF(OR('Quantification Tool R2'!$B$12="73a",'Quantification Tool R2'!$B$12="73b"),IF(E230&lt;0,0,IF(E230&gt;=28,0.69,ROUND('Reference Standards'!$AM$131*E230^2+'Reference Standards'!$AM$132*E230+'Reference Standards'!$AM$133,2))),IF(AND('Quantification Tool R2'!$B$12="74a",'Quantification Tool R2'!$B$13&gt;2,'Quantification Tool R2'!$B$19="January - June"),IF(E230&lt;0,0,IF(E230&gt;=32.5,0.69,ROUND('Reference Standards'!$AN$131*E230^2+'Reference Standards'!$AN$132*E230+'Reference Standards'!$AN$133,2))),IF(AND('Quantification Tool R2'!$B$12="71i",'Quantification Tool R2'!$B$13&gt;2,'Quantification Tool R2'!$B$20="SQBANK"),IF(E230&lt;0,0,IF(E230&gt;=37,0.69,ROUND('Reference Standards'!$AO$131*E230^2+'Reference Standards'!$AO$132*E230+'Reference Standards'!$AO$133,2))),IF(OR(AND(OR('Quantification Tool R2'!$B$12="65abei",'Quantification Tool R2'!$B$12="74b"),'Quantification Tool R2'!$B$13&gt;2),AND('Quantification Tool R2'!$B$12="71i",'Quantification Tool R2'!$B$13&gt;2,'Quantification Tool R2'!$B$20="SQKICK")),IF(E230&lt;0,0,IF(E230&gt;42.6,0.69,ROUND('Reference Standards'!$AP$131*E230^2+'Reference Standards'!$AP$132*E230+'Reference Standards'!$AP$133,2))),     IF(OR(AND('Quantification Tool R2'!$B$12="65abei",'Quantification Tool R2'!$B$13&lt;=2),AND(OR('Quantification Tool R2'!$B$12="68c",'Quantification Tool R2'!$B$12="68d"),'Quantification Tool R2'!$B$19="July - December"),'Quantification Tool R2'!$B$12="71e"),IF(E230&lt;0,0,IF(E230&gt;=48,0.69,ROUND('Reference Standards'!$AL$171*E230^2+'Reference Standards'!$AL$172*E230+'Reference Standards'!$AL$173,2))),IF(OR('Quantification Tool R2'!$B$12="65j",'Quantification Tool R2'!$B$12="67fhi",'Quantification Tool R2'!$B$12="67g",AND('Quantification Tool R2'!$B$12="74a",'Quantification Tool R2'!$B$19="July - December",'Quantification Tool R2'!$B$13&gt;2),AND('Quantification Tool R2'!$B$12="71i",'Quantification Tool R2'!$B$13&lt;=2)),IF(E230&lt;0,0,IF(E230&gt;=53,0.69,ROUND('Reference Standards'!$AM$171*E230^2+'Reference Standards'!$AM$172*E230+'Reference Standards'!$AM$173,2))),IF(OR(AND(OR('Quantification Tool R2'!$B$12="68b",'Quantification Tool R2'!$B$12="71f",'Quantification Tool R2'!$B$12="71g",'Quantification Tool R2'!$B$12="71h"),'Quantification Tool R2'!$B$13&gt;2),'Quantification Tool R2'!$B$12="68a"),IF(E230&lt;0,0,IF(E230&gt;=57,0.69,ROUND('Reference Standards'!$AN$171*E230^2+'Reference Standards'!$AN$172*E230+'Reference Standards'!$AN$173,2))),IF(OR('Quantification Tool R2'!$B$12="66f",'Quantification Tool R2'!$B$12="66g",'Quantification Tool R2'!$B$12="66j",AND(OR('Quantification Tool R2'!$B$12="71f",'Quantification Tool R2'!$B$12="71g",'Quantification Tool R2'!$B$12="71h"),'Quantification Tool R2'!$B$13&lt;=2)),IF(E230&lt;0,0,IF(E230&gt;=60,0.69,ROUND('Reference Standards'!$AO$171*E230^2+'Reference Standards'!$AO$172*E230+'Reference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December")),IF(E230&lt;0,0,IF(E230&gt;=67.5,0.69,ROUND('Reference Standards'!$AP$171*E230^2+'Reference Standards'!$AP$172*E230+'Reference Standards'!$AP$173,2))),IF(AND('Quantification Tool R2'!$B$12="69de",'Quantification Tool R2'!$B$19="January - June"), IF(E230&lt;0,0,IF(E230&gt;=72,0.69,ROUND('Reference Standards'!$AQ$171*E230^2+'Reference Standards'!$AQ$172*E230+'Reference Standards'!$AQ$173,2))))   )))))))))))</f>
        <v/>
      </c>
      <c r="G230" s="531"/>
      <c r="H230" s="568"/>
      <c r="I230" s="519"/>
      <c r="J230" s="559"/>
      <c r="K230" s="555"/>
      <c r="L230" s="21"/>
    </row>
    <row r="231" spans="1:12" ht="15.6" x14ac:dyDescent="0.3">
      <c r="A231" s="556"/>
      <c r="B231" s="562"/>
      <c r="C231" s="127" t="s">
        <v>336</v>
      </c>
      <c r="D231" s="71"/>
      <c r="E231" s="167"/>
      <c r="F231" s="346" t="str">
        <f>IF(E231="","",IF(OR('Quantification Tool R2'!$B$12="67fhi",'Quantification Tool R2'!$B$12="67g",'Quantification Tool R2'!$B$12="71e",'Quantification Tool R2'!$B$12="73a",'Quantification Tool R2'!$B$12="73b",AND(OR('Quantification Tool R2'!$B$12="71f",'Quantification Tool R2'!$B$12="71g",'Quantification Tool R2'!$B$12="71h"),'Quantification Tool R2'!$B$13&gt;2)),IF(E231&gt;100,0,IF(E231&lt;15,0.69,ROUND('Reference Standards'!$AL$208*E231^2+'Reference Standards'!$AL$209*E231+'Reference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),IF(E231&gt;100,0,IF(E231&lt;19,0.69,ROUND('Reference Standards'!$AM$208*E231^2+'Reference Standards'!$AM$209*E231+'Reference Standards'!$AM$210,2))),    IF(OR(AND('Quantification Tool R2'!$B$12="69de",'Quantification Tool R2'!$B$19="January - June"),AND('Quantification Tool R2'!$B$12="71i",'Quantification Tool R2'!$B$13&gt;2,'Quantification Tool R2'!$B$20="SQKICK" )),IF(E231&gt;100,0,IF(E231&lt;22,0.69,ROUND('Reference Standards'!$AN$208*E231^2+'Reference Standards'!$AN$209*E231+'Reference Standards'!$AN$210,2))),    IF(OR('Quantification Tool R2'!$B$12="65j",AND('Quantification Tool R2'!$B$12="68b",'Quantification Tool R2'!$B$13&gt;2)),IF(E231&gt;100,0,IF(E231&lt;24,0.69,ROUND('Reference Standards'!$AO$208*E231^2+'Reference Standards'!$AO$209*E231+'Reference Standards'!$AO$210,2))),    IF(AND(OR('Quantification Tool R2'!$B$12="65abei",'Quantification Tool R2'!$B$12="71f",'Quantification Tool R2'!$B$12="71g",'Quantification Tool R2'!$B$12="71h"),'Quantification Tool R2'!$B$13&lt;=2),IF(E231&gt;95,0,IF(E231&lt;33,0.69,ROUND('Reference Standards'!$AL$246*E231^2+'Reference Standards'!$AL$247*E231+'Reference Standards'!$AL$248,2))),   IF(AND(OR('Quantification Tool R2'!$B$12="65abei",'Quantification Tool R2'!$B$12="74b"),'Quantification Tool R2'!$B$13&gt;2),IF(E231&gt;97,0,IF(E231&lt;36,0.69,ROUND('Reference Standards'!$AM$246*E231^2+'Reference Standards'!$AM$247*E231+'Reference Standards'!$AM$248,2))),  IF(AND('Quantification Tool R2'!$B$12="74a",'Quantification Tool R2'!$B$19="January - June",'Quantification Tool R2'!$B$13&gt;2),IF(E231&gt;93,0,IF(E231&lt;52,0.69,ROUND('Reference Standards'!$AN$246*E231^2+'Reference Standards'!$AN$247*E231+'Reference Standards'!$AN$248,2))),   IF(AND('Quantification Tool R2'!$B$12="74b",'Quantification Tool R2'!$B$13&lt;=2),IF(E231&gt;97,0,IF(E231&lt;62,0.69,ROUND('Reference Standards'!$AO$246*E231^2+'Reference Standards'!$AO$247*E231+'Reference Standards'!$AO$248,2)))  )))))))))</f>
        <v/>
      </c>
      <c r="G231" s="531"/>
      <c r="H231" s="568"/>
      <c r="I231" s="519"/>
      <c r="J231" s="559"/>
      <c r="K231" s="555"/>
      <c r="L231" s="21"/>
    </row>
    <row r="232" spans="1:12" ht="15.6" x14ac:dyDescent="0.3">
      <c r="A232" s="556"/>
      <c r="B232" s="563" t="s">
        <v>74</v>
      </c>
      <c r="C232" s="125" t="s">
        <v>211</v>
      </c>
      <c r="D232" s="126"/>
      <c r="E232" s="166"/>
      <c r="F232" s="345" t="str">
        <f>IF(E232="","",IF(E232=1,0.15,IF(E232=3,0.5,IF(E232=5,0.85,0))))</f>
        <v/>
      </c>
      <c r="G232" s="564" t="str">
        <f>IFERROR(AVERAGE(F232:F233),"")</f>
        <v/>
      </c>
      <c r="H232" s="568"/>
      <c r="I232" s="519"/>
      <c r="J232" s="559"/>
      <c r="K232" s="555"/>
      <c r="L232" s="21"/>
    </row>
    <row r="233" spans="1:12" ht="15.6" x14ac:dyDescent="0.3">
      <c r="A233" s="551"/>
      <c r="B233" s="563"/>
      <c r="C233" s="127" t="s">
        <v>332</v>
      </c>
      <c r="D233" s="71"/>
      <c r="E233" s="167"/>
      <c r="F233" s="347" t="str">
        <f>IF(E233="","",IF(E233=1,0.15,IF(E233=3,0.5,IF(E233=5,0.85,0))))</f>
        <v/>
      </c>
      <c r="G233" s="565"/>
      <c r="H233" s="568"/>
      <c r="I233" s="519"/>
      <c r="J233" s="559"/>
      <c r="K233" s="555"/>
      <c r="L233" s="21"/>
    </row>
    <row r="234" spans="1:12" x14ac:dyDescent="0.3">
      <c r="L234" s="21"/>
    </row>
    <row r="235" spans="1:12" x14ac:dyDescent="0.3">
      <c r="L235" s="21"/>
    </row>
    <row r="236" spans="1:12" ht="21" x14ac:dyDescent="0.4">
      <c r="A236" s="148" t="s">
        <v>135</v>
      </c>
      <c r="B236" s="246"/>
      <c r="C236" s="249" t="s">
        <v>324</v>
      </c>
      <c r="D236" s="246"/>
      <c r="E236" s="247"/>
      <c r="F236" s="248"/>
      <c r="G236" s="544" t="s">
        <v>18</v>
      </c>
      <c r="H236" s="545"/>
      <c r="I236" s="545"/>
      <c r="J236" s="545"/>
      <c r="K236" s="546"/>
      <c r="L236" s="21"/>
    </row>
    <row r="237" spans="1:12" ht="15.6" x14ac:dyDescent="0.3">
      <c r="A237" s="158" t="s">
        <v>1</v>
      </c>
      <c r="B237" s="158" t="s">
        <v>2</v>
      </c>
      <c r="C237" s="542" t="s">
        <v>3</v>
      </c>
      <c r="D237" s="644"/>
      <c r="E237" s="158" t="s">
        <v>15</v>
      </c>
      <c r="F237" s="158" t="s">
        <v>16</v>
      </c>
      <c r="G237" s="158" t="s">
        <v>19</v>
      </c>
      <c r="H237" s="158" t="s">
        <v>20</v>
      </c>
      <c r="I237" s="314" t="s">
        <v>20</v>
      </c>
      <c r="J237" s="158" t="s">
        <v>21</v>
      </c>
      <c r="K237" s="315" t="s">
        <v>21</v>
      </c>
    </row>
    <row r="238" spans="1:12" ht="15.6" x14ac:dyDescent="0.3">
      <c r="A238" s="540" t="s">
        <v>60</v>
      </c>
      <c r="B238" s="308" t="s">
        <v>86</v>
      </c>
      <c r="C238" s="52" t="s">
        <v>388</v>
      </c>
      <c r="D238" s="52"/>
      <c r="E238" s="162"/>
      <c r="F238" s="338" t="str">
        <f>IF(E238="","",IF(E238&lt;=0,0,IF(E238&gt;=0.95,1,ROUND('Reference Standards'!C$14*E238+'Reference Standards'!C$15,2))))</f>
        <v/>
      </c>
      <c r="G238" s="83" t="str">
        <f>IFERROR(AVERAGE(F238),"")</f>
        <v/>
      </c>
      <c r="H238" s="522" t="str">
        <f>IFERROR(ROUND(AVERAGE(G238:G239),2),"")</f>
        <v/>
      </c>
      <c r="I238" s="519" t="str">
        <f>IF(H238="","",IF(H238&gt;0.69,"Functioning",IF(H238&gt;0.29,"Functioning At Risk",IF(H238&gt;-1,"Not Functioning"))))</f>
        <v/>
      </c>
      <c r="J238" s="559" t="str">
        <f>IF(AND(H238="",H240="",H242="",H264="",H268=""),"",ROUND((IF(H238="",0,H238)*0.2)+(IF(H240="",0,H240)*0.2)+(IF(H242="",0,H242)*0.2)+(IF(H264="",0,H264)*0.2)+(IF(H268="",0,H268)*0.2),2))</f>
        <v/>
      </c>
      <c r="K238" s="555" t="str">
        <f>IF(J238="","",IF(J238&lt;0.3, "Not Functioning",IF(OR(H238&lt;0.7,H240&lt;0.7,H242&lt;0.7,H264&lt;0.7,H268&lt;0.7),"Functioning At Risk",IF(J238&lt;0.7,"Functioning At Risk","Functioning"))))</f>
        <v/>
      </c>
    </row>
    <row r="239" spans="1:12" ht="15.6" x14ac:dyDescent="0.3">
      <c r="A239" s="541"/>
      <c r="B239" s="371" t="s">
        <v>128</v>
      </c>
      <c r="C239" s="373" t="s">
        <v>161</v>
      </c>
      <c r="D239" s="374"/>
      <c r="E239" s="43"/>
      <c r="F239" s="372" t="str">
        <f>IF(E239="","",IF(E239&gt;=1,1,IF(E239&lt;=0,0,ROUND(E239,2))))</f>
        <v/>
      </c>
      <c r="G239" s="367" t="str">
        <f>IFERROR(AVERAGE(F239:F239),"")</f>
        <v/>
      </c>
      <c r="H239" s="523"/>
      <c r="I239" s="519"/>
      <c r="J239" s="559"/>
      <c r="K239" s="555"/>
    </row>
    <row r="240" spans="1:12" ht="15.6" x14ac:dyDescent="0.3">
      <c r="A240" s="524" t="s">
        <v>6</v>
      </c>
      <c r="B240" s="572" t="s">
        <v>7</v>
      </c>
      <c r="C240" s="54" t="s">
        <v>8</v>
      </c>
      <c r="D240" s="54"/>
      <c r="E240" s="162"/>
      <c r="F240" s="339" t="str">
        <f>IF(E240="","",ROUND(IF(E240&gt;1.6,0,IF(E240&lt;=1,1,E240^2*'Reference Standards'!K$14+E240*'Reference Standards'!K$15+'Reference Standards'!K$16)),2))</f>
        <v/>
      </c>
      <c r="G240" s="579" t="str">
        <f>IFERROR(AVERAGE(F240:F241),"")</f>
        <v/>
      </c>
      <c r="H240" s="579" t="str">
        <f>IFERROR(ROUND(AVERAGE(G240),2),"")</f>
        <v/>
      </c>
      <c r="I240" s="569" t="str">
        <f>IF(H240="","",IF(H240&gt;0.69,"Functioning",IF(H240&gt;0.29,"Functioning At Risk",IF(H240&gt;-1,"Not Functioning"))))</f>
        <v/>
      </c>
      <c r="J240" s="559"/>
      <c r="K240" s="555"/>
    </row>
    <row r="241" spans="1:13" ht="15.6" x14ac:dyDescent="0.3">
      <c r="A241" s="525"/>
      <c r="B241" s="572"/>
      <c r="C241" s="54" t="s">
        <v>9</v>
      </c>
      <c r="D241" s="54"/>
      <c r="E241" s="163"/>
      <c r="F241" s="339" t="str">
        <f>IF(E241="","",(IF(OR('Quantification Tool R2'!B$11="A",'Quantification Tool R2'!B$11="B",'Quantification Tool R2'!$B$11="Bc"),IF(E241&lt;1.2,0,IF(E241&gt;=2.2,1,ROUND(IF(E241&lt;1.4,E241*'Reference Standards'!$K$84+'Reference Standards'!$K$85,E241*'Reference Standards'!$L$84+'Reference Standards'!$L$85),2))),IF(OR('Quantification Tool R2'!B$11="C",'Quantification Tool R2'!B$11="E"),IF(E241&lt;2,0,IF(E241&gt;=5,1,ROUND(IF(E241&lt;2.4,E241*'Reference Standards'!$L$49+'Reference Standards'!$L$50,E241*'Reference Standards'!$K$49+'Reference Standards'!$K$50),2)))))))</f>
        <v/>
      </c>
      <c r="G241" s="581"/>
      <c r="H241" s="580"/>
      <c r="I241" s="570"/>
      <c r="J241" s="559"/>
      <c r="K241" s="555"/>
    </row>
    <row r="242" spans="1:13" ht="15.6" x14ac:dyDescent="0.3">
      <c r="A242" s="526" t="s">
        <v>26</v>
      </c>
      <c r="B242" s="557" t="s">
        <v>27</v>
      </c>
      <c r="C242" s="60" t="s">
        <v>333</v>
      </c>
      <c r="D242" s="244"/>
      <c r="E242" s="61"/>
      <c r="F242" s="340" t="str">
        <f>IF(E242="","",IF(OR(LEFT('Quantification Tool R2'!$B$12,2)="65",LEFT('Quantification Tool R2'!$B$12,2)="66",LEFT('Quantification Tool R2'!$B$12,2)="71"),IF(E242&gt;=850,1,IF(E242&lt;250,ROUND('Reference Standards'!$S$17*(E242)+'Reference Standards'!$S$18,2),ROUND('Reference Standards'!$T$17*E242+'Reference Standards'!$T$18,2))),  IF(E242&gt;=345,1,IF(E242&lt;=180,ROUND('Reference Standards'!$U$17*(E242)+'Reference Standards'!$U$18,2),ROUND('Reference Standards'!$V$17*E242+'Reference Standards'!$V$18,2))))    )</f>
        <v/>
      </c>
      <c r="G242" s="528" t="str">
        <f>IFERROR(AVERAGE(F242:F243),"")</f>
        <v/>
      </c>
      <c r="H242" s="566" t="str">
        <f>IFERROR(ROUND(AVERAGE(G242:G263),2),"")</f>
        <v/>
      </c>
      <c r="I242" s="555" t="str">
        <f>IF(H242="","",IF(H242&gt;0.69,"Functioning",IF(H242&gt;0.29,"Functioning At Risk",IF(H242&gt;-1,"Not Functioning"))))</f>
        <v/>
      </c>
      <c r="J242" s="559"/>
      <c r="K242" s="555"/>
    </row>
    <row r="243" spans="1:13" ht="15.6" x14ac:dyDescent="0.3">
      <c r="A243" s="520"/>
      <c r="B243" s="558"/>
      <c r="C243" s="63" t="s">
        <v>323</v>
      </c>
      <c r="D243" s="245"/>
      <c r="E243" s="53"/>
      <c r="F243" s="341" t="str">
        <f>IF(E243="","",IF(OR(LEFT('Quantification Tool R2'!$B$12,2)="65",LEFT('Quantification Tool R2'!$B$12,2)="66",LEFT('Quantification Tool R2'!$B$12,2)="71"),IF(E243&gt;=30,1,IF(E243&lt;13,ROUND('Reference Standards'!$S$53*(E243)+'Reference Standards'!$S$54,2),ROUND('Reference Standards'!$T$53*E243+'Reference Standards'!$T$54,2))),  IF(E243&gt;=16,1,IF(E243&lt;=9,ROUND('Reference Standards'!$U$53*(E243)+'Reference Standards'!$U$54,2),ROUND('Reference Standards'!$V$53*E243+'Reference Standards'!$V$54,2))))    )</f>
        <v/>
      </c>
      <c r="G243" s="530"/>
      <c r="H243" s="566"/>
      <c r="I243" s="555"/>
      <c r="J243" s="559"/>
      <c r="K243" s="555"/>
    </row>
    <row r="244" spans="1:13" ht="15.6" x14ac:dyDescent="0.3">
      <c r="A244" s="520"/>
      <c r="B244" s="520" t="s">
        <v>395</v>
      </c>
      <c r="C244" s="58" t="s">
        <v>80</v>
      </c>
      <c r="D244" s="58"/>
      <c r="E244" s="165"/>
      <c r="F244" s="340" t="str">
        <f>IF(E244="","",ROUND(IF(E244&gt;0.7,0,IF(E244&lt;=0.1,1,E244^3*'Reference Standards'!S$87+E244^2*'Reference Standards'!S$88+E244*'Reference Standards'!S$89+'Reference Standards'!S$90)),2))</f>
        <v/>
      </c>
      <c r="G244" s="528" t="str">
        <f>IFERROR(ROUND(AVERAGE(F244:F247),2),"")</f>
        <v/>
      </c>
      <c r="H244" s="567"/>
      <c r="I244" s="555"/>
      <c r="J244" s="559"/>
      <c r="K244" s="555"/>
    </row>
    <row r="245" spans="1:13" ht="15.6" x14ac:dyDescent="0.3">
      <c r="A245" s="520"/>
      <c r="B245" s="520"/>
      <c r="C245" s="58" t="s">
        <v>49</v>
      </c>
      <c r="D245" s="58"/>
      <c r="E245" s="165"/>
      <c r="F245" s="84"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529"/>
      <c r="H245" s="567"/>
      <c r="I245" s="555"/>
      <c r="J245" s="559"/>
      <c r="K245" s="555"/>
    </row>
    <row r="246" spans="1:13" ht="15.6" x14ac:dyDescent="0.3">
      <c r="A246" s="520"/>
      <c r="B246" s="520"/>
      <c r="C246" s="58" t="s">
        <v>87</v>
      </c>
      <c r="D246" s="58"/>
      <c r="E246" s="165"/>
      <c r="F246" s="84" t="str">
        <f>IF(E246="","",ROUND(IF(E246&gt;40,0,IF(E246&lt;5,1,E246^3*'Reference Standards'!S$122+E246^2*'Reference Standards'!S$123+E246*'Reference Standards'!S$124+'Reference Standards'!S$125)),2))</f>
        <v/>
      </c>
      <c r="G246" s="529"/>
      <c r="H246" s="567"/>
      <c r="I246" s="555"/>
      <c r="J246" s="559"/>
      <c r="K246" s="555"/>
    </row>
    <row r="247" spans="1:13" ht="15.6" x14ac:dyDescent="0.3">
      <c r="A247" s="520"/>
      <c r="B247" s="521"/>
      <c r="C247" s="59" t="s">
        <v>394</v>
      </c>
      <c r="D247" s="59"/>
      <c r="E247" s="167"/>
      <c r="F247" s="341" t="str">
        <f>IF(E247="","",ROUND(IF(E247&gt;=30,0,IF(E247&lt;=0,1,E247*'Reference Standards'!S$156+'Reference Standards'!S$157)),2))</f>
        <v/>
      </c>
      <c r="G247" s="530"/>
      <c r="H247" s="567"/>
      <c r="I247" s="555"/>
      <c r="J247" s="559"/>
      <c r="K247" s="555"/>
    </row>
    <row r="248" spans="1:13" ht="15.6" x14ac:dyDescent="0.3">
      <c r="A248" s="520"/>
      <c r="B248" s="520" t="s">
        <v>50</v>
      </c>
      <c r="C248" s="60" t="s">
        <v>377</v>
      </c>
      <c r="D248" s="64"/>
      <c r="E248" s="136"/>
      <c r="F248" s="294" t="str">
        <f>IF(E248="","",ROUND(IF(E248&gt;9.2,1,E248*'Reference Standards'!$S$189+'Reference Standards'!$S$190),2))</f>
        <v/>
      </c>
      <c r="G248" s="552" t="str">
        <f>IFERROR(ROUND(AVERAGE(F248:F257),2),"")</f>
        <v/>
      </c>
      <c r="H248" s="567"/>
      <c r="I248" s="555"/>
      <c r="J248" s="559"/>
      <c r="K248" s="555"/>
    </row>
    <row r="249" spans="1:13" ht="15.6" x14ac:dyDescent="0.3">
      <c r="A249" s="520"/>
      <c r="B249" s="520"/>
      <c r="C249" s="62" t="s">
        <v>378</v>
      </c>
      <c r="D249" s="58"/>
      <c r="E249" s="162"/>
      <c r="F249" s="294" t="str">
        <f>IF(E249="","",ROUND(IF(E249&gt;9.2,1,E249*'Reference Standards'!$S$189+'Reference Standards'!$S$190),2))</f>
        <v/>
      </c>
      <c r="G249" s="553"/>
      <c r="H249" s="567"/>
      <c r="I249" s="555"/>
      <c r="J249" s="559"/>
      <c r="K249" s="555"/>
    </row>
    <row r="250" spans="1:13" ht="15.6" x14ac:dyDescent="0.3">
      <c r="A250" s="520"/>
      <c r="B250" s="520"/>
      <c r="C250" s="62" t="s">
        <v>379</v>
      </c>
      <c r="D250" s="58"/>
      <c r="E250" s="162"/>
      <c r="F250" s="294" t="str">
        <f>IF(E250="","",ROUND( IF(E250&gt;=200,1,IF(E250&lt;50, E250^2*'Reference Standards'!S$224+E250*'Reference Standards'!S$225+'Reference Standards'!S$226, E250*'Reference Standards'!T$224+'Reference Standards'!T$225)),2))</f>
        <v/>
      </c>
      <c r="G250" s="553"/>
      <c r="H250" s="567"/>
      <c r="I250" s="555"/>
      <c r="J250" s="559"/>
      <c r="K250" s="555"/>
    </row>
    <row r="251" spans="1:13" ht="15.6" x14ac:dyDescent="0.3">
      <c r="A251" s="520"/>
      <c r="B251" s="520"/>
      <c r="C251" s="62" t="s">
        <v>380</v>
      </c>
      <c r="D251" s="58"/>
      <c r="E251" s="162"/>
      <c r="F251" s="294" t="str">
        <f>IF(E251="","",ROUND( IF(E251&gt;=200,1,IF(E251&lt;50, E251^2*'Reference Standards'!S$224+E251*'Reference Standards'!S$225+'Reference Standards'!S$226, E251*'Reference Standards'!T$224+'Reference Standards'!T$225)),2))</f>
        <v/>
      </c>
      <c r="G251" s="553"/>
      <c r="H251" s="567"/>
      <c r="I251" s="555"/>
      <c r="J251" s="559"/>
      <c r="K251" s="555"/>
    </row>
    <row r="252" spans="1:13" ht="15.6" x14ac:dyDescent="0.3">
      <c r="A252" s="520"/>
      <c r="B252" s="520"/>
      <c r="C252" s="58" t="s">
        <v>381</v>
      </c>
      <c r="D252" s="58"/>
      <c r="E252" s="162"/>
      <c r="F252" s="294" t="str">
        <f>IF(E252="","",ROUND(IF(AND(E252&gt;=135,E252&lt;=262),1,IF(  E252&gt;=366,0.5, IF(E252&lt;135,E252*'Reference Standards'!S$259+'Reference Standards'!S$260, E252*'Reference Standards'!T$259+'Reference Standards'!T$260))),2))</f>
        <v/>
      </c>
      <c r="G252" s="553"/>
      <c r="H252" s="567"/>
      <c r="I252" s="555"/>
      <c r="J252" s="559"/>
      <c r="K252" s="555"/>
    </row>
    <row r="253" spans="1:13" ht="15.6" x14ac:dyDescent="0.3">
      <c r="A253" s="520"/>
      <c r="B253" s="520"/>
      <c r="C253" s="58" t="s">
        <v>382</v>
      </c>
      <c r="D253" s="58"/>
      <c r="E253" s="162"/>
      <c r="F253" s="294" t="str">
        <f>IF(E253="","",ROUND(IF(AND(E253&gt;=135,E253&lt;=262),1,IF(  E253&gt;=366,0.5, IF(E253&lt;135,E253*'Reference Standards'!S$259+'Reference Standards'!S$260, E253*'Reference Standards'!T$259+'Reference Standards'!T$260))),2))</f>
        <v/>
      </c>
      <c r="G253" s="553"/>
      <c r="H253" s="567"/>
      <c r="I253" s="555"/>
      <c r="J253" s="559"/>
      <c r="K253" s="555"/>
    </row>
    <row r="254" spans="1:13" ht="15.6" x14ac:dyDescent="0.3">
      <c r="A254" s="520"/>
      <c r="B254" s="520"/>
      <c r="C254" s="58" t="s">
        <v>383</v>
      </c>
      <c r="D254" s="58"/>
      <c r="E254" s="162"/>
      <c r="F254" s="84" t="str">
        <f>IF(E254="","",ROUND(IF(E254&gt;=75,1,IF(E254&lt;=0,0,E254*'Reference Standards'!S$330)),2))</f>
        <v/>
      </c>
      <c r="G254" s="553"/>
      <c r="H254" s="567"/>
      <c r="I254" s="555"/>
      <c r="J254" s="559"/>
      <c r="K254" s="555"/>
    </row>
    <row r="255" spans="1:13" ht="15.6" x14ac:dyDescent="0.3">
      <c r="A255" s="520"/>
      <c r="B255" s="520"/>
      <c r="C255" s="58" t="s">
        <v>384</v>
      </c>
      <c r="D255" s="58"/>
      <c r="E255" s="162"/>
      <c r="F255" s="84" t="str">
        <f>IF(E255="","",ROUND(IF(E255&gt;=75,1,IF(E255&lt;=0,0,E255*'Reference Standards'!S$330)),2))</f>
        <v/>
      </c>
      <c r="G255" s="553"/>
      <c r="H255" s="567"/>
      <c r="I255" s="555"/>
      <c r="J255" s="559"/>
      <c r="K255" s="555"/>
    </row>
    <row r="256" spans="1:13" ht="15.6" x14ac:dyDescent="0.3">
      <c r="A256" s="520"/>
      <c r="B256" s="520"/>
      <c r="C256" s="58" t="s">
        <v>385</v>
      </c>
      <c r="D256" s="58"/>
      <c r="E256" s="162"/>
      <c r="F256" s="294" t="str">
        <f>IF(E256="","",ROUND(IF(AND(E256&gt;=36.3,E256&lt;=68),1,IF(E256&gt;100,0,IF(E256&lt;36.3,(('Reference Standards'!S$297*(E256^2))+('Reference Standards'!S$298*E256)+'Reference Standards'!S$299),IF(E256&gt;68,(('Reference Standards'!T$297*(E256^2))+('Reference Standards'!T$298*E256)+'Reference Standards'!T$299))))),2))</f>
        <v/>
      </c>
      <c r="G256" s="553"/>
      <c r="H256" s="567"/>
      <c r="I256" s="555"/>
      <c r="J256" s="559"/>
      <c r="K256" s="555"/>
      <c r="M256" s="21"/>
    </row>
    <row r="257" spans="1:12" ht="15.6" x14ac:dyDescent="0.3">
      <c r="A257" s="520"/>
      <c r="B257" s="521"/>
      <c r="C257" s="58" t="s">
        <v>386</v>
      </c>
      <c r="D257" s="65"/>
      <c r="E257" s="162"/>
      <c r="F257" s="294" t="str">
        <f>IF(E257="","",ROUND(IF(AND(E257&gt;=36.3,E257&lt;=68),1,IF(E257&gt;100,0,IF(E257&lt;36.3,(('Reference Standards'!S$297*(E257^2))+('Reference Standards'!S$298*E257)+'Reference Standards'!S$299),IF(E257&gt;68,(('Reference Standards'!T$297*(E257^2))+('Reference Standards'!T$298*E257)+'Reference Standards'!T$299))))),2))</f>
        <v/>
      </c>
      <c r="G257" s="554"/>
      <c r="H257" s="567"/>
      <c r="I257" s="555"/>
      <c r="J257" s="559"/>
      <c r="K257" s="555"/>
    </row>
    <row r="258" spans="1:12" ht="15.6" x14ac:dyDescent="0.3">
      <c r="A258" s="520"/>
      <c r="B258" s="56" t="s">
        <v>108</v>
      </c>
      <c r="C258" s="72" t="s">
        <v>130</v>
      </c>
      <c r="D258" s="58"/>
      <c r="E258" s="43"/>
      <c r="F258" s="82" t="str">
        <f>IF(E258="","",IF(OR('Quantification Tool R2'!B$14="Gravel",'Quantification Tool R2'!B$14="Cobble"),IF(E258&gt;0.1,1,IF(E258&lt;=0.01,0,ROUND(E258*'Reference Standards'!$S$362+'Reference Standards'!$S$363,2)))))</f>
        <v/>
      </c>
      <c r="G258" s="82" t="str">
        <f>IFERROR(AVERAGE(F258),"")</f>
        <v/>
      </c>
      <c r="H258" s="567"/>
      <c r="I258" s="555"/>
      <c r="J258" s="559"/>
      <c r="K258" s="555"/>
    </row>
    <row r="259" spans="1:12" ht="15.6" x14ac:dyDescent="0.3">
      <c r="A259" s="520"/>
      <c r="B259" s="526" t="s">
        <v>51</v>
      </c>
      <c r="C259" s="64" t="s">
        <v>52</v>
      </c>
      <c r="D259" s="64"/>
      <c r="E259" s="166"/>
      <c r="F259" s="337" t="str">
        <f>IF(E259="","",IF(ISNUMBER('Quantification Tool R2'!$B$17),IF('Quantification Tool R2'!$B$17&lt;=2,IF(AND(E259&gt;=3,E259&lt;=5),1,IF(OR(E259&lt;=1,E259&gt;=7),0,ROUND(IF(E259&lt;3,E259*'Reference Standards'!S$398+'Reference Standards'!S$399,E259*'Reference Standards'!T$398+'Reference Standards'!T$399),2))),IF(E259&lt;=2.5,1,IF(E259&gt;=5.8,0,ROUND(E259*'Reference Standards'!S$430+'Reference Standards'!S$431,2))))))</f>
        <v/>
      </c>
      <c r="G259" s="528" t="str">
        <f>IFERROR(AVERAGE(F259:F262),"")</f>
        <v/>
      </c>
      <c r="H259" s="567"/>
      <c r="I259" s="555"/>
      <c r="J259" s="559"/>
      <c r="K259" s="555"/>
    </row>
    <row r="260" spans="1:12" ht="15.6" x14ac:dyDescent="0.3">
      <c r="A260" s="520"/>
      <c r="B260" s="520"/>
      <c r="C260" s="58" t="s">
        <v>53</v>
      </c>
      <c r="D260" s="58"/>
      <c r="E260" s="165"/>
      <c r="F260" s="84" t="str">
        <f>IF(E260="","", IF( E260&gt;=2.4,1, IF(E260&lt;=1,0,  ROUND(IF(E260&lt;2.4, E260*'Reference Standards'!$S$464+'Reference Standards'!$S$465  ),2))))</f>
        <v/>
      </c>
      <c r="G260" s="529"/>
      <c r="H260" s="567"/>
      <c r="I260" s="555"/>
      <c r="J260" s="559"/>
      <c r="K260" s="555"/>
    </row>
    <row r="261" spans="1:12" ht="15.6" x14ac:dyDescent="0.3">
      <c r="A261" s="520"/>
      <c r="B261" s="520"/>
      <c r="C261" s="58" t="s">
        <v>334</v>
      </c>
      <c r="D261" s="58"/>
      <c r="E261" s="165"/>
      <c r="F261" s="390" t="str">
        <f>IF(E261="","", IF(LEFT('Quantification Tool R2'!$B$12,2)="67",  IF( AND(E261&gt;=45,E261&lt;=65),1, IF(OR(E261&lt;=20,E261&gt;=90),0, ROUND(  IF(E261&lt;45, E261*'Reference Standards'!$S$498+'Reference Standards'!$S$499,E261*'Reference Standards'!$T$498+'Reference Standards'!$T$499),2))), IF(OR(  LEFT('Quantification Tool R2'!$B$12,2)="68", LEFT('Quantification Tool R2'!$B$12,2)="69",LEFT('Quantification Tool R2'!$B$12,2)="71"),  IF( AND(E261&gt;=30,E261&lt;=50),1, IF(OR(E261&lt;=10,E261&gt;=70),0, ROUND(  IF(E261&lt;30, E261*'Reference Standards'!$S$533+'Reference Standards'!$S$534,E261*'Reference Standards'!$T$533+'Reference Standards'!$T$534),2))), IF(LEFT('Quantification Tool R2'!$B$12,2)="66",  IF( AND(E261&gt;=20,E261&lt;=45),1, IF(OR(E261&lt;=0,E261&gt;=90),0, ROUND(  IF(E261&lt;20, E261*'Reference Standards'!$S$567+'Reference Standards'!$S$568,E261*'Reference Standards'!$T$567+'Reference Standards'!$T$568),2))), IF(OR(  LEFT('Quantification Tool R2'!$B$12,2)="65", LEFT('Quantification Tool R2'!$B$12,2)="74", LEFT('Quantification Tool R2'!$B$12,2)="73"),  IF( AND(E261&gt;=20,E261&lt;=30),1, IF(OR(E261&lt;=0,E261&gt;=50),0, ROUND(  IF(E261&lt;20, E261*'Reference Standards'!$S$601+'Reference Standards'!$S$602,E261*'Reference Standards'!$T$601+'Reference Standards'!$T$602),2))))))))</f>
        <v/>
      </c>
      <c r="G261" s="529"/>
      <c r="H261" s="567"/>
      <c r="I261" s="555"/>
      <c r="J261" s="559"/>
      <c r="K261" s="555"/>
    </row>
    <row r="262" spans="1:12" ht="15.6" x14ac:dyDescent="0.3">
      <c r="A262" s="520"/>
      <c r="B262" s="521"/>
      <c r="C262" s="62" t="s">
        <v>210</v>
      </c>
      <c r="D262" s="58"/>
      <c r="E262" s="167"/>
      <c r="F262" s="391" t="str">
        <f>IF(E262="","",IF(E262&gt;=1.6,0,IF(E262&lt;=1,1,ROUND('Reference Standards'!$S$633*E262^3+'Reference Standards'!$S$634*E262^2+'Reference Standards'!$S$635*E262+'Reference Standards'!$S$636,2))))</f>
        <v/>
      </c>
      <c r="G262" s="530"/>
      <c r="H262" s="567"/>
      <c r="I262" s="555"/>
      <c r="J262" s="559"/>
      <c r="K262" s="555"/>
    </row>
    <row r="263" spans="1:12" ht="15.6" x14ac:dyDescent="0.3">
      <c r="A263" s="521"/>
      <c r="B263" s="309" t="s">
        <v>55</v>
      </c>
      <c r="C263" s="242" t="s">
        <v>54</v>
      </c>
      <c r="D263" s="243"/>
      <c r="E263" s="163"/>
      <c r="F263" s="342" t="str">
        <f>IF(E263="","",IF(AND('Quantification Tool R2'!B$11="E",'Quantification Tool R2'!$B$14="Sand",'Quantification Tool R2'!$B$21="Unconfined Alluvial"),ROUND(IF(OR(E263&gt;1.8,E263&lt;1.3),0,IF(E263&lt;=1.6,1,E263*'Reference Standards'!S$667+'Reference Standards'!S$668)),2),    IF('Quantification Tool R2'!$B$21="Unconfined Alluvial",ROUND(IF(OR(E263&lt;1.2, E263&gt;1.5),0,IF(E263&lt;=1.4,1,E263*'Reference Standards'!$S$700+'Reference Standards'!$S$701)),2), IF('Quantification Tool R2'!$B$21="Confined Alluvial",ROUND(IF(E263&lt;1.15,0,IF(E263&lt;=1.4,E263*'Reference Standards'!$S$729+'Reference Standards'!$S$730,1)),2),  IF('Quantification Tool R2'!$B$21="Colluvial",ROUND(IF(E263&gt;1.3,0,IF(E263&gt;1.2,E263*'Reference Standards'!$S$760+'Reference Standards'!$S$761,1)),2) )))))</f>
        <v/>
      </c>
      <c r="G263" s="84" t="str">
        <f>IFERROR(AVERAGE(F263),"")</f>
        <v/>
      </c>
      <c r="H263" s="567"/>
      <c r="I263" s="555"/>
      <c r="J263" s="559"/>
      <c r="K263" s="555"/>
      <c r="L263" s="13"/>
    </row>
    <row r="264" spans="1:12" ht="15.6" x14ac:dyDescent="0.3">
      <c r="A264" s="537" t="s">
        <v>58</v>
      </c>
      <c r="B264" s="67" t="s">
        <v>88</v>
      </c>
      <c r="C264" s="70" t="s">
        <v>338</v>
      </c>
      <c r="D264" s="70"/>
      <c r="E264" s="43"/>
      <c r="F264" s="343" t="str">
        <f>IF(E264="","",ROUND(IF(E264&gt;=942,0,IF(E264&lt;=487,E264*'Reference Standards'!AB$15+'Reference Standards'!AB$16,E264*'Reference Standards'!$AC$15+'Reference Standards'!$AC$16)),2))</f>
        <v/>
      </c>
      <c r="G264" s="85" t="str">
        <f>IFERROR(AVERAGE(F264),"")</f>
        <v/>
      </c>
      <c r="H264" s="547" t="str">
        <f>IFERROR(ROUND(AVERAGE(G264:G267),2),"")</f>
        <v/>
      </c>
      <c r="I264" s="534" t="str">
        <f>IF(H264="","",IF(H264&gt;0.69,"Functioning",IF(H264&gt;0.29,"Functioning At Risk",IF(H264&gt;-1,"Not Functioning"))))</f>
        <v/>
      </c>
      <c r="J264" s="559"/>
      <c r="K264" s="555"/>
      <c r="L264" s="13"/>
    </row>
    <row r="265" spans="1:12" ht="15.6" x14ac:dyDescent="0.3">
      <c r="A265" s="538"/>
      <c r="B265" s="306" t="s">
        <v>362</v>
      </c>
      <c r="C265" s="66" t="s">
        <v>354</v>
      </c>
      <c r="D265" s="66"/>
      <c r="E265" s="163"/>
      <c r="F265" s="344" t="str">
        <f>IF(E265="","",IF(OR('Quantification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June")),IF(E265&gt;93,0,IF(E265&lt;13,1,ROUND('Reference Standards'!$AB$53*E265^2+'Reference Standards'!$AB$54*E265+'Reference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R2'!$B$12="73b"),IF(E265&gt;94,0,IF(E265&lt;17,1,ROUND('Reference Standards'!$AC$53*E265^2+'Reference Standards'!$AC$54*E265+'Reference Standards'!$AC$55,2))),    IF(OR(AND(OR('Quantification Tool R2'!$B$12="68b",'Quantification Tool R2'!$B$12="71i"),'Quantification Tool R2'!$B$13&gt;2), 'Quantification Tool R2'!$B$12="71e"),IF(E265&gt;91,0,IF(E265&lt;24,1,ROUND('Reference Standards'!$AD$53*E265^2+'Reference Standards'!$AD$54*E265+'Reference Standards'!$AD$55,2))),  IF(OR(AND(OR('Quantification Tool R2'!$B$12="71f",'Quantification Tool R2'!$B$12="71g",'Quantification Tool R2'!$B$12="71h",'Quantification Tool R2'!$B$12="71i"),'Quantification Tool R2'!$B$13&lt;=2), AND('Quantification Tool R2'!$B$12="74a",'Quantification Tool R2'!$B$13&gt;2)),IF(E265&gt;95,0,IF(E265&lt;=36,1,ROUND('Reference Standards'!$AE$53*E265^2+'Reference Standards'!$AE$54*E265+'Reference Standards'!$AE$55,2))))))))</f>
        <v/>
      </c>
      <c r="G265" s="236" t="str">
        <f>IFERROR(AVERAGE(F265:F265),"")</f>
        <v/>
      </c>
      <c r="H265" s="548"/>
      <c r="I265" s="535"/>
      <c r="J265" s="559"/>
      <c r="K265" s="555"/>
      <c r="L265" s="21"/>
    </row>
    <row r="266" spans="1:12" ht="15.6" x14ac:dyDescent="0.3">
      <c r="A266" s="538"/>
      <c r="B266" s="67" t="s">
        <v>81</v>
      </c>
      <c r="C266" s="68" t="s">
        <v>281</v>
      </c>
      <c r="D266" s="68"/>
      <c r="E266" s="162"/>
      <c r="F266" s="344" t="str">
        <f>IF(E266="","",IF(ISNUMBER('Quantification Tool R2'!$B$13),IF(OR('Quantification Tool R2'!$B$12="66e",'Quantification Tool R2'!$B$12="66f",'Quantification Tool R2'!$B$12="66g"),ROUND(IF(E266&gt;=0.61,0,IF(E266&lt;=0.01,1,IF(E266&lt;=0.06,E266*'Reference Standards'!$AD$197+'Reference Standards'!$AD$198,E266^2*'Reference Standards'!$AB$196+E266*'Reference Standards'!$AB$197+'Reference Standards'!$AB$198))),2),IF('Quantification Tool R2'!$B$12="68b",ROUND(IF(E266&gt;=1.1,0,IF(E266&lt;=0.17,1,IF(E266&lt;=0.22,E266*'Reference Standards'!$AE$197+'Reference Standards'!$AE$198,E266^2*'Reference Standards'!$AC$196+E266*'Reference Standards'!$AC$197+'Reference Standards'!$AC$198))),2),IF('Quantification Tool R2'!$B$13&lt;=2.5,IF('Quantification Tool R2'!$B$12="69de",ROUND(IF(E266&gt;=0.22,0,IF(E266&lt;=0.01,1,E266^2*'Reference Standards'!$AB$90+E266*'Reference Standards'!$AB$91+'Reference Standards'!$AB$92)),2),IF('Quantification Tool R2'!$B$12="68c",ROUND(IF(E266&gt;=0.87,0,IF(E266&lt;=0.01,1,E266^2*'Reference Standards'!$AC$90+E266*'Reference Standards'!$AC$91+'Reference Standards'!$AC$92)),2),IF('Quantification Tool R2'!$B$12="68a",ROUND(IF(E266&gt;=0.81,0,IF(E266&lt;=0.01,1,E266^2*'Reference Standards'!$AD$90+E266*'Reference Standards'!$AD$91+'Reference Standards'!$AD$92)),2),IF('Quantification Tool R2'!$B$12="65abei",ROUND(IF(E266&gt;=0.67,0,IF(E266&lt;=0.01,1,IF(E266&lt;=0.18,E266*'Reference Standards'!$AG$91+'Reference Standards'!$AG$92,E266*'Reference Standards'!$AE$91+'Reference Standards'!$AE$92))),2),IF('Quantification Tool R2'!$B$12="65j",ROUND(IF(E266&gt;=0.32,0,IF(E266&lt;=0.01,1,IF(E266&lt;=0.25,E266*'Reference Standards'!$AH$91+'Reference Standards'!$AH$92,E266*'Reference Standards'!$AF$91+'Reference Standards'!$AF$92))),2),IF('Quantification Tool R2'!$B$12="71f",ROUND(IF(E266&gt;=3,0,IF(E266&lt;=0,1,IF(E266&lt;=0.01,0.7,E266^2*'Reference Standards'!$AB$126+E266*'Reference Standards'!$AB$127+'Reference Standards'!$AB$128))),2),IF('Quantification Tool R2'!$B$12="74a",ROUND(IF(E266&gt;=0.14,0,IF(E266&lt;=0.01,1,IF(E266&lt;=0.02,0.7,E266^2*'Reference Standards'!$AC$126+E266*'Reference Standards'!$AC$127+'Reference Standards'!$AC$128))),2),IF(OR('Quantification Tool R2'!$B$12="67fhi",'Quantification Tool R2'!$B$12="67g"),ROUND(IF(E266&gt;=1.9,0,IF(E266&lt;=0.01,1,IF(E266&lt;=0.05,E266*'Reference Standards'!$AF$127+'Reference Standards'!$AF$128,E266^2*'Reference Standards'!$AD$126+E266*'Reference Standards'!$AD$127+'Reference Standards'!$AD$128))),2),IF('Quantification Tool R2'!$B$12="73a",ROUND(IF(E266&gt;=1.44,0,IF(E266&lt;=0.01,1,IF(E266&lt;=0.12,E266*'Reference Standards'!$AG$127+'Reference Standards'!$AG$128,E266^2*'Reference Standards'!$AE$126+E266*'Reference Standards'!$AE$127+'Reference Standards'!$AE$128))),2),IF('Quantification Tool R2'!$B$12="66d",ROUND(IF(E266&gt;=0.46,0,IF(E266&lt;=0.02,1,IF(E266&lt;=0.08,E266*'Reference Standards'!$AF$163+'Reference Standards'!$AF$164,E266^2*'Reference Standards'!$AB$162+E266*'Reference Standards'!$AB$163+'Reference Standards'!$AB$164))),2),IF(OR('Quantification Tool R2'!$B$12="71g",'Quantification Tool R2'!$B$12="71h",'Quantification Tool R2'!$B$12="71i"),ROUND(IF(E266&gt;=3,0,IF(E266&lt;=0.06,1,IF(E266&lt;=0.24,E266*'Reference Standards'!$AG$163+'Reference Standards'!$AG$164,E266^2*'Reference Standards'!$AC$162+E266*'Reference Standards'!$AC$163+'Reference Standards'!$AC$164))),2),IF('Quantification Tool R2'!$B$12="74b",ROUND(IF(E266&gt;=1.3,0,IF(E266&lt;=0.29,1,IF(E266&lt;=0.48,E266*'Reference Standards'!$AH$163+'Reference Standards'!$AH$164,E266^2*'Reference Standards'!$AD$162+E266*'Reference Standards'!$AD$163+'Reference Standards'!$AD$164))),2),IF('Quantification Tool R2'!$B$12="71e",ROUND(IF(E266&gt;=4.3,0,IF(E266&lt;=0.53,1,IF(E266&lt;=0.67,E266*'Reference Standards'!$AI$163+'Reference Standards'!$AI$164,E266^2*'Reference Standards'!$AE$162+E266*'Reference Standards'!$AE$163+'Reference Standards'!$AE$164))),2)))))))))))))),IF('Quantification Tool R2'!$B$13&gt;2.5,IF('Quantification Tool R2'!$B$12="73a",ROUND(IF(E266&gt;=0.55,0,IF(E266&lt;=0,1,E266^2*'Reference Standards'!$AB$232+E266*'Reference Standards'!$AB$233+'Reference Standards'!$AB$234)),2),IF('Quantification Tool R2'!$B$12="68a",ROUND(IF(E266&gt;=0.54,0,IF(E266&lt;=0,1,IF(E266&lt;=0.01,0.85,E266^2*'Reference Standards'!$AC$232+E266*'Reference Standards'!$AC$233+'Reference Standards'!$AC$234))),2),IF('Quantification Tool R2'!$B$12="74a",ROUND(IF(E266&gt;=0.47,0,IF(E266&lt;=0.01,1,IF(E266&lt;=0.02,0.7,E266^2*'Reference Standards'!$AD$232+E266*'Reference Standards'!$AD$233+'Reference Standards'!$AD$234))),2),IF('Quantification Tool R2'!$B$12="69de",ROUND(IF(E266&gt;=0.26,0,IF(E266&lt;=0.01,1,IF(E266&lt;=0.02,0.85,E266^2*'Reference Standards'!$AE$232+E266*'Reference Standards'!$AE$233+'Reference Standards'!$AE$234))),2),IF('Quantification Tool R2'!$B$12="71f",ROUND(IF(E266&gt;=0.87,0,IF(E266&lt;=0.01,1,IF(E266&lt;=0.04,E266*'Reference Standards'!$AF$269+'Reference Standards'!$AF$270,E266^2*'Reference Standards'!$AB$268+E266*'Reference Standards'!$AB$269+'Reference Standards'!$AB$270))),2),IF('Quantification Tool R2'!$B$12="65abei",ROUND(IF(E266&gt;=0.82,0,IF(E266&lt;=0.01,1,IF(E266&lt;=0.06,E266*'Reference Standards'!$AG$269+'Reference Standards'!$AG$270,E266^2*'Reference Standards'!$AC$268+E266*'Reference Standards'!$AC$269+'Reference Standards'!$AC$270))),2),IF('Quantification Tool R2'!$B$12="65j",ROUND(IF(E266&gt;=0.33,0,IF(E266&lt;=0.03,1,IF(E266&lt;=0.09,E266*'Reference Standards'!$AH$269+'Reference Standards'!$AH$270,E266^2*'Reference Standards'!$AD$268+E266*'Reference Standards'!$AD$269+'Reference Standards'!$AD$270))),2),IF('Quantification Tool R2'!$B$12="68c",ROUND(IF(E266&gt;=0.7,0,IF(E266&lt;=0.07,1,IF(E266&lt;=0.12,E266*'Reference Standards'!$AI$269+'Reference Standards'!$AI$270,E266^2*'Reference Standards'!$AE$268+E266*'Reference Standards'!$AE$269+'Reference Standards'!$AE$270))),2),IF(OR('Quantification Tool R2'!$B$12="67fhi",'Quantification Tool R2'!$B$12="67g"),ROUND(IF(E266&gt;=1.8,0,IF(E266&lt;=0.08,1,IF(E266&lt;=0.2,E266*'Reference Standards'!$AF$306+'Reference Standards'!$AF$307,E266^2*'Reference Standards'!$AB$305+E266*'Reference Standards'!$AB$306+'Reference Standards'!$AB$307))),2),IF('Quantification Tool R2'!$B$12="74b",ROUND(IF(E266&gt;=0.96,0,IF(E266&lt;=0.12,1,IF(E266&lt;=0.16,E266*'Reference Standards'!$AG$306+'Reference Standards'!$AG$307,E266^2*'Reference Standards'!$AC$305+E266*'Reference Standards'!$AC$306+'Reference Standards'!$AC$307))),2),IF('Quantification Tool R2'!$B$12="66d",ROUND(IF(E266&gt;=0.75,0,IF(E266&lt;=0.13,1,IF(E266&lt;=0.2,E266*'Reference Standards'!$AH$306+'Reference Standards'!$AH$307,E266^2*'Reference Standards'!$AD$305+E266*'Reference Standards'!$AD$306+'Reference Standards'!$AD$307))),2),IF(OR('Quantification Tool R2'!$B$12="71g",'Quantification Tool R2'!$B$12="71h",'Quantification Tool R2'!$B$12="71i"),ROUND(IF(E266&gt;=1.68,0,IF(E266&lt;=0.08,1,IF(E266&lt;=0.23,E266*'Reference Standards'!$AI$306+'Reference Standards'!$AI$307,E266^2*'Reference Standards'!$AE$305+E266*'Reference Standards'!$AE$306+'Reference Standards'!$AE$307))),2),IF('Quantification Tool R2'!$B$12="71e",ROUND(IF(E266&gt;=5.3,0,IF(E266&lt;=0.94,1,IF(E266&lt;=1.4,E266*'Reference Standards'!$AF$310+'Reference Standards'!$AF$311,E266^2*'Reference Standards'!$AB$309+E266*'Reference Standards'!$AB$310+'Reference Standards'!$AB$311))),2))))))))))))))))))))</f>
        <v/>
      </c>
      <c r="G266" s="86" t="str">
        <f>IFERROR(AVERAGE(F266),"")</f>
        <v/>
      </c>
      <c r="H266" s="548"/>
      <c r="I266" s="535"/>
      <c r="J266" s="559"/>
      <c r="K266" s="555"/>
      <c r="L266" s="21"/>
    </row>
    <row r="267" spans="1:12" ht="15.6" x14ac:dyDescent="0.3">
      <c r="A267" s="539"/>
      <c r="B267" s="307" t="s">
        <v>82</v>
      </c>
      <c r="C267" s="66" t="s">
        <v>280</v>
      </c>
      <c r="D267" s="66"/>
      <c r="E267" s="136"/>
      <c r="F267" s="343" t="str">
        <f>IF(E267="","",IF(ISNUMBER('Quantification Tool R2'!$B$13),IF('Quantification Tool R2'!$B$13&gt;2.5,IF(OR('Quantification Tool R2'!$B$12="71h",'Quantification Tool R2'!$B$12="71i",'Quantification Tool R2'!$B$12="73a",'Quantification Tool R2'!$B$12="74a"),IF(E267&lt;=0.01,1,IF(OR('Quantification Tool R2'!$B$12="71h",'Quantification Tool R2'!$B$12="71i"),IF(E267&gt;0.37,0,ROUND(IF(E267&gt;0.03,'Reference Standards'!$AB$425*E267^2+'Reference Standards'!$AB$426*E267+'Reference Standards'!$AB$427,'Reference Standards'!$AF$426*E267+'Reference Standards'!$AF$427),2)),IF('Quantification Tool R2'!$B$12="73a",IF(E267&gt;0.405,0,ROUND(IF(E267&gt;0.046,'Reference Standards'!$AC$425*E267^2+'Reference Standards'!$AC$426*E267+'Reference Standards'!$AC$427,'Reference Standards'!$AG$426*E267+'Reference Standards'!$AG$427),2)),IF('Quantification Tool R2'!$B$12="74a",IF(E267&gt;0.3,0,ROUND(IF(E267&gt;0.052,'Reference Standards'!$AD$425*E267^2+'Reference Standards'!$AD$426*E267+'Reference Standards'!$AD$427,'Reference Standards'!$AH$426*E267+'Reference Standards'!$AH$427),2)))))),IF(E267&lt;=0.002,1,IF(OR('Quantification Tool R2'!$B$12="66d",'Quantification Tool R2'!$B$12="66e",'Quantification Tool R2'!$B$12="66g"),IF(E267&gt;0.053,0,ROUND(E267^2*'Reference Standards'!$AB$347+E267*'Reference Standards'!$AB$348+'Reference Standards'!$AB$349,2)),IF('Quantification Tool R2'!$B$12="68b",IF(E267&gt;0.05,0,ROUND(E267^2*'Reference Standards'!$AC$347+E267*'Reference Standards'!$AC$348+'Reference Standards'!$AC$349,2)),IF(OR('Quantification Tool R2'!$B$12="68a",'Quantification Tool R2'!$B$12="68c"),IF(E267&gt;0.07,0,ROUND(E267^2*'Reference Standards'!$AD$347+E267*'Reference Standards'!$AD$348+'Reference Standards'!$AD$349,2)),IF(OR('Quantification Tool R2'!$B$12="71f",'Quantification Tool R2'!$B$12="71g"),IF(E267&gt;0.13,0,ROUND(IF(E267&gt;0.042,E267*'Reference Standards'!$AE$348+'Reference Standards'!$AE$349,E267*'Reference Standards'!$AF$348+'Reference Standards'!$AF$349),2)),IF('Quantification Tool R2'!$B$12="67fhi",IF(E267&gt;0.16,0,ROUND(E267^2*'Reference Standards'!$AG$347+E267*'Reference Standards'!$AG$348+'Reference Standards'!$AG$349,2)),IF('Quantification Tool R2'!$B$12="65j",IF(E267&gt;0.035,0,ROUND(IF(E267&lt;=0.003,0.7,E267^2*'Reference Standards'!$AB$387+E267*'Reference Standards'!$AB$388+'Reference Standards'!$AB$389),2)),IF('Quantification Tool R2'!$B$12="69de",IF(E267&gt;0.037,0,ROUND(IF(E267&lt;=0.003,0.7,E267^2*'Reference Standards'!$AC$387+E267*'Reference Standards'!$AC$388+'Reference Standards'!$AC$389),2)),IF('Quantification Tool R2'!$B$12="71e",IF(E267&gt;0.23,0,ROUND(IF(E267&lt;=0.003,0.7,E267^2*'Reference Standards'!$AD$387+E267*'Reference Standards'!$AD$388+'Reference Standards'!$AD$389),2)),IF('Quantification Tool R2'!$B$12="66f",IF(E267&gt;0.06,0,ROUND(IF(E267&lt;=0.003,0.85,IF(E267&lt;=0.004,0.7,E267^2*'Reference Standards'!$AE$387+E267*'Reference Standards'!$AE$388+'Reference Standards'!$AE$389)),2)),IF('Quantification Tool R2'!$B$12="67g",IF(E267&gt;0.11,0,ROUND(IF(E267&lt;=0.01,E267*'Reference Standards'!$AH$388+'Reference Standards'!$AH$389,E267^2*'Reference Standards'!$AF$387+E267*'Reference Standards'!$AF$388+'Reference Standards'!$AF$389),2)),IF('Quantification Tool R2'!$B$12="74b",IF(E267&gt;0.49,0,ROUND(IF(E267&lt;=0.01,E267*'Reference Standards'!$AH$388+'Reference Standards'!$AH$389,E267^2*'Reference Standards'!$AG$387+E267*'Reference Standards'!$AG$388+'Reference Standards'!$AG$389),2)),IF('Quantification Tool R2'!$B$12="65abei",IF(E267&gt;0.199,0,ROUND(IF(E267&lt;=0.01,E267*'Reference Standards'!$AI$426+'Reference Standards'!$AI$427,E267^2*'Reference Standards'!$AE$425+E267*'Reference Standards'!$AE$426+'Reference Standards'!$AE$427),2)))))))))))))))),IF('Quantification Tool R2'!$B$13&lt;=2.5,IF(OR('Quantification Tool R2'!$B$12="66d",'Quantification Tool R2'!$B$12="66e",'Quantification Tool R2'!$B$12="66g"),IF(E267&gt;0.05,0,ROUND(IF(E267&lt;=0.002,1,IF(E267&lt;=0.005,E267*'Reference Standards'!$AF$464+'Reference Standards'!$AF$465,E267^2*'Reference Standards'!$AB$463+E267*'Reference Standards'!$AB$464+'Reference Standards'!$AB$465)),2)),IF('Quantification Tool R2'!$B$12="67fhi",IF(E267&gt;0.1,0,ROUND(IF(E267&lt;=0.002,1,IF(E267&lt;=0.006,E267*'Reference Standards'!$AG$464+'Reference Standards'!$AG$465,E267^2*'Reference Standards'!$AC$463+E267*'Reference Standards'!$AC$464+'Reference Standards'!$AC$465)),2)),IF('Quantification Tool R2'!$B$12="65abei",IF(E267&gt;0.13,0,ROUND(IF(E267&lt;=0.003,1,IF(E267&lt;=0.008,E267*'Reference Standards'!$AH$464+'Reference Standards'!$AH$465,E267^2*'Reference Standards'!$AD$463+E267*'Reference Standards'!$AD$464+'Reference Standards'!$AD$465)),2)),IF('Quantification Tool R2'!$B$12="68b",IF(E267&gt;0.043,0,ROUND(IF(E267&lt;=0.004,1,IF(E267&lt;=0.005,0.7,E267^2*'Reference Standards'!$AE$463+E267*'Reference Standards'!$AE$464+'Reference Standards'!$AE$465)),2)),IF('Quantification Tool R2'!$B$12="69de",IF(E267&gt;=0.034,0,ROUND(IF(E267&lt;=0.003,1,IF(E267&lt;=0.006,E267*'Reference Standards'!$AG$500+'Reference Standards'!$AG$501,E267*'Reference Standards'!$AB$500+'Reference Standards'!$AB$501)),2)),IF(OR('Quantification Tool R2'!$B$12="68a",'Quantification Tool R2'!$B$12="68c"),IF(E267&gt;0.202,0,ROUND(IF(E267&lt;=0.003,1,IF(E267&lt;=0.006,E267*'Reference Standards'!$AG$500+'Reference Standards'!$AG$501,IF(E267&gt;=0.04,E267*'Reference Standards'!$AC$500+'Reference Standards'!$AC$501,E267*'Reference Standards'!$AE$500+'Reference Standards'!$AE$501))),2)),IF(OR('Quantification Tool R2'!$B$12="71f",'Quantification Tool R2'!$B$12="71g"),IF(E267&gt;0.631,0,ROUND(IF(E267&lt;=0.003,1,IF(E267&lt;=0.006,E267*'Reference Standards'!$AG$500+'Reference Standards'!$AG$501,IF(E267&gt;=0.17,E267*'Reference Standards'!$AD$500+'Reference Standards'!$AD$501,E267*'Reference Standards'!$AF$500+'Reference Standards'!$AF$501))),2)),IF('Quantification Tool R2'!$B$12="71e",IF(E267&gt;1.23,0,ROUND(IF(E267&lt;=0.004,1,IF(E267&lt;=0.006,E267*'Reference Standards'!$AF$538+'Reference Standards'!$AF$539,E267^2*'Reference Standards'!$AB$537+E267*'Reference Standards'!$AB$538+'Reference Standards'!$AB$539)),2)),IF('Quantification Tool R2'!$B$12="67g",IF(E267&gt;0.11,0,ROUND(IF(E267&lt;=0.006,1,IF(E267&lt;=0.011,E267*'Reference Standards'!$AG$538+'Reference Standards'!$AG$539,E267^2*'Reference Standards'!$AC$537+E267*'Reference Standards'!$AC$538+'Reference Standards'!$AC$539)),2)),IF('Quantification Tool R2'!$B$12="65j",IF(E267&gt;0.046,0,ROUND(IF(E267&lt;=0.007,1,IF(E267&lt;=0.012,E267*'Reference Standards'!$AH$538+'Reference Standards'!$AH$539,E267^2*'Reference Standards'!$AD$537+E267*'Reference Standards'!$AD$538+'Reference Standards'!$AD$539)),2)),IF('Quantification Tool R2'!$B$12="66f",IF(E267&gt;0.081,0,ROUND(IF(E267&lt;=0.008,1,IF(E267&lt;=0.011,E267*'Reference Standards'!$AI$538+'Reference Standards'!$AI$539,E267^2*'Reference Standards'!$AE$537+E267*'Reference Standards'!$AE$538+'Reference Standards'!$AE$539)),2)),IF(OR('Quantification Tool R2'!$B$12="71h",'Quantification Tool R2'!$B$12="71i"),IF(E267&gt;0.37,0,ROUND(IF(E267&lt;=0.013,1,IF(E267&lt;=0.032,E267*'Reference Standards'!$AH$576+'Reference Standards'!$AH$577,IF(E267&lt;=0.3,E267*'Reference Standards'!$AF$576+'Reference Standards'!$AF$577,E267*'Reference Standards'!$AB$576+'Reference Standards'!$AB$577))),2)),IF('Quantification Tool R2'!$B$12="73a",IF(E267&gt;0.448,0,ROUND(IF(E267&lt;=0.071,1,IF(E267&lt;=0.086,E267*'Reference Standards'!$AJ$576+'Reference Standards'!$AJ$577,IF(E267&lt;=0.165,E267*'Reference Standards'!$AG$576+'Reference Standards'!$AG$577,E267*'Reference Standards'!$AE$576+'Reference Standards'!$AE$577))),2)),IF('Quantification Tool R2'!$B$12="74b",IF(E267&gt;0.43,0,ROUND(IF(E267&lt;=0.018,1,IF(E267&lt;=0.019,0.85,IF(E267&lt;=0.02,0.7,E267^2*'Reference Standards'!$AC$575+E267*'Reference Standards'!$AC$576+'Reference Standards'!$AC$577))),2)),IF('Quantification Tool R2'!$B$12="74a",IF(E267&gt;0.217,0,ROUND(IF(E267&lt;=0.02,1,IF(E267&lt;=0.033,E267*'Reference Standards'!$AI$576+'Reference Standards'!$AI$577,E267^2*'Reference Standards'!$AD$575+E267*'Reference Standards'!$AD$576+'Reference Standards'!$AD$577)),2)))))))))))))))))))))</f>
        <v/>
      </c>
      <c r="G267" s="87" t="str">
        <f>IFERROR(AVERAGE(F267),"")</f>
        <v/>
      </c>
      <c r="H267" s="549"/>
      <c r="I267" s="536"/>
      <c r="J267" s="559"/>
      <c r="K267" s="555"/>
      <c r="L267" s="21"/>
    </row>
    <row r="268" spans="1:12" ht="15.6" x14ac:dyDescent="0.3">
      <c r="A268" s="550" t="s">
        <v>59</v>
      </c>
      <c r="B268" s="560" t="s">
        <v>340</v>
      </c>
      <c r="C268" s="125" t="s">
        <v>331</v>
      </c>
      <c r="D268" s="126"/>
      <c r="E268" s="166"/>
      <c r="F268" s="345" t="str">
        <f>IF(E268="","",IF(OR('Quantification Tool R2'!B$12="73a",'Quantification Tool R2'!B$12="73b"),IF(E268&lt;1,0,IF(E268&gt;=30,1,ROUND(IF(E268&lt;22,'Reference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531" t="str">
        <f>IFERROR(AVERAGE(F268:F271),"")</f>
        <v/>
      </c>
      <c r="H268" s="568" t="str">
        <f>IFERROR(ROUND(AVERAGE(G268:G273),2),"")</f>
        <v/>
      </c>
      <c r="I268" s="519" t="str">
        <f>IF(H268="","",IF(H268&gt;0.69,"Functioning",IF(H268&gt;0.29,"Functioning At Risk",IF(H268&gt;-1,"Not Functioning"))))</f>
        <v/>
      </c>
      <c r="J268" s="559"/>
      <c r="K268" s="555"/>
      <c r="L268" s="21"/>
    </row>
    <row r="269" spans="1:12" ht="15.6" x14ac:dyDescent="0.3">
      <c r="A269" s="556"/>
      <c r="B269" s="561"/>
      <c r="C269" s="174" t="s">
        <v>335</v>
      </c>
      <c r="D269" s="175"/>
      <c r="E269" s="165"/>
      <c r="F269" s="346" t="str">
        <f>IF(E269="","",IF(AND('Quantification Tool R2'!$B$12="74b",'Quantification Tool R2'!$B$13&lt;=2),IF(E269&lt;0,0,IF(E269&gt;15.6,0.69,ROUND('Reference Standards'!$AL$54*E269^2+'Reference Standards'!$AL$55*E269+'Reference Standards'!$AL$56,2))),IF(AND('Quantification Tool R2'!$B$12="65abei",'Quantification Tool R2'!$B$13&lt;=2),IF(E269&lt;0,0,IF(E269&gt;=20,0.69,ROUND('Reference Standards'!$AM$54*E269^2+'Reference Standards'!$AM$55*E269+'Reference Standards'!$AM$56,2))),IF(OR(AND('Quantification Tool R2'!$B$12="74a",'Quantification Tool R2'!$B$13&gt;2,'Quantification Tool R2'!$B$19="January - June"),AND('Quantification Tool R2'!$B$12="71i",'Quantification Tool R2'!$B$13&gt;2,'Quantification Tool R2'!$B$20="SQBANK")),IF(E269&lt;0,0,IF(E269&gt;24.7,0.69,ROUND('Reference Standards'!$AN$54*E269^2+'Reference Standards'!$AN$55*E269+'Reference Standards'!$AN$56,2))),IF(OR('Quantification Tool R2'!$B$12="74b",'Quantification Tool R2'!$B$12="65abei"),IF(E269&lt;0,0,IF(E269&gt;32.7,0.69,ROUND('Reference Standards'!$AO$54*E269^2+'Reference Standards'!$AO$55*E269+'Reference Standards'!$AO$56,2))),IF(AND('Quantification Tool R2'!$B$12="68b",'Quantification Tool R2'!$B$13&gt;2),IF(E269&lt;0,0,IF(E269&gt;41.2,0.69,ROUND('Reference Standards'!$AP$54*E269^2+'Reference Standards'!$AP$55*E269+'Reference Standards'!$AP$56,2))),IF(OR(AND('Quantification Tool R2'!$B$12="71i",'Quantification Tool R2'!$B$13&lt;=2),AND(OR('Quantification Tool R2'!$B$12="68c",'Quantification Tool R2'!$B$12="68d"),'Quantification Tool R2'!$B$19="January - June")),IF(E269&lt;0,0,IF(E269&gt;49.2,0.69,ROUND('Reference Standards'!$AL$94*E269^2+'Reference Standards'!$AL$95*E269+'Reference Standards'!$AL$96,2))),IF(OR(AND('Quantification Tool R2'!$B$12="68a",'Quantification Tool R2'!$B$19="January - June"),AND(OR('Quantification Tool R2'!$B$12="68c",'Quantification Tool R2'!$B$12="68d"),'Quantification Tool R2'!$B$19="July - December")),IF(E269&lt;0,0,IF(E269&gt;53.4,0.69,ROUND('Reference Standards'!$AM$94*E269^2+'Reference Standards'!$AM$95*E269+'Reference Standards'!$AM$96,2))),IF(OR(AND('Quantification Tool R2'!$B$12="71i",'Quantification Tool R2'!$B$13&gt;2,'Quantification Tool R2'!$B$20="SQKICK"),AND(OR('Quantification Tool R2'!$B$12="67fhi",'Quantification Tool R2'!$B$12="67g"),'Quantification Tool R2'!$B$13&lt;=2),'Quantification Tool R2'!$B$12="65j"),IF(E269&lt;0,0,IF(E269&gt;57.8,0.69,ROUND('Reference Standards'!$AN$94*E269^2+'Reference Standards'!$AN$95*E269+'Reference Standards'!$AN$96,2))),IF(OR(AND('Quantification Tool R2'!$B$12="74a",'Quantification Tool R2'!$B$13&gt;2,'Quantification Tool R2'!$B$19="July - December"),AND(OR('Quantification Tool R2'!$B$12="67fhi",'Quantification Tool R2'!$B$12="67g"),'Quantification Tool R2'!$B$13&gt;2),'Quantification Tool R2'!$B$12="69de"),IF(E269&lt;0,0,IF(E269&gt;62.5,0.69,ROUND('Reference Standards'!$AO$94*E269^2+'Reference Standards'!$AO$95*E269+'Reference Standards'!$AO$96,2))),  IF(OR('Quantification Tool R2'!$B$12="66d",'Quantification Tool R2'!$B$12="66e",'Quantification Tool R2'!$B$12="66ik",'Quantification Tool R2'!$B$12="71e",'Quantification Tool R2'!$B$12="71f",'Quantification Tool R2'!$B$12="71g",'Quantification Tool R2'!$B$12="71h"),IF(E269&lt;0,0,IF(E269&gt;66.5,0.69,ROUND('Reference Standards'!$AP$94*E269^2+'Reference Standards'!$AP$95*E269+'Reference Standards'!$AP$96,2))),IF(OR('Quantification Tool R2'!$B$12="66f",'Quantification Tool R2'!$B$12="66g",'Quantification Tool R2'!$B$12="66j",AND('Quantification Tool R2'!$B$12="68a",'Quantification Tool R2'!$B$19="July - December")), IF(E269&lt;0,0,IF(E269&gt;69,0.69,ROUND('Reference Standards'!$AQ$94*E269^2+'Reference Standards'!$AQ$95*E269+'Reference Standards'!$AQ$96,2))))   )))))))))))</f>
        <v/>
      </c>
      <c r="G269" s="531"/>
      <c r="H269" s="568"/>
      <c r="I269" s="519"/>
      <c r="J269" s="559"/>
      <c r="K269" s="555"/>
      <c r="L269" s="21"/>
    </row>
    <row r="270" spans="1:12" ht="15.6" x14ac:dyDescent="0.3">
      <c r="A270" s="556"/>
      <c r="B270" s="561"/>
      <c r="C270" s="174" t="s">
        <v>339</v>
      </c>
      <c r="D270" s="175"/>
      <c r="E270" s="165"/>
      <c r="F270" s="346" t="str">
        <f>IF(E270="","",IF(AND('Quantification Tool R2'!$B$12="74b",'Quantification Tool R2'!$B$13&lt;=2),IF(E270&lt;0,0,IF(E270&gt;8.1,0.69,ROUND('Reference Standards'!$AL$131*E270^2+'Reference Standards'!$AL$132*E270+'Reference Standards'!$AL$133,2))),IF(OR('Quantification Tool R2'!$B$12="73a",'Quantification Tool R2'!$B$12="73b"),IF(E270&lt;0,0,IF(E270&gt;=28,0.69,ROUND('Reference Standards'!$AM$131*E270^2+'Reference Standards'!$AM$132*E270+'Reference Standards'!$AM$133,2))),IF(AND('Quantification Tool R2'!$B$12="74a",'Quantification Tool R2'!$B$13&gt;2,'Quantification Tool R2'!$B$19="January - June"),IF(E270&lt;0,0,IF(E270&gt;=32.5,0.69,ROUND('Reference Standards'!$AN$131*E270^2+'Reference Standards'!$AN$132*E270+'Reference Standards'!$AN$133,2))),IF(AND('Quantification Tool R2'!$B$12="71i",'Quantification Tool R2'!$B$13&gt;2,'Quantification Tool R2'!$B$20="SQBANK"),IF(E270&lt;0,0,IF(E270&gt;=37,0.69,ROUND('Reference Standards'!$AO$131*E270^2+'Reference Standards'!$AO$132*E270+'Reference Standards'!$AO$133,2))),IF(OR(AND(OR('Quantification Tool R2'!$B$12="65abei",'Quantification Tool R2'!$B$12="74b"),'Quantification Tool R2'!$B$13&gt;2),AND('Quantification Tool R2'!$B$12="71i",'Quantification Tool R2'!$B$13&gt;2,'Quantification Tool R2'!$B$20="SQKICK")),IF(E270&lt;0,0,IF(E270&gt;42.6,0.69,ROUND('Reference Standards'!$AP$131*E270^2+'Reference Standards'!$AP$132*E270+'Reference Standards'!$AP$133,2))),     IF(OR(AND('Quantification Tool R2'!$B$12="65abei",'Quantification Tool R2'!$B$13&lt;=2),AND(OR('Quantification Tool R2'!$B$12="68c",'Quantification Tool R2'!$B$12="68d"),'Quantification Tool R2'!$B$19="July - December"),'Quantification Tool R2'!$B$12="71e"),IF(E270&lt;0,0,IF(E270&gt;=48,0.69,ROUND('Reference Standards'!$AL$171*E270^2+'Reference Standards'!$AL$172*E270+'Reference Standards'!$AL$173,2))),IF(OR('Quantification Tool R2'!$B$12="65j",'Quantification Tool R2'!$B$12="67fhi",'Quantification Tool R2'!$B$12="67g",AND('Quantification Tool R2'!$B$12="74a",'Quantification Tool R2'!$B$19="July - December",'Quantification Tool R2'!$B$13&gt;2),AND('Quantification Tool R2'!$B$12="71i",'Quantification Tool R2'!$B$13&lt;=2)),IF(E270&lt;0,0,IF(E270&gt;=53,0.69,ROUND('Reference Standards'!$AM$171*E270^2+'Reference Standards'!$AM$172*E270+'Reference Standards'!$AM$173,2))),IF(OR(AND(OR('Quantification Tool R2'!$B$12="68b",'Quantification Tool R2'!$B$12="71f",'Quantification Tool R2'!$B$12="71g",'Quantification Tool R2'!$B$12="71h"),'Quantification Tool R2'!$B$13&gt;2),'Quantification Tool R2'!$B$12="68a"),IF(E270&lt;0,0,IF(E270&gt;=57,0.69,ROUND('Reference Standards'!$AN$171*E270^2+'Reference Standards'!$AN$172*E270+'Reference Standards'!$AN$173,2))),IF(OR('Quantification Tool R2'!$B$12="66f",'Quantification Tool R2'!$B$12="66g",'Quantification Tool R2'!$B$12="66j",AND(OR('Quantification Tool R2'!$B$12="71f",'Quantification Tool R2'!$B$12="71g",'Quantification Tool R2'!$B$12="71h"),'Quantification Tool R2'!$B$13&lt;=2)),IF(E270&lt;0,0,IF(E270&gt;=60,0.69,ROUND('Reference Standards'!$AO$171*E270^2+'Reference Standards'!$AO$172*E270+'Reference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December")),IF(E270&lt;0,0,IF(E270&gt;=67.5,0.69,ROUND('Reference Standards'!$AP$171*E270^2+'Reference Standards'!$AP$172*E270+'Reference Standards'!$AP$173,2))),IF(AND('Quantification Tool R2'!$B$12="69de",'Quantification Tool R2'!$B$19="January - June"), IF(E270&lt;0,0,IF(E270&gt;=72,0.69,ROUND('Reference Standards'!$AQ$171*E270^2+'Reference Standards'!$AQ$172*E270+'Reference Standards'!$AQ$173,2))))   )))))))))))</f>
        <v/>
      </c>
      <c r="G270" s="531"/>
      <c r="H270" s="568"/>
      <c r="I270" s="519"/>
      <c r="J270" s="559"/>
      <c r="K270" s="555"/>
      <c r="L270" s="21"/>
    </row>
    <row r="271" spans="1:12" ht="15.6" x14ac:dyDescent="0.3">
      <c r="A271" s="556"/>
      <c r="B271" s="562"/>
      <c r="C271" s="127" t="s">
        <v>336</v>
      </c>
      <c r="D271" s="71"/>
      <c r="E271" s="167"/>
      <c r="F271" s="346" t="str">
        <f>IF(E271="","",IF(OR('Quantification Tool R2'!$B$12="67fhi",'Quantification Tool R2'!$B$12="67g",'Quantification Tool R2'!$B$12="71e",'Quantification Tool R2'!$B$12="73a",'Quantification Tool R2'!$B$12="73b",AND(OR('Quantification Tool R2'!$B$12="71f",'Quantification Tool R2'!$B$12="71g",'Quantification Tool R2'!$B$12="71h"),'Quantification Tool R2'!$B$13&gt;2)),IF(E271&gt;100,0,IF(E271&lt;15,0.69,ROUND('Reference Standards'!$AL$208*E271^2+'Reference Standards'!$AL$209*E271+'Reference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),IF(E271&gt;100,0,IF(E271&lt;19,0.69,ROUND('Reference Standards'!$AM$208*E271^2+'Reference Standards'!$AM$209*E271+'Reference Standards'!$AM$210,2))),    IF(OR(AND('Quantification Tool R2'!$B$12="69de",'Quantification Tool R2'!$B$19="January - June"),AND('Quantification Tool R2'!$B$12="71i",'Quantification Tool R2'!$B$13&gt;2,'Quantification Tool R2'!$B$20="SQKICK" )),IF(E271&gt;100,0,IF(E271&lt;22,0.69,ROUND('Reference Standards'!$AN$208*E271^2+'Reference Standards'!$AN$209*E271+'Reference Standards'!$AN$210,2))),    IF(OR('Quantification Tool R2'!$B$12="65j",AND('Quantification Tool R2'!$B$12="68b",'Quantification Tool R2'!$B$13&gt;2)),IF(E271&gt;100,0,IF(E271&lt;24,0.69,ROUND('Reference Standards'!$AO$208*E271^2+'Reference Standards'!$AO$209*E271+'Reference Standards'!$AO$210,2))),    IF(AND(OR('Quantification Tool R2'!$B$12="65abei",'Quantification Tool R2'!$B$12="71f",'Quantification Tool R2'!$B$12="71g",'Quantification Tool R2'!$B$12="71h"),'Quantification Tool R2'!$B$13&lt;=2),IF(E271&gt;95,0,IF(E271&lt;33,0.69,ROUND('Reference Standards'!$AL$246*E271^2+'Reference Standards'!$AL$247*E271+'Reference Standards'!$AL$248,2))),   IF(AND(OR('Quantification Tool R2'!$B$12="65abei",'Quantification Tool R2'!$B$12="74b"),'Quantification Tool R2'!$B$13&gt;2),IF(E271&gt;97,0,IF(E271&lt;36,0.69,ROUND('Reference Standards'!$AM$246*E271^2+'Reference Standards'!$AM$247*E271+'Reference Standards'!$AM$248,2))),  IF(AND('Quantification Tool R2'!$B$12="74a",'Quantification Tool R2'!$B$19="January - June",'Quantification Tool R2'!$B$13&gt;2),IF(E271&gt;93,0,IF(E271&lt;52,0.69,ROUND('Reference Standards'!$AN$246*E271^2+'Reference Standards'!$AN$247*E271+'Reference Standards'!$AN$248,2))),   IF(AND('Quantification Tool R2'!$B$12="74b",'Quantification Tool R2'!$B$13&lt;=2),IF(E271&gt;97,0,IF(E271&lt;62,0.69,ROUND('Reference Standards'!$AO$246*E271^2+'Reference Standards'!$AO$247*E271+'Reference Standards'!$AO$248,2)))  )))))))))</f>
        <v/>
      </c>
      <c r="G271" s="531"/>
      <c r="H271" s="568"/>
      <c r="I271" s="519"/>
      <c r="J271" s="559"/>
      <c r="K271" s="555"/>
      <c r="L271" s="21"/>
    </row>
    <row r="272" spans="1:12" ht="15.6" x14ac:dyDescent="0.3">
      <c r="A272" s="556"/>
      <c r="B272" s="563" t="s">
        <v>74</v>
      </c>
      <c r="C272" s="125" t="s">
        <v>211</v>
      </c>
      <c r="D272" s="126"/>
      <c r="E272" s="166"/>
      <c r="F272" s="345" t="str">
        <f>IF(E272="","",IF(E272=1,0.15,IF(E272=3,0.5,IF(E272=5,0.85,0))))</f>
        <v/>
      </c>
      <c r="G272" s="564" t="str">
        <f>IFERROR(AVERAGE(F272:F273),"")</f>
        <v/>
      </c>
      <c r="H272" s="568"/>
      <c r="I272" s="519"/>
      <c r="J272" s="559"/>
      <c r="K272" s="555"/>
      <c r="L272" s="21"/>
    </row>
    <row r="273" spans="1:12" ht="15.6" x14ac:dyDescent="0.3">
      <c r="A273" s="551"/>
      <c r="B273" s="563"/>
      <c r="C273" s="127" t="s">
        <v>332</v>
      </c>
      <c r="D273" s="71"/>
      <c r="E273" s="167"/>
      <c r="F273" s="347" t="str">
        <f>IF(E273="","",IF(E273=1,0.15,IF(E273=3,0.5,IF(E273=5,0.85,0))))</f>
        <v/>
      </c>
      <c r="G273" s="565"/>
      <c r="H273" s="568"/>
      <c r="I273" s="519"/>
      <c r="J273" s="559"/>
      <c r="K273" s="555"/>
      <c r="L273" s="21"/>
    </row>
    <row r="274" spans="1:12" x14ac:dyDescent="0.3">
      <c r="L274" s="21"/>
    </row>
    <row r="275" spans="1:12" x14ac:dyDescent="0.3">
      <c r="L275" s="21"/>
    </row>
    <row r="276" spans="1:12" ht="21" x14ac:dyDescent="0.4">
      <c r="A276" s="148" t="s">
        <v>135</v>
      </c>
      <c r="B276" s="246"/>
      <c r="C276" s="249" t="s">
        <v>324</v>
      </c>
      <c r="D276" s="246"/>
      <c r="E276" s="247"/>
      <c r="F276" s="248"/>
      <c r="G276" s="544" t="s">
        <v>18</v>
      </c>
      <c r="H276" s="545"/>
      <c r="I276" s="545"/>
      <c r="J276" s="545"/>
      <c r="K276" s="546"/>
      <c r="L276" s="21"/>
    </row>
    <row r="277" spans="1:12" ht="15.6" x14ac:dyDescent="0.3">
      <c r="A277" s="158" t="s">
        <v>1</v>
      </c>
      <c r="B277" s="158" t="s">
        <v>2</v>
      </c>
      <c r="C277" s="542" t="s">
        <v>3</v>
      </c>
      <c r="D277" s="644"/>
      <c r="E277" s="158" t="s">
        <v>15</v>
      </c>
      <c r="F277" s="158" t="s">
        <v>16</v>
      </c>
      <c r="G277" s="158" t="s">
        <v>19</v>
      </c>
      <c r="H277" s="158" t="s">
        <v>20</v>
      </c>
      <c r="I277" s="314" t="s">
        <v>20</v>
      </c>
      <c r="J277" s="158" t="s">
        <v>21</v>
      </c>
      <c r="K277" s="315" t="s">
        <v>21</v>
      </c>
    </row>
    <row r="278" spans="1:12" ht="15.6" x14ac:dyDescent="0.3">
      <c r="A278" s="540" t="s">
        <v>60</v>
      </c>
      <c r="B278" s="308" t="s">
        <v>86</v>
      </c>
      <c r="C278" s="52" t="s">
        <v>388</v>
      </c>
      <c r="D278" s="52"/>
      <c r="E278" s="162"/>
      <c r="F278" s="338" t="str">
        <f>IF(E278="","",IF(E278&lt;=0,0,IF(E278&gt;=0.95,1,ROUND('Reference Standards'!C$14*E278+'Reference Standards'!C$15,2))))</f>
        <v/>
      </c>
      <c r="G278" s="83" t="str">
        <f>IFERROR(AVERAGE(F278),"")</f>
        <v/>
      </c>
      <c r="H278" s="522" t="str">
        <f>IFERROR(ROUND(AVERAGE(G278:G279),2),"")</f>
        <v/>
      </c>
      <c r="I278" s="519" t="str">
        <f>IF(H278="","",IF(H278&gt;0.69,"Functioning",IF(H278&gt;0.29,"Functioning At Risk",IF(H278&gt;-1,"Not Functioning"))))</f>
        <v/>
      </c>
      <c r="J278" s="559" t="str">
        <f>IF(AND(H278="",H280="",H282="",H304="",H308=""),"",ROUND((IF(H278="",0,H278)*0.2)+(IF(H280="",0,H280)*0.2)+(IF(H282="",0,H282)*0.2)+(IF(H304="",0,H304)*0.2)+(IF(H308="",0,H308)*0.2),2))</f>
        <v/>
      </c>
      <c r="K278" s="555" t="str">
        <f>IF(J278="","",IF(J278&lt;0.3, "Not Functioning",IF(OR(H278&lt;0.7,H280&lt;0.7,H282&lt;0.7,H304&lt;0.7,H308&lt;0.7),"Functioning At Risk",IF(J278&lt;0.7,"Functioning At Risk","Functioning"))))</f>
        <v/>
      </c>
    </row>
    <row r="279" spans="1:12" ht="15.6" x14ac:dyDescent="0.3">
      <c r="A279" s="541"/>
      <c r="B279" s="371" t="s">
        <v>128</v>
      </c>
      <c r="C279" s="373" t="s">
        <v>161</v>
      </c>
      <c r="D279" s="374"/>
      <c r="E279" s="43"/>
      <c r="F279" s="372" t="str">
        <f>IF(E279="","",IF(E279&gt;=1,1,IF(E279&lt;=0,0,ROUND(E279,2))))</f>
        <v/>
      </c>
      <c r="G279" s="367" t="str">
        <f>IFERROR(AVERAGE(F279:F279),"")</f>
        <v/>
      </c>
      <c r="H279" s="523"/>
      <c r="I279" s="519"/>
      <c r="J279" s="559"/>
      <c r="K279" s="555"/>
    </row>
    <row r="280" spans="1:12" ht="15.6" x14ac:dyDescent="0.3">
      <c r="A280" s="524" t="s">
        <v>6</v>
      </c>
      <c r="B280" s="572" t="s">
        <v>7</v>
      </c>
      <c r="C280" s="54" t="s">
        <v>8</v>
      </c>
      <c r="D280" s="54"/>
      <c r="E280" s="162"/>
      <c r="F280" s="339" t="str">
        <f>IF(E280="","",ROUND(IF(E280&gt;1.6,0,IF(E280&lt;=1,1,E280^2*'Reference Standards'!K$14+E280*'Reference Standards'!K$15+'Reference Standards'!K$16)),2))</f>
        <v/>
      </c>
      <c r="G280" s="579" t="str">
        <f>IFERROR(AVERAGE(F280:F281),"")</f>
        <v/>
      </c>
      <c r="H280" s="579" t="str">
        <f>IFERROR(ROUND(AVERAGE(G280),2),"")</f>
        <v/>
      </c>
      <c r="I280" s="569" t="str">
        <f>IF(H280="","",IF(H280&gt;0.69,"Functioning",IF(H280&gt;0.29,"Functioning At Risk",IF(H280&gt;-1,"Not Functioning"))))</f>
        <v/>
      </c>
      <c r="J280" s="559"/>
      <c r="K280" s="555"/>
    </row>
    <row r="281" spans="1:12" ht="15.6" x14ac:dyDescent="0.3">
      <c r="A281" s="525"/>
      <c r="B281" s="572"/>
      <c r="C281" s="54" t="s">
        <v>9</v>
      </c>
      <c r="D281" s="54"/>
      <c r="E281" s="163"/>
      <c r="F281" s="339" t="str">
        <f>IF(E281="","",(IF(OR('Quantification Tool R2'!B$11="A",'Quantification Tool R2'!B$11="B",'Quantification Tool R2'!$B$11="Bc"),IF(E281&lt;1.2,0,IF(E281&gt;=2.2,1,ROUND(IF(E281&lt;1.4,E281*'Reference Standards'!$K$84+'Reference Standards'!$K$85,E281*'Reference Standards'!$L$84+'Reference Standards'!$L$85),2))),IF(OR('Quantification Tool R2'!B$11="C",'Quantification Tool R2'!B$11="E"),IF(E281&lt;2,0,IF(E281&gt;=5,1,ROUND(IF(E281&lt;2.4,E281*'Reference Standards'!$L$49+'Reference Standards'!$L$50,E281*'Reference Standards'!$K$49+'Reference Standards'!$K$50),2)))))))</f>
        <v/>
      </c>
      <c r="G281" s="581"/>
      <c r="H281" s="580"/>
      <c r="I281" s="570"/>
      <c r="J281" s="559"/>
      <c r="K281" s="555"/>
    </row>
    <row r="282" spans="1:12" ht="15.6" x14ac:dyDescent="0.3">
      <c r="A282" s="526" t="s">
        <v>26</v>
      </c>
      <c r="B282" s="557" t="s">
        <v>27</v>
      </c>
      <c r="C282" s="60" t="s">
        <v>333</v>
      </c>
      <c r="D282" s="244"/>
      <c r="E282" s="61"/>
      <c r="F282" s="340" t="str">
        <f>IF(E282="","",IF(OR(LEFT('Quantification Tool R2'!$B$12,2)="65",LEFT('Quantification Tool R2'!$B$12,2)="66",LEFT('Quantification Tool R2'!$B$12,2)="71"),IF(E282&gt;=850,1,IF(E282&lt;250,ROUND('Reference Standards'!$S$17*(E282)+'Reference Standards'!$S$18,2),ROUND('Reference Standards'!$T$17*E282+'Reference Standards'!$T$18,2))),  IF(E282&gt;=345,1,IF(E282&lt;=180,ROUND('Reference Standards'!$U$17*(E282)+'Reference Standards'!$U$18,2),ROUND('Reference Standards'!$V$17*E282+'Reference Standards'!$V$18,2))))    )</f>
        <v/>
      </c>
      <c r="G282" s="528" t="str">
        <f>IFERROR(AVERAGE(F282:F283),"")</f>
        <v/>
      </c>
      <c r="H282" s="566" t="str">
        <f>IFERROR(ROUND(AVERAGE(G282:G303),2),"")</f>
        <v/>
      </c>
      <c r="I282" s="555" t="str">
        <f>IF(H282="","",IF(H282&gt;0.69,"Functioning",IF(H282&gt;0.29,"Functioning At Risk",IF(H282&gt;-1,"Not Functioning"))))</f>
        <v/>
      </c>
      <c r="J282" s="559"/>
      <c r="K282" s="555"/>
    </row>
    <row r="283" spans="1:12" ht="15.6" x14ac:dyDescent="0.3">
      <c r="A283" s="520"/>
      <c r="B283" s="558"/>
      <c r="C283" s="63" t="s">
        <v>323</v>
      </c>
      <c r="D283" s="245"/>
      <c r="E283" s="53"/>
      <c r="F283" s="341" t="str">
        <f>IF(E283="","",IF(OR(LEFT('Quantification Tool R2'!$B$12,2)="65",LEFT('Quantification Tool R2'!$B$12,2)="66",LEFT('Quantification Tool R2'!$B$12,2)="71"),IF(E283&gt;=30,1,IF(E283&lt;13,ROUND('Reference Standards'!$S$53*(E283)+'Reference Standards'!$S$54,2),ROUND('Reference Standards'!$T$53*E283+'Reference Standards'!$T$54,2))),  IF(E283&gt;=16,1,IF(E283&lt;=9,ROUND('Reference Standards'!$U$53*(E283)+'Reference Standards'!$U$54,2),ROUND('Reference Standards'!$V$53*E283+'Reference Standards'!$V$54,2))))    )</f>
        <v/>
      </c>
      <c r="G283" s="530"/>
      <c r="H283" s="566"/>
      <c r="I283" s="555"/>
      <c r="J283" s="559"/>
      <c r="K283" s="555"/>
    </row>
    <row r="284" spans="1:12" ht="15.6" x14ac:dyDescent="0.3">
      <c r="A284" s="520"/>
      <c r="B284" s="520" t="s">
        <v>395</v>
      </c>
      <c r="C284" s="58" t="s">
        <v>80</v>
      </c>
      <c r="D284" s="58"/>
      <c r="E284" s="165"/>
      <c r="F284" s="340" t="str">
        <f>IF(E284="","",ROUND(IF(E284&gt;0.7,0,IF(E284&lt;=0.1,1,E284^3*'Reference Standards'!S$87+E284^2*'Reference Standards'!S$88+E284*'Reference Standards'!S$89+'Reference Standards'!S$90)),2))</f>
        <v/>
      </c>
      <c r="G284" s="528" t="str">
        <f>IFERROR(ROUND(AVERAGE(F284:F287),2),"")</f>
        <v/>
      </c>
      <c r="H284" s="567"/>
      <c r="I284" s="555"/>
      <c r="J284" s="559"/>
      <c r="K284" s="555"/>
    </row>
    <row r="285" spans="1:12" ht="15.6" x14ac:dyDescent="0.3">
      <c r="A285" s="520"/>
      <c r="B285" s="520"/>
      <c r="C285" s="58" t="s">
        <v>49</v>
      </c>
      <c r="D285" s="58"/>
      <c r="E285" s="165"/>
      <c r="F285" s="84"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529"/>
      <c r="H285" s="567"/>
      <c r="I285" s="555"/>
      <c r="J285" s="559"/>
      <c r="K285" s="555"/>
    </row>
    <row r="286" spans="1:12" ht="15.6" x14ac:dyDescent="0.3">
      <c r="A286" s="520"/>
      <c r="B286" s="520"/>
      <c r="C286" s="58" t="s">
        <v>87</v>
      </c>
      <c r="D286" s="58"/>
      <c r="E286" s="165"/>
      <c r="F286" s="84" t="str">
        <f>IF(E286="","",ROUND(IF(E286&gt;40,0,IF(E286&lt;5,1,E286^3*'Reference Standards'!S$122+E286^2*'Reference Standards'!S$123+E286*'Reference Standards'!S$124+'Reference Standards'!S$125)),2))</f>
        <v/>
      </c>
      <c r="G286" s="529"/>
      <c r="H286" s="567"/>
      <c r="I286" s="555"/>
      <c r="J286" s="559"/>
      <c r="K286" s="555"/>
    </row>
    <row r="287" spans="1:12" ht="15.6" x14ac:dyDescent="0.3">
      <c r="A287" s="520"/>
      <c r="B287" s="521"/>
      <c r="C287" s="59" t="s">
        <v>394</v>
      </c>
      <c r="D287" s="59"/>
      <c r="E287" s="167"/>
      <c r="F287" s="341" t="str">
        <f>IF(E287="","",ROUND(IF(E287&gt;=30,0,IF(E287&lt;=0,1,E287*'Reference Standards'!S$156+'Reference Standards'!S$157)),2))</f>
        <v/>
      </c>
      <c r="G287" s="530"/>
      <c r="H287" s="567"/>
      <c r="I287" s="555"/>
      <c r="J287" s="559"/>
      <c r="K287" s="555"/>
    </row>
    <row r="288" spans="1:12" ht="15.6" x14ac:dyDescent="0.3">
      <c r="A288" s="520"/>
      <c r="B288" s="520" t="s">
        <v>50</v>
      </c>
      <c r="C288" s="60" t="s">
        <v>377</v>
      </c>
      <c r="D288" s="64"/>
      <c r="E288" s="136"/>
      <c r="F288" s="294" t="str">
        <f>IF(E288="","",ROUND(IF(E288&gt;9.2,1,E288*'Reference Standards'!$S$189+'Reference Standards'!$S$190),2))</f>
        <v/>
      </c>
      <c r="G288" s="552" t="str">
        <f>IFERROR(ROUND(AVERAGE(F288:F297),2),"")</f>
        <v/>
      </c>
      <c r="H288" s="567"/>
      <c r="I288" s="555"/>
      <c r="J288" s="559"/>
      <c r="K288" s="555"/>
    </row>
    <row r="289" spans="1:13" ht="15.6" x14ac:dyDescent="0.3">
      <c r="A289" s="520"/>
      <c r="B289" s="520"/>
      <c r="C289" s="62" t="s">
        <v>378</v>
      </c>
      <c r="D289" s="58"/>
      <c r="E289" s="162"/>
      <c r="F289" s="294" t="str">
        <f>IF(E289="","",ROUND(IF(E289&gt;9.2,1,E289*'Reference Standards'!$S$189+'Reference Standards'!$S$190),2))</f>
        <v/>
      </c>
      <c r="G289" s="553"/>
      <c r="H289" s="567"/>
      <c r="I289" s="555"/>
      <c r="J289" s="559"/>
      <c r="K289" s="555"/>
    </row>
    <row r="290" spans="1:13" ht="15.6" x14ac:dyDescent="0.3">
      <c r="A290" s="520"/>
      <c r="B290" s="520"/>
      <c r="C290" s="62" t="s">
        <v>379</v>
      </c>
      <c r="D290" s="58"/>
      <c r="E290" s="162"/>
      <c r="F290" s="294" t="str">
        <f>IF(E290="","",ROUND( IF(E290&gt;=200,1,IF(E290&lt;50, E290^2*'Reference Standards'!S$224+E290*'Reference Standards'!S$225+'Reference Standards'!S$226, E290*'Reference Standards'!T$224+'Reference Standards'!T$225)),2))</f>
        <v/>
      </c>
      <c r="G290" s="553"/>
      <c r="H290" s="567"/>
      <c r="I290" s="555"/>
      <c r="J290" s="559"/>
      <c r="K290" s="555"/>
    </row>
    <row r="291" spans="1:13" ht="15.6" x14ac:dyDescent="0.3">
      <c r="A291" s="520"/>
      <c r="B291" s="520"/>
      <c r="C291" s="62" t="s">
        <v>380</v>
      </c>
      <c r="D291" s="58"/>
      <c r="E291" s="162"/>
      <c r="F291" s="294" t="str">
        <f>IF(E291="","",ROUND( IF(E291&gt;=200,1,IF(E291&lt;50, E291^2*'Reference Standards'!S$224+E291*'Reference Standards'!S$225+'Reference Standards'!S$226, E291*'Reference Standards'!T$224+'Reference Standards'!T$225)),2))</f>
        <v/>
      </c>
      <c r="G291" s="553"/>
      <c r="H291" s="567"/>
      <c r="I291" s="555"/>
      <c r="J291" s="559"/>
      <c r="K291" s="555"/>
    </row>
    <row r="292" spans="1:13" ht="15.6" x14ac:dyDescent="0.3">
      <c r="A292" s="520"/>
      <c r="B292" s="520"/>
      <c r="C292" s="58" t="s">
        <v>381</v>
      </c>
      <c r="D292" s="58"/>
      <c r="E292" s="162"/>
      <c r="F292" s="294" t="str">
        <f>IF(E292="","",ROUND(IF(AND(E292&gt;=135,E292&lt;=262),1,IF(  E292&gt;=366,0.5, IF(E292&lt;135,E292*'Reference Standards'!S$259+'Reference Standards'!S$260, E292*'Reference Standards'!T$259+'Reference Standards'!T$260))),2))</f>
        <v/>
      </c>
      <c r="G292" s="553"/>
      <c r="H292" s="567"/>
      <c r="I292" s="555"/>
      <c r="J292" s="559"/>
      <c r="K292" s="555"/>
    </row>
    <row r="293" spans="1:13" ht="15.6" x14ac:dyDescent="0.3">
      <c r="A293" s="520"/>
      <c r="B293" s="520"/>
      <c r="C293" s="58" t="s">
        <v>382</v>
      </c>
      <c r="D293" s="58"/>
      <c r="E293" s="162"/>
      <c r="F293" s="294" t="str">
        <f>IF(E293="","",ROUND(IF(AND(E293&gt;=135,E293&lt;=262),1,IF(  E293&gt;=366,0.5, IF(E293&lt;135,E293*'Reference Standards'!S$259+'Reference Standards'!S$260, E293*'Reference Standards'!T$259+'Reference Standards'!T$260))),2))</f>
        <v/>
      </c>
      <c r="G293" s="553"/>
      <c r="H293" s="567"/>
      <c r="I293" s="555"/>
      <c r="J293" s="559"/>
      <c r="K293" s="555"/>
    </row>
    <row r="294" spans="1:13" ht="15.6" x14ac:dyDescent="0.3">
      <c r="A294" s="520"/>
      <c r="B294" s="520"/>
      <c r="C294" s="58" t="s">
        <v>383</v>
      </c>
      <c r="D294" s="58"/>
      <c r="E294" s="162"/>
      <c r="F294" s="84" t="str">
        <f>IF(E294="","",ROUND(IF(E294&gt;=75,1,IF(E294&lt;=0,0,E294*'Reference Standards'!S$330)),2))</f>
        <v/>
      </c>
      <c r="G294" s="553"/>
      <c r="H294" s="567"/>
      <c r="I294" s="555"/>
      <c r="J294" s="559"/>
      <c r="K294" s="555"/>
    </row>
    <row r="295" spans="1:13" ht="15.6" x14ac:dyDescent="0.3">
      <c r="A295" s="520"/>
      <c r="B295" s="520"/>
      <c r="C295" s="58" t="s">
        <v>384</v>
      </c>
      <c r="D295" s="58"/>
      <c r="E295" s="162"/>
      <c r="F295" s="84" t="str">
        <f>IF(E295="","",ROUND(IF(E295&gt;=75,1,IF(E295&lt;=0,0,E295*'Reference Standards'!S$330)),2))</f>
        <v/>
      </c>
      <c r="G295" s="553"/>
      <c r="H295" s="567"/>
      <c r="I295" s="555"/>
      <c r="J295" s="559"/>
      <c r="K295" s="555"/>
    </row>
    <row r="296" spans="1:13" ht="15.6" x14ac:dyDescent="0.3">
      <c r="A296" s="520"/>
      <c r="B296" s="520"/>
      <c r="C296" s="58" t="s">
        <v>385</v>
      </c>
      <c r="D296" s="58"/>
      <c r="E296" s="162"/>
      <c r="F296" s="294" t="str">
        <f>IF(E296="","",ROUND(IF(AND(E296&gt;=36.3,E296&lt;=68),1,IF(E296&gt;100,0,IF(E296&lt;36.3,(('Reference Standards'!S$297*(E296^2))+('Reference Standards'!S$298*E296)+'Reference Standards'!S$299),IF(E296&gt;68,(('Reference Standards'!T$297*(E296^2))+('Reference Standards'!T$298*E296)+'Reference Standards'!T$299))))),2))</f>
        <v/>
      </c>
      <c r="G296" s="553"/>
      <c r="H296" s="567"/>
      <c r="I296" s="555"/>
      <c r="J296" s="559"/>
      <c r="K296" s="555"/>
      <c r="M296" s="21"/>
    </row>
    <row r="297" spans="1:13" ht="15.6" x14ac:dyDescent="0.3">
      <c r="A297" s="520"/>
      <c r="B297" s="521"/>
      <c r="C297" s="58" t="s">
        <v>386</v>
      </c>
      <c r="D297" s="65"/>
      <c r="E297" s="162"/>
      <c r="F297" s="294" t="str">
        <f>IF(E297="","",ROUND(IF(AND(E297&gt;=36.3,E297&lt;=68),1,IF(E297&gt;100,0,IF(E297&lt;36.3,(('Reference Standards'!S$297*(E297^2))+('Reference Standards'!S$298*E297)+'Reference Standards'!S$299),IF(E297&gt;68,(('Reference Standards'!T$297*(E297^2))+('Reference Standards'!T$298*E297)+'Reference Standards'!T$299))))),2))</f>
        <v/>
      </c>
      <c r="G297" s="554"/>
      <c r="H297" s="567"/>
      <c r="I297" s="555"/>
      <c r="J297" s="559"/>
      <c r="K297" s="555"/>
    </row>
    <row r="298" spans="1:13" ht="15.6" x14ac:dyDescent="0.3">
      <c r="A298" s="520"/>
      <c r="B298" s="56" t="s">
        <v>108</v>
      </c>
      <c r="C298" s="72" t="s">
        <v>130</v>
      </c>
      <c r="D298" s="58"/>
      <c r="E298" s="43"/>
      <c r="F298" s="82" t="str">
        <f>IF(E298="","",IF(OR('Quantification Tool R2'!B$14="Gravel",'Quantification Tool R2'!B$14="Cobble"),IF(E298&gt;0.1,1,IF(E298&lt;=0.01,0,ROUND(E298*'Reference Standards'!$S$362+'Reference Standards'!$S$363,2)))))</f>
        <v/>
      </c>
      <c r="G298" s="82" t="str">
        <f>IFERROR(AVERAGE(F298),"")</f>
        <v/>
      </c>
      <c r="H298" s="567"/>
      <c r="I298" s="555"/>
      <c r="J298" s="559"/>
      <c r="K298" s="555"/>
    </row>
    <row r="299" spans="1:13" ht="15.6" x14ac:dyDescent="0.3">
      <c r="A299" s="520"/>
      <c r="B299" s="526" t="s">
        <v>51</v>
      </c>
      <c r="C299" s="64" t="s">
        <v>52</v>
      </c>
      <c r="D299" s="64"/>
      <c r="E299" s="166"/>
      <c r="F299" s="337" t="str">
        <f>IF(E299="","",IF(ISNUMBER('Quantification Tool R2'!$B$17),IF('Quantification Tool R2'!$B$17&lt;=2,IF(AND(E299&gt;=3,E299&lt;=5),1,IF(OR(E299&lt;=1,E299&gt;=7),0,ROUND(IF(E299&lt;3,E299*'Reference Standards'!S$398+'Reference Standards'!S$399,E299*'Reference Standards'!T$398+'Reference Standards'!T$399),2))),IF(E299&lt;=2.5,1,IF(E299&gt;=5.8,0,ROUND(E299*'Reference Standards'!S$430+'Reference Standards'!S$431,2))))))</f>
        <v/>
      </c>
      <c r="G299" s="528" t="str">
        <f>IFERROR(AVERAGE(F299:F302),"")</f>
        <v/>
      </c>
      <c r="H299" s="567"/>
      <c r="I299" s="555"/>
      <c r="J299" s="559"/>
      <c r="K299" s="555"/>
    </row>
    <row r="300" spans="1:13" ht="15.6" x14ac:dyDescent="0.3">
      <c r="A300" s="520"/>
      <c r="B300" s="520"/>
      <c r="C300" s="58" t="s">
        <v>53</v>
      </c>
      <c r="D300" s="58"/>
      <c r="E300" s="165"/>
      <c r="F300" s="84" t="str">
        <f>IF(E300="","", IF( E300&gt;=2.4,1, IF(E300&lt;=1,0,  ROUND(IF(E300&lt;2.4, E300*'Reference Standards'!$S$464+'Reference Standards'!$S$465  ),2))))</f>
        <v/>
      </c>
      <c r="G300" s="529"/>
      <c r="H300" s="567"/>
      <c r="I300" s="555"/>
      <c r="J300" s="559"/>
      <c r="K300" s="555"/>
    </row>
    <row r="301" spans="1:13" ht="15.6" x14ac:dyDescent="0.3">
      <c r="A301" s="520"/>
      <c r="B301" s="520"/>
      <c r="C301" s="58" t="s">
        <v>334</v>
      </c>
      <c r="D301" s="58"/>
      <c r="E301" s="165"/>
      <c r="F301" s="390" t="str">
        <f>IF(E301="","", IF(LEFT('Quantification Tool R2'!$B$12,2)="67",  IF( AND(E301&gt;=45,E301&lt;=65),1, IF(OR(E301&lt;=20,E301&gt;=90),0, ROUND(  IF(E301&lt;45, E301*'Reference Standards'!$S$498+'Reference Standards'!$S$499,E301*'Reference Standards'!$T$498+'Reference Standards'!$T$499),2))), IF(OR(  LEFT('Quantification Tool R2'!$B$12,2)="68", LEFT('Quantification Tool R2'!$B$12,2)="69",LEFT('Quantification Tool R2'!$B$12,2)="71"),  IF( AND(E301&gt;=30,E301&lt;=50),1, IF(OR(E301&lt;=10,E301&gt;=70),0, ROUND(  IF(E301&lt;30, E301*'Reference Standards'!$S$533+'Reference Standards'!$S$534,E301*'Reference Standards'!$T$533+'Reference Standards'!$T$534),2))), IF(LEFT('Quantification Tool R2'!$B$12,2)="66",  IF( AND(E301&gt;=20,E301&lt;=45),1, IF(OR(E301&lt;=0,E301&gt;=90),0, ROUND(  IF(E301&lt;20, E301*'Reference Standards'!$S$567+'Reference Standards'!$S$568,E301*'Reference Standards'!$T$567+'Reference Standards'!$T$568),2))), IF(OR(  LEFT('Quantification Tool R2'!$B$12,2)="65", LEFT('Quantification Tool R2'!$B$12,2)="74", LEFT('Quantification Tool R2'!$B$12,2)="73"),  IF( AND(E301&gt;=20,E301&lt;=30),1, IF(OR(E301&lt;=0,E301&gt;=50),0, ROUND(  IF(E301&lt;20, E301*'Reference Standards'!$S$601+'Reference Standards'!$S$602,E301*'Reference Standards'!$T$601+'Reference Standards'!$T$602),2))))))))</f>
        <v/>
      </c>
      <c r="G301" s="529"/>
      <c r="H301" s="567"/>
      <c r="I301" s="555"/>
      <c r="J301" s="559"/>
      <c r="K301" s="555"/>
    </row>
    <row r="302" spans="1:13" ht="15.6" x14ac:dyDescent="0.3">
      <c r="A302" s="520"/>
      <c r="B302" s="521"/>
      <c r="C302" s="62" t="s">
        <v>210</v>
      </c>
      <c r="D302" s="58"/>
      <c r="E302" s="167"/>
      <c r="F302" s="391" t="str">
        <f>IF(E302="","",IF(E302&gt;=1.6,0,IF(E302&lt;=1,1,ROUND('Reference Standards'!$S$633*E302^3+'Reference Standards'!$S$634*E302^2+'Reference Standards'!$S$635*E302+'Reference Standards'!$S$636,2))))</f>
        <v/>
      </c>
      <c r="G302" s="530"/>
      <c r="H302" s="567"/>
      <c r="I302" s="555"/>
      <c r="J302" s="559"/>
      <c r="K302" s="555"/>
    </row>
    <row r="303" spans="1:13" ht="15.6" x14ac:dyDescent="0.3">
      <c r="A303" s="521"/>
      <c r="B303" s="309" t="s">
        <v>55</v>
      </c>
      <c r="C303" s="242" t="s">
        <v>54</v>
      </c>
      <c r="D303" s="243"/>
      <c r="E303" s="163"/>
      <c r="F303" s="342" t="str">
        <f>IF(E303="","",IF(AND('Quantification Tool R2'!B$11="E",'Quantification Tool R2'!$B$14="Sand",'Quantification Tool R2'!$B$21="Unconfined Alluvial"),ROUND(IF(OR(E303&gt;1.8,E303&lt;1.3),0,IF(E303&lt;=1.6,1,E303*'Reference Standards'!S$667+'Reference Standards'!S$668)),2),    IF('Quantification Tool R2'!$B$21="Unconfined Alluvial",ROUND(IF(OR(E303&lt;1.2, E303&gt;1.5),0,IF(E303&lt;=1.4,1,E303*'Reference Standards'!$S$700+'Reference Standards'!$S$701)),2), IF('Quantification Tool R2'!$B$21="Confined Alluvial",ROUND(IF(E303&lt;1.15,0,IF(E303&lt;=1.4,E303*'Reference Standards'!$S$729+'Reference Standards'!$S$730,1)),2),  IF('Quantification Tool R2'!$B$21="Colluvial",ROUND(IF(E303&gt;1.3,0,IF(E303&gt;1.2,E303*'Reference Standards'!$S$760+'Reference Standards'!$S$761,1)),2) )))))</f>
        <v/>
      </c>
      <c r="G303" s="84" t="str">
        <f>IFERROR(AVERAGE(F303),"")</f>
        <v/>
      </c>
      <c r="H303" s="567"/>
      <c r="I303" s="555"/>
      <c r="J303" s="559"/>
      <c r="K303" s="555"/>
      <c r="L303" s="13"/>
    </row>
    <row r="304" spans="1:13" ht="15.6" x14ac:dyDescent="0.3">
      <c r="A304" s="537" t="s">
        <v>58</v>
      </c>
      <c r="B304" s="67" t="s">
        <v>88</v>
      </c>
      <c r="C304" s="70" t="s">
        <v>338</v>
      </c>
      <c r="D304" s="70"/>
      <c r="E304" s="43"/>
      <c r="F304" s="343" t="str">
        <f>IF(E304="","",ROUND(IF(E304&gt;=942,0,IF(E304&lt;=487,E304*'Reference Standards'!AB$15+'Reference Standards'!AB$16,E304*'Reference Standards'!$AC$15+'Reference Standards'!$AC$16)),2))</f>
        <v/>
      </c>
      <c r="G304" s="85" t="str">
        <f>IFERROR(AVERAGE(F304),"")</f>
        <v/>
      </c>
      <c r="H304" s="547" t="str">
        <f>IFERROR(ROUND(AVERAGE(G304:G307),2),"")</f>
        <v/>
      </c>
      <c r="I304" s="534" t="str">
        <f>IF(H304="","",IF(H304&gt;0.69,"Functioning",IF(H304&gt;0.29,"Functioning At Risk",IF(H304&gt;-1,"Not Functioning"))))</f>
        <v/>
      </c>
      <c r="J304" s="559"/>
      <c r="K304" s="555"/>
      <c r="L304" s="13"/>
    </row>
    <row r="305" spans="1:12" ht="15.6" x14ac:dyDescent="0.3">
      <c r="A305" s="538"/>
      <c r="B305" s="306" t="s">
        <v>362</v>
      </c>
      <c r="C305" s="66" t="s">
        <v>354</v>
      </c>
      <c r="D305" s="66"/>
      <c r="E305" s="163"/>
      <c r="F305" s="344" t="str">
        <f>IF(E305="","",IF(OR('Quantification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June")),IF(E305&gt;93,0,IF(E305&lt;13,1,ROUND('Reference Standards'!$AB$53*E305^2+'Reference Standards'!$AB$54*E305+'Reference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R2'!$B$12="73b"),IF(E305&gt;94,0,IF(E305&lt;17,1,ROUND('Reference Standards'!$AC$53*E305^2+'Reference Standards'!$AC$54*E305+'Reference Standards'!$AC$55,2))),    IF(OR(AND(OR('Quantification Tool R2'!$B$12="68b",'Quantification Tool R2'!$B$12="71i"),'Quantification Tool R2'!$B$13&gt;2), 'Quantification Tool R2'!$B$12="71e"),IF(E305&gt;91,0,IF(E305&lt;24,1,ROUND('Reference Standards'!$AD$53*E305^2+'Reference Standards'!$AD$54*E305+'Reference Standards'!$AD$55,2))),  IF(OR(AND(OR('Quantification Tool R2'!$B$12="71f",'Quantification Tool R2'!$B$12="71g",'Quantification Tool R2'!$B$12="71h",'Quantification Tool R2'!$B$12="71i"),'Quantification Tool R2'!$B$13&lt;=2), AND('Quantification Tool R2'!$B$12="74a",'Quantification Tool R2'!$B$13&gt;2)),IF(E305&gt;95,0,IF(E305&lt;=36,1,ROUND('Reference Standards'!$AE$53*E305^2+'Reference Standards'!$AE$54*E305+'Reference Standards'!$AE$55,2))))))))</f>
        <v/>
      </c>
      <c r="G305" s="236" t="str">
        <f>IFERROR(AVERAGE(F305:F305),"")</f>
        <v/>
      </c>
      <c r="H305" s="548"/>
      <c r="I305" s="535"/>
      <c r="J305" s="559"/>
      <c r="K305" s="555"/>
      <c r="L305" s="21"/>
    </row>
    <row r="306" spans="1:12" ht="15.6" x14ac:dyDescent="0.3">
      <c r="A306" s="538"/>
      <c r="B306" s="67" t="s">
        <v>81</v>
      </c>
      <c r="C306" s="68" t="s">
        <v>281</v>
      </c>
      <c r="D306" s="68"/>
      <c r="E306" s="162"/>
      <c r="F306" s="344" t="str">
        <f>IF(E306="","",IF(ISNUMBER('Quantification Tool R2'!$B$13),IF(OR('Quantification Tool R2'!$B$12="66e",'Quantification Tool R2'!$B$12="66f",'Quantification Tool R2'!$B$12="66g"),ROUND(IF(E306&gt;=0.61,0,IF(E306&lt;=0.01,1,IF(E306&lt;=0.06,E306*'Reference Standards'!$AD$197+'Reference Standards'!$AD$198,E306^2*'Reference Standards'!$AB$196+E306*'Reference Standards'!$AB$197+'Reference Standards'!$AB$198))),2),IF('Quantification Tool R2'!$B$12="68b",ROUND(IF(E306&gt;=1.1,0,IF(E306&lt;=0.17,1,IF(E306&lt;=0.22,E306*'Reference Standards'!$AE$197+'Reference Standards'!$AE$198,E306^2*'Reference Standards'!$AC$196+E306*'Reference Standards'!$AC$197+'Reference Standards'!$AC$198))),2),IF('Quantification Tool R2'!$B$13&lt;=2.5,IF('Quantification Tool R2'!$B$12="69de",ROUND(IF(E306&gt;=0.22,0,IF(E306&lt;=0.01,1,E306^2*'Reference Standards'!$AB$90+E306*'Reference Standards'!$AB$91+'Reference Standards'!$AB$92)),2),IF('Quantification Tool R2'!$B$12="68c",ROUND(IF(E306&gt;=0.87,0,IF(E306&lt;=0.01,1,E306^2*'Reference Standards'!$AC$90+E306*'Reference Standards'!$AC$91+'Reference Standards'!$AC$92)),2),IF('Quantification Tool R2'!$B$12="68a",ROUND(IF(E306&gt;=0.81,0,IF(E306&lt;=0.01,1,E306^2*'Reference Standards'!$AD$90+E306*'Reference Standards'!$AD$91+'Reference Standards'!$AD$92)),2),IF('Quantification Tool R2'!$B$12="65abei",ROUND(IF(E306&gt;=0.67,0,IF(E306&lt;=0.01,1,IF(E306&lt;=0.18,E306*'Reference Standards'!$AG$91+'Reference Standards'!$AG$92,E306*'Reference Standards'!$AE$91+'Reference Standards'!$AE$92))),2),IF('Quantification Tool R2'!$B$12="65j",ROUND(IF(E306&gt;=0.32,0,IF(E306&lt;=0.01,1,IF(E306&lt;=0.25,E306*'Reference Standards'!$AH$91+'Reference Standards'!$AH$92,E306*'Reference Standards'!$AF$91+'Reference Standards'!$AF$92))),2),IF('Quantification Tool R2'!$B$12="71f",ROUND(IF(E306&gt;=3,0,IF(E306&lt;=0,1,IF(E306&lt;=0.01,0.7,E306^2*'Reference Standards'!$AB$126+E306*'Reference Standards'!$AB$127+'Reference Standards'!$AB$128))),2),IF('Quantification Tool R2'!$B$12="74a",ROUND(IF(E306&gt;=0.14,0,IF(E306&lt;=0.01,1,IF(E306&lt;=0.02,0.7,E306^2*'Reference Standards'!$AC$126+E306*'Reference Standards'!$AC$127+'Reference Standards'!$AC$128))),2),IF(OR('Quantification Tool R2'!$B$12="67fhi",'Quantification Tool R2'!$B$12="67g"),ROUND(IF(E306&gt;=1.9,0,IF(E306&lt;=0.01,1,IF(E306&lt;=0.05,E306*'Reference Standards'!$AF$127+'Reference Standards'!$AF$128,E306^2*'Reference Standards'!$AD$126+E306*'Reference Standards'!$AD$127+'Reference Standards'!$AD$128))),2),IF('Quantification Tool R2'!$B$12="73a",ROUND(IF(E306&gt;=1.44,0,IF(E306&lt;=0.01,1,IF(E306&lt;=0.12,E306*'Reference Standards'!$AG$127+'Reference Standards'!$AG$128,E306^2*'Reference Standards'!$AE$126+E306*'Reference Standards'!$AE$127+'Reference Standards'!$AE$128))),2),IF('Quantification Tool R2'!$B$12="66d",ROUND(IF(E306&gt;=0.46,0,IF(E306&lt;=0.02,1,IF(E306&lt;=0.08,E306*'Reference Standards'!$AF$163+'Reference Standards'!$AF$164,E306^2*'Reference Standards'!$AB$162+E306*'Reference Standards'!$AB$163+'Reference Standards'!$AB$164))),2),IF(OR('Quantification Tool R2'!$B$12="71g",'Quantification Tool R2'!$B$12="71h",'Quantification Tool R2'!$B$12="71i"),ROUND(IF(E306&gt;=3,0,IF(E306&lt;=0.06,1,IF(E306&lt;=0.24,E306*'Reference Standards'!$AG$163+'Reference Standards'!$AG$164,E306^2*'Reference Standards'!$AC$162+E306*'Reference Standards'!$AC$163+'Reference Standards'!$AC$164))),2),IF('Quantification Tool R2'!$B$12="74b",ROUND(IF(E306&gt;=1.3,0,IF(E306&lt;=0.29,1,IF(E306&lt;=0.48,E306*'Reference Standards'!$AH$163+'Reference Standards'!$AH$164,E306^2*'Reference Standards'!$AD$162+E306*'Reference Standards'!$AD$163+'Reference Standards'!$AD$164))),2),IF('Quantification Tool R2'!$B$12="71e",ROUND(IF(E306&gt;=4.3,0,IF(E306&lt;=0.53,1,IF(E306&lt;=0.67,E306*'Reference Standards'!$AI$163+'Reference Standards'!$AI$164,E306^2*'Reference Standards'!$AE$162+E306*'Reference Standards'!$AE$163+'Reference Standards'!$AE$164))),2)))))))))))))),IF('Quantification Tool R2'!$B$13&gt;2.5,IF('Quantification Tool R2'!$B$12="73a",ROUND(IF(E306&gt;=0.55,0,IF(E306&lt;=0,1,E306^2*'Reference Standards'!$AB$232+E306*'Reference Standards'!$AB$233+'Reference Standards'!$AB$234)),2),IF('Quantification Tool R2'!$B$12="68a",ROUND(IF(E306&gt;=0.54,0,IF(E306&lt;=0,1,IF(E306&lt;=0.01,0.85,E306^2*'Reference Standards'!$AC$232+E306*'Reference Standards'!$AC$233+'Reference Standards'!$AC$234))),2),IF('Quantification Tool R2'!$B$12="74a",ROUND(IF(E306&gt;=0.47,0,IF(E306&lt;=0.01,1,IF(E306&lt;=0.02,0.7,E306^2*'Reference Standards'!$AD$232+E306*'Reference Standards'!$AD$233+'Reference Standards'!$AD$234))),2),IF('Quantification Tool R2'!$B$12="69de",ROUND(IF(E306&gt;=0.26,0,IF(E306&lt;=0.01,1,IF(E306&lt;=0.02,0.85,E306^2*'Reference Standards'!$AE$232+E306*'Reference Standards'!$AE$233+'Reference Standards'!$AE$234))),2),IF('Quantification Tool R2'!$B$12="71f",ROUND(IF(E306&gt;=0.87,0,IF(E306&lt;=0.01,1,IF(E306&lt;=0.04,E306*'Reference Standards'!$AF$269+'Reference Standards'!$AF$270,E306^2*'Reference Standards'!$AB$268+E306*'Reference Standards'!$AB$269+'Reference Standards'!$AB$270))),2),IF('Quantification Tool R2'!$B$12="65abei",ROUND(IF(E306&gt;=0.82,0,IF(E306&lt;=0.01,1,IF(E306&lt;=0.06,E306*'Reference Standards'!$AG$269+'Reference Standards'!$AG$270,E306^2*'Reference Standards'!$AC$268+E306*'Reference Standards'!$AC$269+'Reference Standards'!$AC$270))),2),IF('Quantification Tool R2'!$B$12="65j",ROUND(IF(E306&gt;=0.33,0,IF(E306&lt;=0.03,1,IF(E306&lt;=0.09,E306*'Reference Standards'!$AH$269+'Reference Standards'!$AH$270,E306^2*'Reference Standards'!$AD$268+E306*'Reference Standards'!$AD$269+'Reference Standards'!$AD$270))),2),IF('Quantification Tool R2'!$B$12="68c",ROUND(IF(E306&gt;=0.7,0,IF(E306&lt;=0.07,1,IF(E306&lt;=0.12,E306*'Reference Standards'!$AI$269+'Reference Standards'!$AI$270,E306^2*'Reference Standards'!$AE$268+E306*'Reference Standards'!$AE$269+'Reference Standards'!$AE$270))),2),IF(OR('Quantification Tool R2'!$B$12="67fhi",'Quantification Tool R2'!$B$12="67g"),ROUND(IF(E306&gt;=1.8,0,IF(E306&lt;=0.08,1,IF(E306&lt;=0.2,E306*'Reference Standards'!$AF$306+'Reference Standards'!$AF$307,E306^2*'Reference Standards'!$AB$305+E306*'Reference Standards'!$AB$306+'Reference Standards'!$AB$307))),2),IF('Quantification Tool R2'!$B$12="74b",ROUND(IF(E306&gt;=0.96,0,IF(E306&lt;=0.12,1,IF(E306&lt;=0.16,E306*'Reference Standards'!$AG$306+'Reference Standards'!$AG$307,E306^2*'Reference Standards'!$AC$305+E306*'Reference Standards'!$AC$306+'Reference Standards'!$AC$307))),2),IF('Quantification Tool R2'!$B$12="66d",ROUND(IF(E306&gt;=0.75,0,IF(E306&lt;=0.13,1,IF(E306&lt;=0.2,E306*'Reference Standards'!$AH$306+'Reference Standards'!$AH$307,E306^2*'Reference Standards'!$AD$305+E306*'Reference Standards'!$AD$306+'Reference Standards'!$AD$307))),2),IF(OR('Quantification Tool R2'!$B$12="71g",'Quantification Tool R2'!$B$12="71h",'Quantification Tool R2'!$B$12="71i"),ROUND(IF(E306&gt;=1.68,0,IF(E306&lt;=0.08,1,IF(E306&lt;=0.23,E306*'Reference Standards'!$AI$306+'Reference Standards'!$AI$307,E306^2*'Reference Standards'!$AE$305+E306*'Reference Standards'!$AE$306+'Reference Standards'!$AE$307))),2),IF('Quantification Tool R2'!$B$12="71e",ROUND(IF(E306&gt;=5.3,0,IF(E306&lt;=0.94,1,IF(E306&lt;=1.4,E306*'Reference Standards'!$AF$310+'Reference Standards'!$AF$311,E306^2*'Reference Standards'!$AB$309+E306*'Reference Standards'!$AB$310+'Reference Standards'!$AB$311))),2))))))))))))))))))))</f>
        <v/>
      </c>
      <c r="G306" s="86" t="str">
        <f>IFERROR(AVERAGE(F306),"")</f>
        <v/>
      </c>
      <c r="H306" s="548"/>
      <c r="I306" s="535"/>
      <c r="J306" s="559"/>
      <c r="K306" s="555"/>
      <c r="L306" s="21"/>
    </row>
    <row r="307" spans="1:12" ht="15.6" x14ac:dyDescent="0.3">
      <c r="A307" s="539"/>
      <c r="B307" s="307" t="s">
        <v>82</v>
      </c>
      <c r="C307" s="66" t="s">
        <v>280</v>
      </c>
      <c r="D307" s="66"/>
      <c r="E307" s="136"/>
      <c r="F307" s="343" t="str">
        <f>IF(E307="","",IF(ISNUMBER('Quantification Tool R2'!$B$13),IF('Quantification Tool R2'!$B$13&gt;2.5,IF(OR('Quantification Tool R2'!$B$12="71h",'Quantification Tool R2'!$B$12="71i",'Quantification Tool R2'!$B$12="73a",'Quantification Tool R2'!$B$12="74a"),IF(E307&lt;=0.01,1,IF(OR('Quantification Tool R2'!$B$12="71h",'Quantification Tool R2'!$B$12="71i"),IF(E307&gt;0.37,0,ROUND(IF(E307&gt;0.03,'Reference Standards'!$AB$425*E307^2+'Reference Standards'!$AB$426*E307+'Reference Standards'!$AB$427,'Reference Standards'!$AF$426*E307+'Reference Standards'!$AF$427),2)),IF('Quantification Tool R2'!$B$12="73a",IF(E307&gt;0.405,0,ROUND(IF(E307&gt;0.046,'Reference Standards'!$AC$425*E307^2+'Reference Standards'!$AC$426*E307+'Reference Standards'!$AC$427,'Reference Standards'!$AG$426*E307+'Reference Standards'!$AG$427),2)),IF('Quantification Tool R2'!$B$12="74a",IF(E307&gt;0.3,0,ROUND(IF(E307&gt;0.052,'Reference Standards'!$AD$425*E307^2+'Reference Standards'!$AD$426*E307+'Reference Standards'!$AD$427,'Reference Standards'!$AH$426*E307+'Reference Standards'!$AH$427),2)))))),IF(E307&lt;=0.002,1,IF(OR('Quantification Tool R2'!$B$12="66d",'Quantification Tool R2'!$B$12="66e",'Quantification Tool R2'!$B$12="66g"),IF(E307&gt;0.053,0,ROUND(E307^2*'Reference Standards'!$AB$347+E307*'Reference Standards'!$AB$348+'Reference Standards'!$AB$349,2)),IF('Quantification Tool R2'!$B$12="68b",IF(E307&gt;0.05,0,ROUND(E307^2*'Reference Standards'!$AC$347+E307*'Reference Standards'!$AC$348+'Reference Standards'!$AC$349,2)),IF(OR('Quantification Tool R2'!$B$12="68a",'Quantification Tool R2'!$B$12="68c"),IF(E307&gt;0.07,0,ROUND(E307^2*'Reference Standards'!$AD$347+E307*'Reference Standards'!$AD$348+'Reference Standards'!$AD$349,2)),IF(OR('Quantification Tool R2'!$B$12="71f",'Quantification Tool R2'!$B$12="71g"),IF(E307&gt;0.13,0,ROUND(IF(E307&gt;0.042,E307*'Reference Standards'!$AE$348+'Reference Standards'!$AE$349,E307*'Reference Standards'!$AF$348+'Reference Standards'!$AF$349),2)),IF('Quantification Tool R2'!$B$12="67fhi",IF(E307&gt;0.16,0,ROUND(E307^2*'Reference Standards'!$AG$347+E307*'Reference Standards'!$AG$348+'Reference Standards'!$AG$349,2)),IF('Quantification Tool R2'!$B$12="65j",IF(E307&gt;0.035,0,ROUND(IF(E307&lt;=0.003,0.7,E307^2*'Reference Standards'!$AB$387+E307*'Reference Standards'!$AB$388+'Reference Standards'!$AB$389),2)),IF('Quantification Tool R2'!$B$12="69de",IF(E307&gt;0.037,0,ROUND(IF(E307&lt;=0.003,0.7,E307^2*'Reference Standards'!$AC$387+E307*'Reference Standards'!$AC$388+'Reference Standards'!$AC$389),2)),IF('Quantification Tool R2'!$B$12="71e",IF(E307&gt;0.23,0,ROUND(IF(E307&lt;=0.003,0.7,E307^2*'Reference Standards'!$AD$387+E307*'Reference Standards'!$AD$388+'Reference Standards'!$AD$389),2)),IF('Quantification Tool R2'!$B$12="66f",IF(E307&gt;0.06,0,ROUND(IF(E307&lt;=0.003,0.85,IF(E307&lt;=0.004,0.7,E307^2*'Reference Standards'!$AE$387+E307*'Reference Standards'!$AE$388+'Reference Standards'!$AE$389)),2)),IF('Quantification Tool R2'!$B$12="67g",IF(E307&gt;0.11,0,ROUND(IF(E307&lt;=0.01,E307*'Reference Standards'!$AH$388+'Reference Standards'!$AH$389,E307^2*'Reference Standards'!$AF$387+E307*'Reference Standards'!$AF$388+'Reference Standards'!$AF$389),2)),IF('Quantification Tool R2'!$B$12="74b",IF(E307&gt;0.49,0,ROUND(IF(E307&lt;=0.01,E307*'Reference Standards'!$AH$388+'Reference Standards'!$AH$389,E307^2*'Reference Standards'!$AG$387+E307*'Reference Standards'!$AG$388+'Reference Standards'!$AG$389),2)),IF('Quantification Tool R2'!$B$12="65abei",IF(E307&gt;0.199,0,ROUND(IF(E307&lt;=0.01,E307*'Reference Standards'!$AI$426+'Reference Standards'!$AI$427,E307^2*'Reference Standards'!$AE$425+E307*'Reference Standards'!$AE$426+'Reference Standards'!$AE$427),2)))))))))))))))),IF('Quantification Tool R2'!$B$13&lt;=2.5,IF(OR('Quantification Tool R2'!$B$12="66d",'Quantification Tool R2'!$B$12="66e",'Quantification Tool R2'!$B$12="66g"),IF(E307&gt;0.05,0,ROUND(IF(E307&lt;=0.002,1,IF(E307&lt;=0.005,E307*'Reference Standards'!$AF$464+'Reference Standards'!$AF$465,E307^2*'Reference Standards'!$AB$463+E307*'Reference Standards'!$AB$464+'Reference Standards'!$AB$465)),2)),IF('Quantification Tool R2'!$B$12="67fhi",IF(E307&gt;0.1,0,ROUND(IF(E307&lt;=0.002,1,IF(E307&lt;=0.006,E307*'Reference Standards'!$AG$464+'Reference Standards'!$AG$465,E307^2*'Reference Standards'!$AC$463+E307*'Reference Standards'!$AC$464+'Reference Standards'!$AC$465)),2)),IF('Quantification Tool R2'!$B$12="65abei",IF(E307&gt;0.13,0,ROUND(IF(E307&lt;=0.003,1,IF(E307&lt;=0.008,E307*'Reference Standards'!$AH$464+'Reference Standards'!$AH$465,E307^2*'Reference Standards'!$AD$463+E307*'Reference Standards'!$AD$464+'Reference Standards'!$AD$465)),2)),IF('Quantification Tool R2'!$B$12="68b",IF(E307&gt;0.043,0,ROUND(IF(E307&lt;=0.004,1,IF(E307&lt;=0.005,0.7,E307^2*'Reference Standards'!$AE$463+E307*'Reference Standards'!$AE$464+'Reference Standards'!$AE$465)),2)),IF('Quantification Tool R2'!$B$12="69de",IF(E307&gt;=0.034,0,ROUND(IF(E307&lt;=0.003,1,IF(E307&lt;=0.006,E307*'Reference Standards'!$AG$500+'Reference Standards'!$AG$501,E307*'Reference Standards'!$AB$500+'Reference Standards'!$AB$501)),2)),IF(OR('Quantification Tool R2'!$B$12="68a",'Quantification Tool R2'!$B$12="68c"),IF(E307&gt;0.202,0,ROUND(IF(E307&lt;=0.003,1,IF(E307&lt;=0.006,E307*'Reference Standards'!$AG$500+'Reference Standards'!$AG$501,IF(E307&gt;=0.04,E307*'Reference Standards'!$AC$500+'Reference Standards'!$AC$501,E307*'Reference Standards'!$AE$500+'Reference Standards'!$AE$501))),2)),IF(OR('Quantification Tool R2'!$B$12="71f",'Quantification Tool R2'!$B$12="71g"),IF(E307&gt;0.631,0,ROUND(IF(E307&lt;=0.003,1,IF(E307&lt;=0.006,E307*'Reference Standards'!$AG$500+'Reference Standards'!$AG$501,IF(E307&gt;=0.17,E307*'Reference Standards'!$AD$500+'Reference Standards'!$AD$501,E307*'Reference Standards'!$AF$500+'Reference Standards'!$AF$501))),2)),IF('Quantification Tool R2'!$B$12="71e",IF(E307&gt;1.23,0,ROUND(IF(E307&lt;=0.004,1,IF(E307&lt;=0.006,E307*'Reference Standards'!$AF$538+'Reference Standards'!$AF$539,E307^2*'Reference Standards'!$AB$537+E307*'Reference Standards'!$AB$538+'Reference Standards'!$AB$539)),2)),IF('Quantification Tool R2'!$B$12="67g",IF(E307&gt;0.11,0,ROUND(IF(E307&lt;=0.006,1,IF(E307&lt;=0.011,E307*'Reference Standards'!$AG$538+'Reference Standards'!$AG$539,E307^2*'Reference Standards'!$AC$537+E307*'Reference Standards'!$AC$538+'Reference Standards'!$AC$539)),2)),IF('Quantification Tool R2'!$B$12="65j",IF(E307&gt;0.046,0,ROUND(IF(E307&lt;=0.007,1,IF(E307&lt;=0.012,E307*'Reference Standards'!$AH$538+'Reference Standards'!$AH$539,E307^2*'Reference Standards'!$AD$537+E307*'Reference Standards'!$AD$538+'Reference Standards'!$AD$539)),2)),IF('Quantification Tool R2'!$B$12="66f",IF(E307&gt;0.081,0,ROUND(IF(E307&lt;=0.008,1,IF(E307&lt;=0.011,E307*'Reference Standards'!$AI$538+'Reference Standards'!$AI$539,E307^2*'Reference Standards'!$AE$537+E307*'Reference Standards'!$AE$538+'Reference Standards'!$AE$539)),2)),IF(OR('Quantification Tool R2'!$B$12="71h",'Quantification Tool R2'!$B$12="71i"),IF(E307&gt;0.37,0,ROUND(IF(E307&lt;=0.013,1,IF(E307&lt;=0.032,E307*'Reference Standards'!$AH$576+'Reference Standards'!$AH$577,IF(E307&lt;=0.3,E307*'Reference Standards'!$AF$576+'Reference Standards'!$AF$577,E307*'Reference Standards'!$AB$576+'Reference Standards'!$AB$577))),2)),IF('Quantification Tool R2'!$B$12="73a",IF(E307&gt;0.448,0,ROUND(IF(E307&lt;=0.071,1,IF(E307&lt;=0.086,E307*'Reference Standards'!$AJ$576+'Reference Standards'!$AJ$577,IF(E307&lt;=0.165,E307*'Reference Standards'!$AG$576+'Reference Standards'!$AG$577,E307*'Reference Standards'!$AE$576+'Reference Standards'!$AE$577))),2)),IF('Quantification Tool R2'!$B$12="74b",IF(E307&gt;0.43,0,ROUND(IF(E307&lt;=0.018,1,IF(E307&lt;=0.019,0.85,IF(E307&lt;=0.02,0.7,E307^2*'Reference Standards'!$AC$575+E307*'Reference Standards'!$AC$576+'Reference Standards'!$AC$577))),2)),IF('Quantification Tool R2'!$B$12="74a",IF(E307&gt;0.217,0,ROUND(IF(E307&lt;=0.02,1,IF(E307&lt;=0.033,E307*'Reference Standards'!$AI$576+'Reference Standards'!$AI$577,E307^2*'Reference Standards'!$AD$575+E307*'Reference Standards'!$AD$576+'Reference Standards'!$AD$577)),2)))))))))))))))))))))</f>
        <v/>
      </c>
      <c r="G307" s="87" t="str">
        <f>IFERROR(AVERAGE(F307),"")</f>
        <v/>
      </c>
      <c r="H307" s="549"/>
      <c r="I307" s="536"/>
      <c r="J307" s="559"/>
      <c r="K307" s="555"/>
      <c r="L307" s="21"/>
    </row>
    <row r="308" spans="1:12" ht="15.6" x14ac:dyDescent="0.3">
      <c r="A308" s="550" t="s">
        <v>59</v>
      </c>
      <c r="B308" s="560" t="s">
        <v>340</v>
      </c>
      <c r="C308" s="125" t="s">
        <v>331</v>
      </c>
      <c r="D308" s="126"/>
      <c r="E308" s="166"/>
      <c r="F308" s="345" t="str">
        <f>IF(E308="","",IF(OR('Quantification Tool R2'!B$12="73a",'Quantification Tool R2'!B$12="73b"),IF(E308&lt;1,0,IF(E308&gt;=30,1,ROUND(IF(E308&lt;22,'Reference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531" t="str">
        <f>IFERROR(AVERAGE(F308:F311),"")</f>
        <v/>
      </c>
      <c r="H308" s="568" t="str">
        <f>IFERROR(ROUND(AVERAGE(G308:G313),2),"")</f>
        <v/>
      </c>
      <c r="I308" s="519" t="str">
        <f>IF(H308="","",IF(H308&gt;0.69,"Functioning",IF(H308&gt;0.29,"Functioning At Risk",IF(H308&gt;-1,"Not Functioning"))))</f>
        <v/>
      </c>
      <c r="J308" s="559"/>
      <c r="K308" s="555"/>
      <c r="L308" s="21"/>
    </row>
    <row r="309" spans="1:12" ht="15.6" x14ac:dyDescent="0.3">
      <c r="A309" s="556"/>
      <c r="B309" s="561"/>
      <c r="C309" s="174" t="s">
        <v>335</v>
      </c>
      <c r="D309" s="175"/>
      <c r="E309" s="165"/>
      <c r="F309" s="346" t="str">
        <f>IF(E309="","",IF(AND('Quantification Tool R2'!$B$12="74b",'Quantification Tool R2'!$B$13&lt;=2),IF(E309&lt;0,0,IF(E309&gt;15.6,0.69,ROUND('Reference Standards'!$AL$54*E309^2+'Reference Standards'!$AL$55*E309+'Reference Standards'!$AL$56,2))),IF(AND('Quantification Tool R2'!$B$12="65abei",'Quantification Tool R2'!$B$13&lt;=2),IF(E309&lt;0,0,IF(E309&gt;=20,0.69,ROUND('Reference Standards'!$AM$54*E309^2+'Reference Standards'!$AM$55*E309+'Reference Standards'!$AM$56,2))),IF(OR(AND('Quantification Tool R2'!$B$12="74a",'Quantification Tool R2'!$B$13&gt;2,'Quantification Tool R2'!$B$19="January - June"),AND('Quantification Tool R2'!$B$12="71i",'Quantification Tool R2'!$B$13&gt;2,'Quantification Tool R2'!$B$20="SQBANK")),IF(E309&lt;0,0,IF(E309&gt;24.7,0.69,ROUND('Reference Standards'!$AN$54*E309^2+'Reference Standards'!$AN$55*E309+'Reference Standards'!$AN$56,2))),IF(OR('Quantification Tool R2'!$B$12="74b",'Quantification Tool R2'!$B$12="65abei"),IF(E309&lt;0,0,IF(E309&gt;32.7,0.69,ROUND('Reference Standards'!$AO$54*E309^2+'Reference Standards'!$AO$55*E309+'Reference Standards'!$AO$56,2))),IF(AND('Quantification Tool R2'!$B$12="68b",'Quantification Tool R2'!$B$13&gt;2),IF(E309&lt;0,0,IF(E309&gt;41.2,0.69,ROUND('Reference Standards'!$AP$54*E309^2+'Reference Standards'!$AP$55*E309+'Reference Standards'!$AP$56,2))),IF(OR(AND('Quantification Tool R2'!$B$12="71i",'Quantification Tool R2'!$B$13&lt;=2),AND(OR('Quantification Tool R2'!$B$12="68c",'Quantification Tool R2'!$B$12="68d"),'Quantification Tool R2'!$B$19="January - June")),IF(E309&lt;0,0,IF(E309&gt;49.2,0.69,ROUND('Reference Standards'!$AL$94*E309^2+'Reference Standards'!$AL$95*E309+'Reference Standards'!$AL$96,2))),IF(OR(AND('Quantification Tool R2'!$B$12="68a",'Quantification Tool R2'!$B$19="January - June"),AND(OR('Quantification Tool R2'!$B$12="68c",'Quantification Tool R2'!$B$12="68d"),'Quantification Tool R2'!$B$19="July - December")),IF(E309&lt;0,0,IF(E309&gt;53.4,0.69,ROUND('Reference Standards'!$AM$94*E309^2+'Reference Standards'!$AM$95*E309+'Reference Standards'!$AM$96,2))),IF(OR(AND('Quantification Tool R2'!$B$12="71i",'Quantification Tool R2'!$B$13&gt;2,'Quantification Tool R2'!$B$20="SQKICK"),AND(OR('Quantification Tool R2'!$B$12="67fhi",'Quantification Tool R2'!$B$12="67g"),'Quantification Tool R2'!$B$13&lt;=2),'Quantification Tool R2'!$B$12="65j"),IF(E309&lt;0,0,IF(E309&gt;57.8,0.69,ROUND('Reference Standards'!$AN$94*E309^2+'Reference Standards'!$AN$95*E309+'Reference Standards'!$AN$96,2))),IF(OR(AND('Quantification Tool R2'!$B$12="74a",'Quantification Tool R2'!$B$13&gt;2,'Quantification Tool R2'!$B$19="July - December"),AND(OR('Quantification Tool R2'!$B$12="67fhi",'Quantification Tool R2'!$B$12="67g"),'Quantification Tool R2'!$B$13&gt;2),'Quantification Tool R2'!$B$12="69de"),IF(E309&lt;0,0,IF(E309&gt;62.5,0.69,ROUND('Reference Standards'!$AO$94*E309^2+'Reference Standards'!$AO$95*E309+'Reference Standards'!$AO$96,2))),  IF(OR('Quantification Tool R2'!$B$12="66d",'Quantification Tool R2'!$B$12="66e",'Quantification Tool R2'!$B$12="66ik",'Quantification Tool R2'!$B$12="71e",'Quantification Tool R2'!$B$12="71f",'Quantification Tool R2'!$B$12="71g",'Quantification Tool R2'!$B$12="71h"),IF(E309&lt;0,0,IF(E309&gt;66.5,0.69,ROUND('Reference Standards'!$AP$94*E309^2+'Reference Standards'!$AP$95*E309+'Reference Standards'!$AP$96,2))),IF(OR('Quantification Tool R2'!$B$12="66f",'Quantification Tool R2'!$B$12="66g",'Quantification Tool R2'!$B$12="66j",AND('Quantification Tool R2'!$B$12="68a",'Quantification Tool R2'!$B$19="July - December")), IF(E309&lt;0,0,IF(E309&gt;69,0.69,ROUND('Reference Standards'!$AQ$94*E309^2+'Reference Standards'!$AQ$95*E309+'Reference Standards'!$AQ$96,2))))   )))))))))))</f>
        <v/>
      </c>
      <c r="G309" s="531"/>
      <c r="H309" s="568"/>
      <c r="I309" s="519"/>
      <c r="J309" s="559"/>
      <c r="K309" s="555"/>
      <c r="L309" s="21"/>
    </row>
    <row r="310" spans="1:12" ht="15.6" x14ac:dyDescent="0.3">
      <c r="A310" s="556"/>
      <c r="B310" s="561"/>
      <c r="C310" s="174" t="s">
        <v>339</v>
      </c>
      <c r="D310" s="175"/>
      <c r="E310" s="165"/>
      <c r="F310" s="346" t="str">
        <f>IF(E310="","",IF(AND('Quantification Tool R2'!$B$12="74b",'Quantification Tool R2'!$B$13&lt;=2),IF(E310&lt;0,0,IF(E310&gt;8.1,0.69,ROUND('Reference Standards'!$AL$131*E310^2+'Reference Standards'!$AL$132*E310+'Reference Standards'!$AL$133,2))),IF(OR('Quantification Tool R2'!$B$12="73a",'Quantification Tool R2'!$B$12="73b"),IF(E310&lt;0,0,IF(E310&gt;=28,0.69,ROUND('Reference Standards'!$AM$131*E310^2+'Reference Standards'!$AM$132*E310+'Reference Standards'!$AM$133,2))),IF(AND('Quantification Tool R2'!$B$12="74a",'Quantification Tool R2'!$B$13&gt;2,'Quantification Tool R2'!$B$19="January - June"),IF(E310&lt;0,0,IF(E310&gt;=32.5,0.69,ROUND('Reference Standards'!$AN$131*E310^2+'Reference Standards'!$AN$132*E310+'Reference Standards'!$AN$133,2))),IF(AND('Quantification Tool R2'!$B$12="71i",'Quantification Tool R2'!$B$13&gt;2,'Quantification Tool R2'!$B$20="SQBANK"),IF(E310&lt;0,0,IF(E310&gt;=37,0.69,ROUND('Reference Standards'!$AO$131*E310^2+'Reference Standards'!$AO$132*E310+'Reference Standards'!$AO$133,2))),IF(OR(AND(OR('Quantification Tool R2'!$B$12="65abei",'Quantification Tool R2'!$B$12="74b"),'Quantification Tool R2'!$B$13&gt;2),AND('Quantification Tool R2'!$B$12="71i",'Quantification Tool R2'!$B$13&gt;2,'Quantification Tool R2'!$B$20="SQKICK")),IF(E310&lt;0,0,IF(E310&gt;42.6,0.69,ROUND('Reference Standards'!$AP$131*E310^2+'Reference Standards'!$AP$132*E310+'Reference Standards'!$AP$133,2))),     IF(OR(AND('Quantification Tool R2'!$B$12="65abei",'Quantification Tool R2'!$B$13&lt;=2),AND(OR('Quantification Tool R2'!$B$12="68c",'Quantification Tool R2'!$B$12="68d"),'Quantification Tool R2'!$B$19="July - December"),'Quantification Tool R2'!$B$12="71e"),IF(E310&lt;0,0,IF(E310&gt;=48,0.69,ROUND('Reference Standards'!$AL$171*E310^2+'Reference Standards'!$AL$172*E310+'Reference Standards'!$AL$173,2))),IF(OR('Quantification Tool R2'!$B$12="65j",'Quantification Tool R2'!$B$12="67fhi",'Quantification Tool R2'!$B$12="67g",AND('Quantification Tool R2'!$B$12="74a",'Quantification Tool R2'!$B$19="July - December",'Quantification Tool R2'!$B$13&gt;2),AND('Quantification Tool R2'!$B$12="71i",'Quantification Tool R2'!$B$13&lt;=2)),IF(E310&lt;0,0,IF(E310&gt;=53,0.69,ROUND('Reference Standards'!$AM$171*E310^2+'Reference Standards'!$AM$172*E310+'Reference Standards'!$AM$173,2))),IF(OR(AND(OR('Quantification Tool R2'!$B$12="68b",'Quantification Tool R2'!$B$12="71f",'Quantification Tool R2'!$B$12="71g",'Quantification Tool R2'!$B$12="71h"),'Quantification Tool R2'!$B$13&gt;2),'Quantification Tool R2'!$B$12="68a"),IF(E310&lt;0,0,IF(E310&gt;=57,0.69,ROUND('Reference Standards'!$AN$171*E310^2+'Reference Standards'!$AN$172*E310+'Reference Standards'!$AN$173,2))),IF(OR('Quantification Tool R2'!$B$12="66f",'Quantification Tool R2'!$B$12="66g",'Quantification Tool R2'!$B$12="66j",AND(OR('Quantification Tool R2'!$B$12="71f",'Quantification Tool R2'!$B$12="71g",'Quantification Tool R2'!$B$12="71h"),'Quantification Tool R2'!$B$13&lt;=2)),IF(E310&lt;0,0,IF(E310&gt;=60,0.69,ROUND('Reference Standards'!$AO$171*E310^2+'Reference Standards'!$AO$172*E310+'Reference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December")),IF(E310&lt;0,0,IF(E310&gt;=67.5,0.69,ROUND('Reference Standards'!$AP$171*E310^2+'Reference Standards'!$AP$172*E310+'Reference Standards'!$AP$173,2))),IF(AND('Quantification Tool R2'!$B$12="69de",'Quantification Tool R2'!$B$19="January - June"), IF(E310&lt;0,0,IF(E310&gt;=72,0.69,ROUND('Reference Standards'!$AQ$171*E310^2+'Reference Standards'!$AQ$172*E310+'Reference Standards'!$AQ$173,2))))   )))))))))))</f>
        <v/>
      </c>
      <c r="G310" s="531"/>
      <c r="H310" s="568"/>
      <c r="I310" s="519"/>
      <c r="J310" s="559"/>
      <c r="K310" s="555"/>
      <c r="L310" s="21"/>
    </row>
    <row r="311" spans="1:12" ht="15.6" x14ac:dyDescent="0.3">
      <c r="A311" s="556"/>
      <c r="B311" s="562"/>
      <c r="C311" s="127" t="s">
        <v>336</v>
      </c>
      <c r="D311" s="71"/>
      <c r="E311" s="167"/>
      <c r="F311" s="346" t="str">
        <f>IF(E311="","",IF(OR('Quantification Tool R2'!$B$12="67fhi",'Quantification Tool R2'!$B$12="67g",'Quantification Tool R2'!$B$12="71e",'Quantification Tool R2'!$B$12="73a",'Quantification Tool R2'!$B$12="73b",AND(OR('Quantification Tool R2'!$B$12="71f",'Quantification Tool R2'!$B$12="71g",'Quantification Tool R2'!$B$12="71h"),'Quantification Tool R2'!$B$13&gt;2)),IF(E311&gt;100,0,IF(E311&lt;15,0.69,ROUND('Reference Standards'!$AL$208*E311^2+'Reference Standards'!$AL$209*E311+'Reference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),IF(E311&gt;100,0,IF(E311&lt;19,0.69,ROUND('Reference Standards'!$AM$208*E311^2+'Reference Standards'!$AM$209*E311+'Reference Standards'!$AM$210,2))),    IF(OR(AND('Quantification Tool R2'!$B$12="69de",'Quantification Tool R2'!$B$19="January - June"),AND('Quantification Tool R2'!$B$12="71i",'Quantification Tool R2'!$B$13&gt;2,'Quantification Tool R2'!$B$20="SQKICK" )),IF(E311&gt;100,0,IF(E311&lt;22,0.69,ROUND('Reference Standards'!$AN$208*E311^2+'Reference Standards'!$AN$209*E311+'Reference Standards'!$AN$210,2))),    IF(OR('Quantification Tool R2'!$B$12="65j",AND('Quantification Tool R2'!$B$12="68b",'Quantification Tool R2'!$B$13&gt;2)),IF(E311&gt;100,0,IF(E311&lt;24,0.69,ROUND('Reference Standards'!$AO$208*E311^2+'Reference Standards'!$AO$209*E311+'Reference Standards'!$AO$210,2))),    IF(AND(OR('Quantification Tool R2'!$B$12="65abei",'Quantification Tool R2'!$B$12="71f",'Quantification Tool R2'!$B$12="71g",'Quantification Tool R2'!$B$12="71h"),'Quantification Tool R2'!$B$13&lt;=2),IF(E311&gt;95,0,IF(E311&lt;33,0.69,ROUND('Reference Standards'!$AL$246*E311^2+'Reference Standards'!$AL$247*E311+'Reference Standards'!$AL$248,2))),   IF(AND(OR('Quantification Tool R2'!$B$12="65abei",'Quantification Tool R2'!$B$12="74b"),'Quantification Tool R2'!$B$13&gt;2),IF(E311&gt;97,0,IF(E311&lt;36,0.69,ROUND('Reference Standards'!$AM$246*E311^2+'Reference Standards'!$AM$247*E311+'Reference Standards'!$AM$248,2))),  IF(AND('Quantification Tool R2'!$B$12="74a",'Quantification Tool R2'!$B$19="January - June",'Quantification Tool R2'!$B$13&gt;2),IF(E311&gt;93,0,IF(E311&lt;52,0.69,ROUND('Reference Standards'!$AN$246*E311^2+'Reference Standards'!$AN$247*E311+'Reference Standards'!$AN$248,2))),   IF(AND('Quantification Tool R2'!$B$12="74b",'Quantification Tool R2'!$B$13&lt;=2),IF(E311&gt;97,0,IF(E311&lt;62,0.69,ROUND('Reference Standards'!$AO$246*E311^2+'Reference Standards'!$AO$247*E311+'Reference Standards'!$AO$248,2)))  )))))))))</f>
        <v/>
      </c>
      <c r="G311" s="531"/>
      <c r="H311" s="568"/>
      <c r="I311" s="519"/>
      <c r="J311" s="559"/>
      <c r="K311" s="555"/>
      <c r="L311" s="21"/>
    </row>
    <row r="312" spans="1:12" ht="15.6" x14ac:dyDescent="0.3">
      <c r="A312" s="556"/>
      <c r="B312" s="563" t="s">
        <v>74</v>
      </c>
      <c r="C312" s="125" t="s">
        <v>211</v>
      </c>
      <c r="D312" s="126"/>
      <c r="E312" s="166"/>
      <c r="F312" s="345" t="str">
        <f>IF(E312="","",IF(E312=1,0.15,IF(E312=3,0.5,IF(E312=5,0.85,0))))</f>
        <v/>
      </c>
      <c r="G312" s="564" t="str">
        <f>IFERROR(AVERAGE(F312:F313),"")</f>
        <v/>
      </c>
      <c r="H312" s="568"/>
      <c r="I312" s="519"/>
      <c r="J312" s="559"/>
      <c r="K312" s="555"/>
      <c r="L312" s="21"/>
    </row>
    <row r="313" spans="1:12" ht="15.6" x14ac:dyDescent="0.3">
      <c r="A313" s="551"/>
      <c r="B313" s="563"/>
      <c r="C313" s="127" t="s">
        <v>332</v>
      </c>
      <c r="D313" s="71"/>
      <c r="E313" s="167"/>
      <c r="F313" s="347" t="str">
        <f>IF(E313="","",IF(E313=1,0.15,IF(E313=3,0.5,IF(E313=5,0.85,0))))</f>
        <v/>
      </c>
      <c r="G313" s="565"/>
      <c r="H313" s="568"/>
      <c r="I313" s="519"/>
      <c r="J313" s="559"/>
      <c r="K313" s="555"/>
      <c r="L313" s="21"/>
    </row>
    <row r="314" spans="1:12" x14ac:dyDescent="0.3">
      <c r="L314" s="21"/>
    </row>
    <row r="315" spans="1:12" x14ac:dyDescent="0.3">
      <c r="L315" s="21"/>
    </row>
    <row r="316" spans="1:12" ht="21" x14ac:dyDescent="0.4">
      <c r="A316" s="148" t="s">
        <v>135</v>
      </c>
      <c r="B316" s="246"/>
      <c r="C316" s="249" t="s">
        <v>324</v>
      </c>
      <c r="D316" s="246"/>
      <c r="E316" s="247"/>
      <c r="F316" s="248"/>
      <c r="G316" s="544" t="s">
        <v>18</v>
      </c>
      <c r="H316" s="545"/>
      <c r="I316" s="545"/>
      <c r="J316" s="545"/>
      <c r="K316" s="546"/>
      <c r="L316" s="21"/>
    </row>
    <row r="317" spans="1:12" ht="15.6" x14ac:dyDescent="0.3">
      <c r="A317" s="158" t="s">
        <v>1</v>
      </c>
      <c r="B317" s="158" t="s">
        <v>2</v>
      </c>
      <c r="C317" s="542" t="s">
        <v>3</v>
      </c>
      <c r="D317" s="644"/>
      <c r="E317" s="158" t="s">
        <v>15</v>
      </c>
      <c r="F317" s="158" t="s">
        <v>16</v>
      </c>
      <c r="G317" s="158" t="s">
        <v>19</v>
      </c>
      <c r="H317" s="158" t="s">
        <v>20</v>
      </c>
      <c r="I317" s="314" t="s">
        <v>20</v>
      </c>
      <c r="J317" s="158" t="s">
        <v>21</v>
      </c>
      <c r="K317" s="315" t="s">
        <v>21</v>
      </c>
    </row>
    <row r="318" spans="1:12" ht="15.6" x14ac:dyDescent="0.3">
      <c r="A318" s="540" t="s">
        <v>60</v>
      </c>
      <c r="B318" s="308" t="s">
        <v>86</v>
      </c>
      <c r="C318" s="52" t="s">
        <v>388</v>
      </c>
      <c r="D318" s="52"/>
      <c r="E318" s="162"/>
      <c r="F318" s="338" t="str">
        <f>IF(E318="","",IF(E318&lt;=0,0,IF(E318&gt;=0.95,1,ROUND('Reference Standards'!C$14*E318+'Reference Standards'!C$15,2))))</f>
        <v/>
      </c>
      <c r="G318" s="83" t="str">
        <f>IFERROR(AVERAGE(F318),"")</f>
        <v/>
      </c>
      <c r="H318" s="522" t="str">
        <f>IFERROR(ROUND(AVERAGE(G318:G319),2),"")</f>
        <v/>
      </c>
      <c r="I318" s="519" t="str">
        <f>IF(H318="","",IF(H318&gt;0.69,"Functioning",IF(H318&gt;0.29,"Functioning At Risk",IF(H318&gt;-1,"Not Functioning"))))</f>
        <v/>
      </c>
      <c r="J318" s="559" t="str">
        <f>IF(AND(H318="",H320="",H322="",H344="",H348=""),"",ROUND((IF(H318="",0,H318)*0.2)+(IF(H320="",0,H320)*0.2)+(IF(H322="",0,H322)*0.2)+(IF(H344="",0,H344)*0.2)+(IF(H348="",0,H348)*0.2),2))</f>
        <v/>
      </c>
      <c r="K318" s="555" t="str">
        <f>IF(J318="","",IF(J318&lt;0.3, "Not Functioning",IF(OR(H318&lt;0.7,H320&lt;0.7,H322&lt;0.7,H344&lt;0.7,H348&lt;0.7),"Functioning At Risk",IF(J318&lt;0.7,"Functioning At Risk","Functioning"))))</f>
        <v/>
      </c>
    </row>
    <row r="319" spans="1:12" ht="15.6" x14ac:dyDescent="0.3">
      <c r="A319" s="541"/>
      <c r="B319" s="371" t="s">
        <v>128</v>
      </c>
      <c r="C319" s="373" t="s">
        <v>161</v>
      </c>
      <c r="D319" s="374"/>
      <c r="E319" s="43"/>
      <c r="F319" s="372" t="str">
        <f>IF(E319="","",IF(E319&gt;=1,1,IF(E319&lt;=0,0,ROUND(E319,2))))</f>
        <v/>
      </c>
      <c r="G319" s="367" t="str">
        <f>IFERROR(AVERAGE(F319:F319),"")</f>
        <v/>
      </c>
      <c r="H319" s="523"/>
      <c r="I319" s="519"/>
      <c r="J319" s="559"/>
      <c r="K319" s="555"/>
    </row>
    <row r="320" spans="1:12" ht="15.6" x14ac:dyDescent="0.3">
      <c r="A320" s="524" t="s">
        <v>6</v>
      </c>
      <c r="B320" s="572" t="s">
        <v>7</v>
      </c>
      <c r="C320" s="54" t="s">
        <v>8</v>
      </c>
      <c r="D320" s="54"/>
      <c r="E320" s="162"/>
      <c r="F320" s="339" t="str">
        <f>IF(E320="","",ROUND(IF(E320&gt;1.6,0,IF(E320&lt;=1,1,E320^2*'Reference Standards'!K$14+E320*'Reference Standards'!K$15+'Reference Standards'!K$16)),2))</f>
        <v/>
      </c>
      <c r="G320" s="579" t="str">
        <f>IFERROR(AVERAGE(F320:F321),"")</f>
        <v/>
      </c>
      <c r="H320" s="579" t="str">
        <f>IFERROR(ROUND(AVERAGE(G320),2),"")</f>
        <v/>
      </c>
      <c r="I320" s="569" t="str">
        <f>IF(H320="","",IF(H320&gt;0.69,"Functioning",IF(H320&gt;0.29,"Functioning At Risk",IF(H320&gt;-1,"Not Functioning"))))</f>
        <v/>
      </c>
      <c r="J320" s="559"/>
      <c r="K320" s="555"/>
    </row>
    <row r="321" spans="1:13" ht="15.6" x14ac:dyDescent="0.3">
      <c r="A321" s="525"/>
      <c r="B321" s="572"/>
      <c r="C321" s="54" t="s">
        <v>9</v>
      </c>
      <c r="D321" s="54"/>
      <c r="E321" s="163"/>
      <c r="F321" s="339" t="str">
        <f>IF(E321="","",(IF(OR('Quantification Tool R2'!B$11="A",'Quantification Tool R2'!B$11="B",'Quantification Tool R2'!$B$11="Bc"),IF(E321&lt;1.2,0,IF(E321&gt;=2.2,1,ROUND(IF(E321&lt;1.4,E321*'Reference Standards'!$K$84+'Reference Standards'!$K$85,E321*'Reference Standards'!$L$84+'Reference Standards'!$L$85),2))),IF(OR('Quantification Tool R2'!B$11="C",'Quantification Tool R2'!B$11="E"),IF(E321&lt;2,0,IF(E321&gt;=5,1,ROUND(IF(E321&lt;2.4,E321*'Reference Standards'!$L$49+'Reference Standards'!$L$50,E321*'Reference Standards'!$K$49+'Reference Standards'!$K$50),2)))))))</f>
        <v/>
      </c>
      <c r="G321" s="581"/>
      <c r="H321" s="580"/>
      <c r="I321" s="570"/>
      <c r="J321" s="559"/>
      <c r="K321" s="555"/>
    </row>
    <row r="322" spans="1:13" ht="15.6" x14ac:dyDescent="0.3">
      <c r="A322" s="526" t="s">
        <v>26</v>
      </c>
      <c r="B322" s="557" t="s">
        <v>27</v>
      </c>
      <c r="C322" s="60" t="s">
        <v>333</v>
      </c>
      <c r="D322" s="244"/>
      <c r="E322" s="61"/>
      <c r="F322" s="340" t="str">
        <f>IF(E322="","",IF(OR(LEFT('Quantification Tool R2'!$B$12,2)="65",LEFT('Quantification Tool R2'!$B$12,2)="66",LEFT('Quantification Tool R2'!$B$12,2)="71"),IF(E322&gt;=850,1,IF(E322&lt;250,ROUND('Reference Standards'!$S$17*(E322)+'Reference Standards'!$S$18,2),ROUND('Reference Standards'!$T$17*E322+'Reference Standards'!$T$18,2))),  IF(E322&gt;=345,1,IF(E322&lt;=180,ROUND('Reference Standards'!$U$17*(E322)+'Reference Standards'!$U$18,2),ROUND('Reference Standards'!$V$17*E322+'Reference Standards'!$V$18,2))))    )</f>
        <v/>
      </c>
      <c r="G322" s="528" t="str">
        <f>IFERROR(AVERAGE(F322:F323),"")</f>
        <v/>
      </c>
      <c r="H322" s="566" t="str">
        <f>IFERROR(ROUND(AVERAGE(G322:G343),2),"")</f>
        <v/>
      </c>
      <c r="I322" s="555" t="str">
        <f>IF(H322="","",IF(H322&gt;0.69,"Functioning",IF(H322&gt;0.29,"Functioning At Risk",IF(H322&gt;-1,"Not Functioning"))))</f>
        <v/>
      </c>
      <c r="J322" s="559"/>
      <c r="K322" s="555"/>
    </row>
    <row r="323" spans="1:13" ht="15.6" x14ac:dyDescent="0.3">
      <c r="A323" s="520"/>
      <c r="B323" s="558"/>
      <c r="C323" s="63" t="s">
        <v>323</v>
      </c>
      <c r="D323" s="245"/>
      <c r="E323" s="53"/>
      <c r="F323" s="341" t="str">
        <f>IF(E323="","",IF(OR(LEFT('Quantification Tool R2'!$B$12,2)="65",LEFT('Quantification Tool R2'!$B$12,2)="66",LEFT('Quantification Tool R2'!$B$12,2)="71"),IF(E323&gt;=30,1,IF(E323&lt;13,ROUND('Reference Standards'!$S$53*(E323)+'Reference Standards'!$S$54,2),ROUND('Reference Standards'!$T$53*E323+'Reference Standards'!$T$54,2))),  IF(E323&gt;=16,1,IF(E323&lt;=9,ROUND('Reference Standards'!$U$53*(E323)+'Reference Standards'!$U$54,2),ROUND('Reference Standards'!$V$53*E323+'Reference Standards'!$V$54,2))))    )</f>
        <v/>
      </c>
      <c r="G323" s="530"/>
      <c r="H323" s="566"/>
      <c r="I323" s="555"/>
      <c r="J323" s="559"/>
      <c r="K323" s="555"/>
    </row>
    <row r="324" spans="1:13" ht="15.6" x14ac:dyDescent="0.3">
      <c r="A324" s="520"/>
      <c r="B324" s="520" t="s">
        <v>395</v>
      </c>
      <c r="C324" s="58" t="s">
        <v>80</v>
      </c>
      <c r="D324" s="58"/>
      <c r="E324" s="165"/>
      <c r="F324" s="340" t="str">
        <f>IF(E324="","",ROUND(IF(E324&gt;0.7,0,IF(E324&lt;=0.1,1,E324^3*'Reference Standards'!S$87+E324^2*'Reference Standards'!S$88+E324*'Reference Standards'!S$89+'Reference Standards'!S$90)),2))</f>
        <v/>
      </c>
      <c r="G324" s="528" t="str">
        <f>IFERROR(ROUND(AVERAGE(F324:F327),2),"")</f>
        <v/>
      </c>
      <c r="H324" s="567"/>
      <c r="I324" s="555"/>
      <c r="J324" s="559"/>
      <c r="K324" s="555"/>
    </row>
    <row r="325" spans="1:13" ht="15.6" x14ac:dyDescent="0.3">
      <c r="A325" s="520"/>
      <c r="B325" s="520"/>
      <c r="C325" s="58" t="s">
        <v>49</v>
      </c>
      <c r="D325" s="58"/>
      <c r="E325" s="165"/>
      <c r="F325" s="84"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529"/>
      <c r="H325" s="567"/>
      <c r="I325" s="555"/>
      <c r="J325" s="559"/>
      <c r="K325" s="555"/>
    </row>
    <row r="326" spans="1:13" ht="15.6" x14ac:dyDescent="0.3">
      <c r="A326" s="520"/>
      <c r="B326" s="520"/>
      <c r="C326" s="58" t="s">
        <v>87</v>
      </c>
      <c r="D326" s="58"/>
      <c r="E326" s="165"/>
      <c r="F326" s="84" t="str">
        <f>IF(E326="","",ROUND(IF(E326&gt;40,0,IF(E326&lt;5,1,E326^3*'Reference Standards'!S$122+E326^2*'Reference Standards'!S$123+E326*'Reference Standards'!S$124+'Reference Standards'!S$125)),2))</f>
        <v/>
      </c>
      <c r="G326" s="529"/>
      <c r="H326" s="567"/>
      <c r="I326" s="555"/>
      <c r="J326" s="559"/>
      <c r="K326" s="555"/>
    </row>
    <row r="327" spans="1:13" ht="15.6" x14ac:dyDescent="0.3">
      <c r="A327" s="520"/>
      <c r="B327" s="521"/>
      <c r="C327" s="59" t="s">
        <v>394</v>
      </c>
      <c r="D327" s="59"/>
      <c r="E327" s="167"/>
      <c r="F327" s="341" t="str">
        <f>IF(E327="","",ROUND(IF(E327&gt;=30,0,IF(E327&lt;=0,1,E327*'Reference Standards'!S$156+'Reference Standards'!S$157)),2))</f>
        <v/>
      </c>
      <c r="G327" s="530"/>
      <c r="H327" s="567"/>
      <c r="I327" s="555"/>
      <c r="J327" s="559"/>
      <c r="K327" s="555"/>
    </row>
    <row r="328" spans="1:13" ht="15.6" x14ac:dyDescent="0.3">
      <c r="A328" s="520"/>
      <c r="B328" s="520" t="s">
        <v>50</v>
      </c>
      <c r="C328" s="60" t="s">
        <v>377</v>
      </c>
      <c r="D328" s="64"/>
      <c r="E328" s="136"/>
      <c r="F328" s="294" t="str">
        <f>IF(E328="","",ROUND(IF(E328&gt;9.2,1,E328*'Reference Standards'!$S$189+'Reference Standards'!$S$190),2))</f>
        <v/>
      </c>
      <c r="G328" s="552" t="str">
        <f>IFERROR(ROUND(AVERAGE(F328:F337),2),"")</f>
        <v/>
      </c>
      <c r="H328" s="567"/>
      <c r="I328" s="555"/>
      <c r="J328" s="559"/>
      <c r="K328" s="555"/>
    </row>
    <row r="329" spans="1:13" ht="15.6" x14ac:dyDescent="0.3">
      <c r="A329" s="520"/>
      <c r="B329" s="520"/>
      <c r="C329" s="62" t="s">
        <v>378</v>
      </c>
      <c r="D329" s="58"/>
      <c r="E329" s="162"/>
      <c r="F329" s="294" t="str">
        <f>IF(E329="","",ROUND(IF(E329&gt;9.2,1,E329*'Reference Standards'!$S$189+'Reference Standards'!$S$190),2))</f>
        <v/>
      </c>
      <c r="G329" s="553"/>
      <c r="H329" s="567"/>
      <c r="I329" s="555"/>
      <c r="J329" s="559"/>
      <c r="K329" s="555"/>
    </row>
    <row r="330" spans="1:13" ht="15.6" x14ac:dyDescent="0.3">
      <c r="A330" s="520"/>
      <c r="B330" s="520"/>
      <c r="C330" s="62" t="s">
        <v>379</v>
      </c>
      <c r="D330" s="58"/>
      <c r="E330" s="162"/>
      <c r="F330" s="294" t="str">
        <f>IF(E330="","",ROUND( IF(E330&gt;=200,1,IF(E330&lt;50, E330^2*'Reference Standards'!S$224+E330*'Reference Standards'!S$225+'Reference Standards'!S$226, E330*'Reference Standards'!T$224+'Reference Standards'!T$225)),2))</f>
        <v/>
      </c>
      <c r="G330" s="553"/>
      <c r="H330" s="567"/>
      <c r="I330" s="555"/>
      <c r="J330" s="559"/>
      <c r="K330" s="555"/>
    </row>
    <row r="331" spans="1:13" ht="15.6" x14ac:dyDescent="0.3">
      <c r="A331" s="520"/>
      <c r="B331" s="520"/>
      <c r="C331" s="62" t="s">
        <v>380</v>
      </c>
      <c r="D331" s="58"/>
      <c r="E331" s="162"/>
      <c r="F331" s="294" t="str">
        <f>IF(E331="","",ROUND( IF(E331&gt;=200,1,IF(E331&lt;50, E331^2*'Reference Standards'!S$224+E331*'Reference Standards'!S$225+'Reference Standards'!S$226, E331*'Reference Standards'!T$224+'Reference Standards'!T$225)),2))</f>
        <v/>
      </c>
      <c r="G331" s="553"/>
      <c r="H331" s="567"/>
      <c r="I331" s="555"/>
      <c r="J331" s="559"/>
      <c r="K331" s="555"/>
    </row>
    <row r="332" spans="1:13" ht="15.6" x14ac:dyDescent="0.3">
      <c r="A332" s="520"/>
      <c r="B332" s="520"/>
      <c r="C332" s="58" t="s">
        <v>381</v>
      </c>
      <c r="D332" s="58"/>
      <c r="E332" s="162"/>
      <c r="F332" s="294" t="str">
        <f>IF(E332="","",ROUND(IF(AND(E332&gt;=135,E332&lt;=262),1,IF(  E332&gt;=366,0.5, IF(E332&lt;135,E332*'Reference Standards'!S$259+'Reference Standards'!S$260, E332*'Reference Standards'!T$259+'Reference Standards'!T$260))),2))</f>
        <v/>
      </c>
      <c r="G332" s="553"/>
      <c r="H332" s="567"/>
      <c r="I332" s="555"/>
      <c r="J332" s="559"/>
      <c r="K332" s="555"/>
    </row>
    <row r="333" spans="1:13" ht="15.6" x14ac:dyDescent="0.3">
      <c r="A333" s="520"/>
      <c r="B333" s="520"/>
      <c r="C333" s="58" t="s">
        <v>382</v>
      </c>
      <c r="D333" s="58"/>
      <c r="E333" s="162"/>
      <c r="F333" s="294" t="str">
        <f>IF(E333="","",ROUND(IF(AND(E333&gt;=135,E333&lt;=262),1,IF(  E333&gt;=366,0.5, IF(E333&lt;135,E333*'Reference Standards'!S$259+'Reference Standards'!S$260, E333*'Reference Standards'!T$259+'Reference Standards'!T$260))),2))</f>
        <v/>
      </c>
      <c r="G333" s="553"/>
      <c r="H333" s="567"/>
      <c r="I333" s="555"/>
      <c r="J333" s="559"/>
      <c r="K333" s="555"/>
    </row>
    <row r="334" spans="1:13" ht="15.6" x14ac:dyDescent="0.3">
      <c r="A334" s="520"/>
      <c r="B334" s="520"/>
      <c r="C334" s="58" t="s">
        <v>383</v>
      </c>
      <c r="D334" s="58"/>
      <c r="E334" s="162"/>
      <c r="F334" s="84" t="str">
        <f>IF(E334="","",ROUND(IF(E334&gt;=75,1,IF(E334&lt;=0,0,E334*'Reference Standards'!S$330)),2))</f>
        <v/>
      </c>
      <c r="G334" s="553"/>
      <c r="H334" s="567"/>
      <c r="I334" s="555"/>
      <c r="J334" s="559"/>
      <c r="K334" s="555"/>
    </row>
    <row r="335" spans="1:13" ht="15.6" x14ac:dyDescent="0.3">
      <c r="A335" s="520"/>
      <c r="B335" s="520"/>
      <c r="C335" s="58" t="s">
        <v>384</v>
      </c>
      <c r="D335" s="58"/>
      <c r="E335" s="162"/>
      <c r="F335" s="84" t="str">
        <f>IF(E335="","",ROUND(IF(E335&gt;=75,1,IF(E335&lt;=0,0,E335*'Reference Standards'!S$330)),2))</f>
        <v/>
      </c>
      <c r="G335" s="553"/>
      <c r="H335" s="567"/>
      <c r="I335" s="555"/>
      <c r="J335" s="559"/>
      <c r="K335" s="555"/>
    </row>
    <row r="336" spans="1:13" ht="15.6" x14ac:dyDescent="0.3">
      <c r="A336" s="520"/>
      <c r="B336" s="520"/>
      <c r="C336" s="58" t="s">
        <v>385</v>
      </c>
      <c r="D336" s="58"/>
      <c r="E336" s="162"/>
      <c r="F336" s="294" t="str">
        <f>IF(E336="","",ROUND(IF(AND(E336&gt;=36.3,E336&lt;=68),1,IF(E336&gt;100,0,IF(E336&lt;36.3,(('Reference Standards'!S$297*(E336^2))+('Reference Standards'!S$298*E336)+'Reference Standards'!S$299),IF(E336&gt;68,(('Reference Standards'!T$297*(E336^2))+('Reference Standards'!T$298*E336)+'Reference Standards'!T$299))))),2))</f>
        <v/>
      </c>
      <c r="G336" s="553"/>
      <c r="H336" s="567"/>
      <c r="I336" s="555"/>
      <c r="J336" s="559"/>
      <c r="K336" s="555"/>
      <c r="M336" s="21"/>
    </row>
    <row r="337" spans="1:12" ht="15.6" x14ac:dyDescent="0.3">
      <c r="A337" s="520"/>
      <c r="B337" s="521"/>
      <c r="C337" s="58" t="s">
        <v>386</v>
      </c>
      <c r="D337" s="65"/>
      <c r="E337" s="162"/>
      <c r="F337" s="294" t="str">
        <f>IF(E337="","",ROUND(IF(AND(E337&gt;=36.3,E337&lt;=68),1,IF(E337&gt;100,0,IF(E337&lt;36.3,(('Reference Standards'!S$297*(E337^2))+('Reference Standards'!S$298*E337)+'Reference Standards'!S$299),IF(E337&gt;68,(('Reference Standards'!T$297*(E337^2))+('Reference Standards'!T$298*E337)+'Reference Standards'!T$299))))),2))</f>
        <v/>
      </c>
      <c r="G337" s="554"/>
      <c r="H337" s="567"/>
      <c r="I337" s="555"/>
      <c r="J337" s="559"/>
      <c r="K337" s="555"/>
    </row>
    <row r="338" spans="1:12" ht="15.6" x14ac:dyDescent="0.3">
      <c r="A338" s="520"/>
      <c r="B338" s="56" t="s">
        <v>108</v>
      </c>
      <c r="C338" s="72" t="s">
        <v>130</v>
      </c>
      <c r="D338" s="58"/>
      <c r="E338" s="43"/>
      <c r="F338" s="82" t="str">
        <f>IF(E338="","",IF(OR('Quantification Tool R2'!B$14="Gravel",'Quantification Tool R2'!B$14="Cobble"),IF(E338&gt;0.1,1,IF(E338&lt;=0.01,0,ROUND(E338*'Reference Standards'!$S$362+'Reference Standards'!$S$363,2)))))</f>
        <v/>
      </c>
      <c r="G338" s="82" t="str">
        <f>IFERROR(AVERAGE(F338),"")</f>
        <v/>
      </c>
      <c r="H338" s="567"/>
      <c r="I338" s="555"/>
      <c r="J338" s="559"/>
      <c r="K338" s="555"/>
    </row>
    <row r="339" spans="1:12" ht="15.6" x14ac:dyDescent="0.3">
      <c r="A339" s="520"/>
      <c r="B339" s="526" t="s">
        <v>51</v>
      </c>
      <c r="C339" s="64" t="s">
        <v>52</v>
      </c>
      <c r="D339" s="64"/>
      <c r="E339" s="166"/>
      <c r="F339" s="337" t="str">
        <f>IF(E339="","",IF(ISNUMBER('Quantification Tool R2'!$B$17),IF('Quantification Tool R2'!$B$17&lt;=2,IF(AND(E339&gt;=3,E339&lt;=5),1,IF(OR(E339&lt;=1,E339&gt;=7),0,ROUND(IF(E339&lt;3,E339*'Reference Standards'!S$398+'Reference Standards'!S$399,E339*'Reference Standards'!T$398+'Reference Standards'!T$399),2))),IF(E339&lt;=2.5,1,IF(E339&gt;=5.8,0,ROUND(E339*'Reference Standards'!S$430+'Reference Standards'!S$431,2))))))</f>
        <v/>
      </c>
      <c r="G339" s="528" t="str">
        <f>IFERROR(AVERAGE(F339:F342),"")</f>
        <v/>
      </c>
      <c r="H339" s="567"/>
      <c r="I339" s="555"/>
      <c r="J339" s="559"/>
      <c r="K339" s="555"/>
    </row>
    <row r="340" spans="1:12" ht="15.6" x14ac:dyDescent="0.3">
      <c r="A340" s="520"/>
      <c r="B340" s="520"/>
      <c r="C340" s="58" t="s">
        <v>53</v>
      </c>
      <c r="D340" s="58"/>
      <c r="E340" s="165"/>
      <c r="F340" s="84" t="str">
        <f>IF(E340="","", IF( E340&gt;=2.4,1, IF(E340&lt;=1,0,  ROUND(IF(E340&lt;2.4, E340*'Reference Standards'!$S$464+'Reference Standards'!$S$465  ),2))))</f>
        <v/>
      </c>
      <c r="G340" s="529"/>
      <c r="H340" s="567"/>
      <c r="I340" s="555"/>
      <c r="J340" s="559"/>
      <c r="K340" s="555"/>
    </row>
    <row r="341" spans="1:12" ht="15.6" x14ac:dyDescent="0.3">
      <c r="A341" s="520"/>
      <c r="B341" s="520"/>
      <c r="C341" s="58" t="s">
        <v>334</v>
      </c>
      <c r="D341" s="58"/>
      <c r="E341" s="165"/>
      <c r="F341" s="390" t="str">
        <f>IF(E341="","", IF(LEFT('Quantification Tool R2'!$B$12,2)="67",  IF( AND(E341&gt;=45,E341&lt;=65),1, IF(OR(E341&lt;=20,E341&gt;=90),0, ROUND(  IF(E341&lt;45, E341*'Reference Standards'!$S$498+'Reference Standards'!$S$499,E341*'Reference Standards'!$T$498+'Reference Standards'!$T$499),2))), IF(OR(  LEFT('Quantification Tool R2'!$B$12,2)="68", LEFT('Quantification Tool R2'!$B$12,2)="69",LEFT('Quantification Tool R2'!$B$12,2)="71"),  IF( AND(E341&gt;=30,E341&lt;=50),1, IF(OR(E341&lt;=10,E341&gt;=70),0, ROUND(  IF(E341&lt;30, E341*'Reference Standards'!$S$533+'Reference Standards'!$S$534,E341*'Reference Standards'!$T$533+'Reference Standards'!$T$534),2))), IF(LEFT('Quantification Tool R2'!$B$12,2)="66",  IF( AND(E341&gt;=20,E341&lt;=45),1, IF(OR(E341&lt;=0,E341&gt;=90),0, ROUND(  IF(E341&lt;20, E341*'Reference Standards'!$S$567+'Reference Standards'!$S$568,E341*'Reference Standards'!$T$567+'Reference Standards'!$T$568),2))), IF(OR(  LEFT('Quantification Tool R2'!$B$12,2)="65", LEFT('Quantification Tool R2'!$B$12,2)="74", LEFT('Quantification Tool R2'!$B$12,2)="73"),  IF( AND(E341&gt;=20,E341&lt;=30),1, IF(OR(E341&lt;=0,E341&gt;=50),0, ROUND(  IF(E341&lt;20, E341*'Reference Standards'!$S$601+'Reference Standards'!$S$602,E341*'Reference Standards'!$T$601+'Reference Standards'!$T$602),2))))))))</f>
        <v/>
      </c>
      <c r="G341" s="529"/>
      <c r="H341" s="567"/>
      <c r="I341" s="555"/>
      <c r="J341" s="559"/>
      <c r="K341" s="555"/>
    </row>
    <row r="342" spans="1:12" ht="15.6" x14ac:dyDescent="0.3">
      <c r="A342" s="520"/>
      <c r="B342" s="521"/>
      <c r="C342" s="62" t="s">
        <v>210</v>
      </c>
      <c r="D342" s="58"/>
      <c r="E342" s="167"/>
      <c r="F342" s="391" t="str">
        <f>IF(E342="","",IF(E342&gt;=1.6,0,IF(E342&lt;=1,1,ROUND('Reference Standards'!$S$633*E342^3+'Reference Standards'!$S$634*E342^2+'Reference Standards'!$S$635*E342+'Reference Standards'!$S$636,2))))</f>
        <v/>
      </c>
      <c r="G342" s="530"/>
      <c r="H342" s="567"/>
      <c r="I342" s="555"/>
      <c r="J342" s="559"/>
      <c r="K342" s="555"/>
    </row>
    <row r="343" spans="1:12" ht="15.6" x14ac:dyDescent="0.3">
      <c r="A343" s="521"/>
      <c r="B343" s="309" t="s">
        <v>55</v>
      </c>
      <c r="C343" s="242" t="s">
        <v>54</v>
      </c>
      <c r="D343" s="243"/>
      <c r="E343" s="163"/>
      <c r="F343" s="342" t="str">
        <f>IF(E343="","",IF(AND('Quantification Tool R2'!B$11="E",'Quantification Tool R2'!$B$14="Sand",'Quantification Tool R2'!$B$21="Unconfined Alluvial"),ROUND(IF(OR(E343&gt;1.8,E343&lt;1.3),0,IF(E343&lt;=1.6,1,E343*'Reference Standards'!S$667+'Reference Standards'!S$668)),2),    IF('Quantification Tool R2'!$B$21="Unconfined Alluvial",ROUND(IF(OR(E343&lt;1.2, E343&gt;1.5),0,IF(E343&lt;=1.4,1,E343*'Reference Standards'!$S$700+'Reference Standards'!$S$701)),2), IF('Quantification Tool R2'!$B$21="Confined Alluvial",ROUND(IF(E343&lt;1.15,0,IF(E343&lt;=1.4,E343*'Reference Standards'!$S$729+'Reference Standards'!$S$730,1)),2),  IF('Quantification Tool R2'!$B$21="Colluvial",ROUND(IF(E343&gt;1.3,0,IF(E343&gt;1.2,E343*'Reference Standards'!$S$760+'Reference Standards'!$S$761,1)),2) )))))</f>
        <v/>
      </c>
      <c r="G343" s="84" t="str">
        <f>IFERROR(AVERAGE(F343),"")</f>
        <v/>
      </c>
      <c r="H343" s="567"/>
      <c r="I343" s="555"/>
      <c r="J343" s="559"/>
      <c r="K343" s="555"/>
      <c r="L343" s="13"/>
    </row>
    <row r="344" spans="1:12" ht="15.6" x14ac:dyDescent="0.3">
      <c r="A344" s="537" t="s">
        <v>58</v>
      </c>
      <c r="B344" s="67" t="s">
        <v>88</v>
      </c>
      <c r="C344" s="70" t="s">
        <v>338</v>
      </c>
      <c r="D344" s="70"/>
      <c r="E344" s="43"/>
      <c r="F344" s="343" t="str">
        <f>IF(E344="","",ROUND(IF(E344&gt;=942,0,IF(E344&lt;=487,E344*'Reference Standards'!AB$15+'Reference Standards'!AB$16,E344*'Reference Standards'!$AC$15+'Reference Standards'!$AC$16)),2))</f>
        <v/>
      </c>
      <c r="G344" s="85" t="str">
        <f>IFERROR(AVERAGE(F344),"")</f>
        <v/>
      </c>
      <c r="H344" s="547" t="str">
        <f>IFERROR(ROUND(AVERAGE(G344:G347),2),"")</f>
        <v/>
      </c>
      <c r="I344" s="534" t="str">
        <f>IF(H344="","",IF(H344&gt;0.69,"Functioning",IF(H344&gt;0.29,"Functioning At Risk",IF(H344&gt;-1,"Not Functioning"))))</f>
        <v/>
      </c>
      <c r="J344" s="559"/>
      <c r="K344" s="555"/>
      <c r="L344" s="13"/>
    </row>
    <row r="345" spans="1:12" ht="15.6" x14ac:dyDescent="0.3">
      <c r="A345" s="538"/>
      <c r="B345" s="306" t="s">
        <v>362</v>
      </c>
      <c r="C345" s="66" t="s">
        <v>354</v>
      </c>
      <c r="D345" s="66"/>
      <c r="E345" s="163"/>
      <c r="F345" s="344" t="str">
        <f>IF(E345="","",IF(OR('Quantification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June")),IF(E345&gt;93,0,IF(E345&lt;13,1,ROUND('Reference Standards'!$AB$53*E345^2+'Reference Standards'!$AB$54*E345+'Reference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R2'!$B$12="73b"),IF(E345&gt;94,0,IF(E345&lt;17,1,ROUND('Reference Standards'!$AC$53*E345^2+'Reference Standards'!$AC$54*E345+'Reference Standards'!$AC$55,2))),    IF(OR(AND(OR('Quantification Tool R2'!$B$12="68b",'Quantification Tool R2'!$B$12="71i"),'Quantification Tool R2'!$B$13&gt;2), 'Quantification Tool R2'!$B$12="71e"),IF(E345&gt;91,0,IF(E345&lt;24,1,ROUND('Reference Standards'!$AD$53*E345^2+'Reference Standards'!$AD$54*E345+'Reference Standards'!$AD$55,2))),  IF(OR(AND(OR('Quantification Tool R2'!$B$12="71f",'Quantification Tool R2'!$B$12="71g",'Quantification Tool R2'!$B$12="71h",'Quantification Tool R2'!$B$12="71i"),'Quantification Tool R2'!$B$13&lt;=2), AND('Quantification Tool R2'!$B$12="74a",'Quantification Tool R2'!$B$13&gt;2)),IF(E345&gt;95,0,IF(E345&lt;=36,1,ROUND('Reference Standards'!$AE$53*E345^2+'Reference Standards'!$AE$54*E345+'Reference Standards'!$AE$55,2))))))))</f>
        <v/>
      </c>
      <c r="G345" s="236" t="str">
        <f>IFERROR(AVERAGE(F345:F345),"")</f>
        <v/>
      </c>
      <c r="H345" s="548"/>
      <c r="I345" s="535"/>
      <c r="J345" s="559"/>
      <c r="K345" s="555"/>
      <c r="L345" s="21"/>
    </row>
    <row r="346" spans="1:12" ht="15.6" x14ac:dyDescent="0.3">
      <c r="A346" s="538"/>
      <c r="B346" s="67" t="s">
        <v>81</v>
      </c>
      <c r="C346" s="68" t="s">
        <v>281</v>
      </c>
      <c r="D346" s="68"/>
      <c r="E346" s="162"/>
      <c r="F346" s="344" t="str">
        <f>IF(E346="","",IF(ISNUMBER('Quantification Tool R2'!$B$13),IF(OR('Quantification Tool R2'!$B$12="66e",'Quantification Tool R2'!$B$12="66f",'Quantification Tool R2'!$B$12="66g"),ROUND(IF(E346&gt;=0.61,0,IF(E346&lt;=0.01,1,IF(E346&lt;=0.06,E346*'Reference Standards'!$AD$197+'Reference Standards'!$AD$198,E346^2*'Reference Standards'!$AB$196+E346*'Reference Standards'!$AB$197+'Reference Standards'!$AB$198))),2),IF('Quantification Tool R2'!$B$12="68b",ROUND(IF(E346&gt;=1.1,0,IF(E346&lt;=0.17,1,IF(E346&lt;=0.22,E346*'Reference Standards'!$AE$197+'Reference Standards'!$AE$198,E346^2*'Reference Standards'!$AC$196+E346*'Reference Standards'!$AC$197+'Reference Standards'!$AC$198))),2),IF('Quantification Tool R2'!$B$13&lt;=2.5,IF('Quantification Tool R2'!$B$12="69de",ROUND(IF(E346&gt;=0.22,0,IF(E346&lt;=0.01,1,E346^2*'Reference Standards'!$AB$90+E346*'Reference Standards'!$AB$91+'Reference Standards'!$AB$92)),2),IF('Quantification Tool R2'!$B$12="68c",ROUND(IF(E346&gt;=0.87,0,IF(E346&lt;=0.01,1,E346^2*'Reference Standards'!$AC$90+E346*'Reference Standards'!$AC$91+'Reference Standards'!$AC$92)),2),IF('Quantification Tool R2'!$B$12="68a",ROUND(IF(E346&gt;=0.81,0,IF(E346&lt;=0.01,1,E346^2*'Reference Standards'!$AD$90+E346*'Reference Standards'!$AD$91+'Reference Standards'!$AD$92)),2),IF('Quantification Tool R2'!$B$12="65abei",ROUND(IF(E346&gt;=0.67,0,IF(E346&lt;=0.01,1,IF(E346&lt;=0.18,E346*'Reference Standards'!$AG$91+'Reference Standards'!$AG$92,E346*'Reference Standards'!$AE$91+'Reference Standards'!$AE$92))),2),IF('Quantification Tool R2'!$B$12="65j",ROUND(IF(E346&gt;=0.32,0,IF(E346&lt;=0.01,1,IF(E346&lt;=0.25,E346*'Reference Standards'!$AH$91+'Reference Standards'!$AH$92,E346*'Reference Standards'!$AF$91+'Reference Standards'!$AF$92))),2),IF('Quantification Tool R2'!$B$12="71f",ROUND(IF(E346&gt;=3,0,IF(E346&lt;=0,1,IF(E346&lt;=0.01,0.7,E346^2*'Reference Standards'!$AB$126+E346*'Reference Standards'!$AB$127+'Reference Standards'!$AB$128))),2),IF('Quantification Tool R2'!$B$12="74a",ROUND(IF(E346&gt;=0.14,0,IF(E346&lt;=0.01,1,IF(E346&lt;=0.02,0.7,E346^2*'Reference Standards'!$AC$126+E346*'Reference Standards'!$AC$127+'Reference Standards'!$AC$128))),2),IF(OR('Quantification Tool R2'!$B$12="67fhi",'Quantification Tool R2'!$B$12="67g"),ROUND(IF(E346&gt;=1.9,0,IF(E346&lt;=0.01,1,IF(E346&lt;=0.05,E346*'Reference Standards'!$AF$127+'Reference Standards'!$AF$128,E346^2*'Reference Standards'!$AD$126+E346*'Reference Standards'!$AD$127+'Reference Standards'!$AD$128))),2),IF('Quantification Tool R2'!$B$12="73a",ROUND(IF(E346&gt;=1.44,0,IF(E346&lt;=0.01,1,IF(E346&lt;=0.12,E346*'Reference Standards'!$AG$127+'Reference Standards'!$AG$128,E346^2*'Reference Standards'!$AE$126+E346*'Reference Standards'!$AE$127+'Reference Standards'!$AE$128))),2),IF('Quantification Tool R2'!$B$12="66d",ROUND(IF(E346&gt;=0.46,0,IF(E346&lt;=0.02,1,IF(E346&lt;=0.08,E346*'Reference Standards'!$AF$163+'Reference Standards'!$AF$164,E346^2*'Reference Standards'!$AB$162+E346*'Reference Standards'!$AB$163+'Reference Standards'!$AB$164))),2),IF(OR('Quantification Tool R2'!$B$12="71g",'Quantification Tool R2'!$B$12="71h",'Quantification Tool R2'!$B$12="71i"),ROUND(IF(E346&gt;=3,0,IF(E346&lt;=0.06,1,IF(E346&lt;=0.24,E346*'Reference Standards'!$AG$163+'Reference Standards'!$AG$164,E346^2*'Reference Standards'!$AC$162+E346*'Reference Standards'!$AC$163+'Reference Standards'!$AC$164))),2),IF('Quantification Tool R2'!$B$12="74b",ROUND(IF(E346&gt;=1.3,0,IF(E346&lt;=0.29,1,IF(E346&lt;=0.48,E346*'Reference Standards'!$AH$163+'Reference Standards'!$AH$164,E346^2*'Reference Standards'!$AD$162+E346*'Reference Standards'!$AD$163+'Reference Standards'!$AD$164))),2),IF('Quantification Tool R2'!$B$12="71e",ROUND(IF(E346&gt;=4.3,0,IF(E346&lt;=0.53,1,IF(E346&lt;=0.67,E346*'Reference Standards'!$AI$163+'Reference Standards'!$AI$164,E346^2*'Reference Standards'!$AE$162+E346*'Reference Standards'!$AE$163+'Reference Standards'!$AE$164))),2)))))))))))))),IF('Quantification Tool R2'!$B$13&gt;2.5,IF('Quantification Tool R2'!$B$12="73a",ROUND(IF(E346&gt;=0.55,0,IF(E346&lt;=0,1,E346^2*'Reference Standards'!$AB$232+E346*'Reference Standards'!$AB$233+'Reference Standards'!$AB$234)),2),IF('Quantification Tool R2'!$B$12="68a",ROUND(IF(E346&gt;=0.54,0,IF(E346&lt;=0,1,IF(E346&lt;=0.01,0.85,E346^2*'Reference Standards'!$AC$232+E346*'Reference Standards'!$AC$233+'Reference Standards'!$AC$234))),2),IF('Quantification Tool R2'!$B$12="74a",ROUND(IF(E346&gt;=0.47,0,IF(E346&lt;=0.01,1,IF(E346&lt;=0.02,0.7,E346^2*'Reference Standards'!$AD$232+E346*'Reference Standards'!$AD$233+'Reference Standards'!$AD$234))),2),IF('Quantification Tool R2'!$B$12="69de",ROUND(IF(E346&gt;=0.26,0,IF(E346&lt;=0.01,1,IF(E346&lt;=0.02,0.85,E346^2*'Reference Standards'!$AE$232+E346*'Reference Standards'!$AE$233+'Reference Standards'!$AE$234))),2),IF('Quantification Tool R2'!$B$12="71f",ROUND(IF(E346&gt;=0.87,0,IF(E346&lt;=0.01,1,IF(E346&lt;=0.04,E346*'Reference Standards'!$AF$269+'Reference Standards'!$AF$270,E346^2*'Reference Standards'!$AB$268+E346*'Reference Standards'!$AB$269+'Reference Standards'!$AB$270))),2),IF('Quantification Tool R2'!$B$12="65abei",ROUND(IF(E346&gt;=0.82,0,IF(E346&lt;=0.01,1,IF(E346&lt;=0.06,E346*'Reference Standards'!$AG$269+'Reference Standards'!$AG$270,E346^2*'Reference Standards'!$AC$268+E346*'Reference Standards'!$AC$269+'Reference Standards'!$AC$270))),2),IF('Quantification Tool R2'!$B$12="65j",ROUND(IF(E346&gt;=0.33,0,IF(E346&lt;=0.03,1,IF(E346&lt;=0.09,E346*'Reference Standards'!$AH$269+'Reference Standards'!$AH$270,E346^2*'Reference Standards'!$AD$268+E346*'Reference Standards'!$AD$269+'Reference Standards'!$AD$270))),2),IF('Quantification Tool R2'!$B$12="68c",ROUND(IF(E346&gt;=0.7,0,IF(E346&lt;=0.07,1,IF(E346&lt;=0.12,E346*'Reference Standards'!$AI$269+'Reference Standards'!$AI$270,E346^2*'Reference Standards'!$AE$268+E346*'Reference Standards'!$AE$269+'Reference Standards'!$AE$270))),2),IF(OR('Quantification Tool R2'!$B$12="67fhi",'Quantification Tool R2'!$B$12="67g"),ROUND(IF(E346&gt;=1.8,0,IF(E346&lt;=0.08,1,IF(E346&lt;=0.2,E346*'Reference Standards'!$AF$306+'Reference Standards'!$AF$307,E346^2*'Reference Standards'!$AB$305+E346*'Reference Standards'!$AB$306+'Reference Standards'!$AB$307))),2),IF('Quantification Tool R2'!$B$12="74b",ROUND(IF(E346&gt;=0.96,0,IF(E346&lt;=0.12,1,IF(E346&lt;=0.16,E346*'Reference Standards'!$AG$306+'Reference Standards'!$AG$307,E346^2*'Reference Standards'!$AC$305+E346*'Reference Standards'!$AC$306+'Reference Standards'!$AC$307))),2),IF('Quantification Tool R2'!$B$12="66d",ROUND(IF(E346&gt;=0.75,0,IF(E346&lt;=0.13,1,IF(E346&lt;=0.2,E346*'Reference Standards'!$AH$306+'Reference Standards'!$AH$307,E346^2*'Reference Standards'!$AD$305+E346*'Reference Standards'!$AD$306+'Reference Standards'!$AD$307))),2),IF(OR('Quantification Tool R2'!$B$12="71g",'Quantification Tool R2'!$B$12="71h",'Quantification Tool R2'!$B$12="71i"),ROUND(IF(E346&gt;=1.68,0,IF(E346&lt;=0.08,1,IF(E346&lt;=0.23,E346*'Reference Standards'!$AI$306+'Reference Standards'!$AI$307,E346^2*'Reference Standards'!$AE$305+E346*'Reference Standards'!$AE$306+'Reference Standards'!$AE$307))),2),IF('Quantification Tool R2'!$B$12="71e",ROUND(IF(E346&gt;=5.3,0,IF(E346&lt;=0.94,1,IF(E346&lt;=1.4,E346*'Reference Standards'!$AF$310+'Reference Standards'!$AF$311,E346^2*'Reference Standards'!$AB$309+E346*'Reference Standards'!$AB$310+'Reference Standards'!$AB$311))),2))))))))))))))))))))</f>
        <v/>
      </c>
      <c r="G346" s="86" t="str">
        <f>IFERROR(AVERAGE(F346),"")</f>
        <v/>
      </c>
      <c r="H346" s="548"/>
      <c r="I346" s="535"/>
      <c r="J346" s="559"/>
      <c r="K346" s="555"/>
      <c r="L346" s="21"/>
    </row>
    <row r="347" spans="1:12" ht="15.6" x14ac:dyDescent="0.3">
      <c r="A347" s="539"/>
      <c r="B347" s="307" t="s">
        <v>82</v>
      </c>
      <c r="C347" s="66" t="s">
        <v>280</v>
      </c>
      <c r="D347" s="66"/>
      <c r="E347" s="136"/>
      <c r="F347" s="343" t="str">
        <f>IF(E347="","",IF(ISNUMBER('Quantification Tool R2'!$B$13),IF('Quantification Tool R2'!$B$13&gt;2.5,IF(OR('Quantification Tool R2'!$B$12="71h",'Quantification Tool R2'!$B$12="71i",'Quantification Tool R2'!$B$12="73a",'Quantification Tool R2'!$B$12="74a"),IF(E347&lt;=0.01,1,IF(OR('Quantification Tool R2'!$B$12="71h",'Quantification Tool R2'!$B$12="71i"),IF(E347&gt;0.37,0,ROUND(IF(E347&gt;0.03,'Reference Standards'!$AB$425*E347^2+'Reference Standards'!$AB$426*E347+'Reference Standards'!$AB$427,'Reference Standards'!$AF$426*E347+'Reference Standards'!$AF$427),2)),IF('Quantification Tool R2'!$B$12="73a",IF(E347&gt;0.405,0,ROUND(IF(E347&gt;0.046,'Reference Standards'!$AC$425*E347^2+'Reference Standards'!$AC$426*E347+'Reference Standards'!$AC$427,'Reference Standards'!$AG$426*E347+'Reference Standards'!$AG$427),2)),IF('Quantification Tool R2'!$B$12="74a",IF(E347&gt;0.3,0,ROUND(IF(E347&gt;0.052,'Reference Standards'!$AD$425*E347^2+'Reference Standards'!$AD$426*E347+'Reference Standards'!$AD$427,'Reference Standards'!$AH$426*E347+'Reference Standards'!$AH$427),2)))))),IF(E347&lt;=0.002,1,IF(OR('Quantification Tool R2'!$B$12="66d",'Quantification Tool R2'!$B$12="66e",'Quantification Tool R2'!$B$12="66g"),IF(E347&gt;0.053,0,ROUND(E347^2*'Reference Standards'!$AB$347+E347*'Reference Standards'!$AB$348+'Reference Standards'!$AB$349,2)),IF('Quantification Tool R2'!$B$12="68b",IF(E347&gt;0.05,0,ROUND(E347^2*'Reference Standards'!$AC$347+E347*'Reference Standards'!$AC$348+'Reference Standards'!$AC$349,2)),IF(OR('Quantification Tool R2'!$B$12="68a",'Quantification Tool R2'!$B$12="68c"),IF(E347&gt;0.07,0,ROUND(E347^2*'Reference Standards'!$AD$347+E347*'Reference Standards'!$AD$348+'Reference Standards'!$AD$349,2)),IF(OR('Quantification Tool R2'!$B$12="71f",'Quantification Tool R2'!$B$12="71g"),IF(E347&gt;0.13,0,ROUND(IF(E347&gt;0.042,E347*'Reference Standards'!$AE$348+'Reference Standards'!$AE$349,E347*'Reference Standards'!$AF$348+'Reference Standards'!$AF$349),2)),IF('Quantification Tool R2'!$B$12="67fhi",IF(E347&gt;0.16,0,ROUND(E347^2*'Reference Standards'!$AG$347+E347*'Reference Standards'!$AG$348+'Reference Standards'!$AG$349,2)),IF('Quantification Tool R2'!$B$12="65j",IF(E347&gt;0.035,0,ROUND(IF(E347&lt;=0.003,0.7,E347^2*'Reference Standards'!$AB$387+E347*'Reference Standards'!$AB$388+'Reference Standards'!$AB$389),2)),IF('Quantification Tool R2'!$B$12="69de",IF(E347&gt;0.037,0,ROUND(IF(E347&lt;=0.003,0.7,E347^2*'Reference Standards'!$AC$387+E347*'Reference Standards'!$AC$388+'Reference Standards'!$AC$389),2)),IF('Quantification Tool R2'!$B$12="71e",IF(E347&gt;0.23,0,ROUND(IF(E347&lt;=0.003,0.7,E347^2*'Reference Standards'!$AD$387+E347*'Reference Standards'!$AD$388+'Reference Standards'!$AD$389),2)),IF('Quantification Tool R2'!$B$12="66f",IF(E347&gt;0.06,0,ROUND(IF(E347&lt;=0.003,0.85,IF(E347&lt;=0.004,0.7,E347^2*'Reference Standards'!$AE$387+E347*'Reference Standards'!$AE$388+'Reference Standards'!$AE$389)),2)),IF('Quantification Tool R2'!$B$12="67g",IF(E347&gt;0.11,0,ROUND(IF(E347&lt;=0.01,E347*'Reference Standards'!$AH$388+'Reference Standards'!$AH$389,E347^2*'Reference Standards'!$AF$387+E347*'Reference Standards'!$AF$388+'Reference Standards'!$AF$389),2)),IF('Quantification Tool R2'!$B$12="74b",IF(E347&gt;0.49,0,ROUND(IF(E347&lt;=0.01,E347*'Reference Standards'!$AH$388+'Reference Standards'!$AH$389,E347^2*'Reference Standards'!$AG$387+E347*'Reference Standards'!$AG$388+'Reference Standards'!$AG$389),2)),IF('Quantification Tool R2'!$B$12="65abei",IF(E347&gt;0.199,0,ROUND(IF(E347&lt;=0.01,E347*'Reference Standards'!$AI$426+'Reference Standards'!$AI$427,E347^2*'Reference Standards'!$AE$425+E347*'Reference Standards'!$AE$426+'Reference Standards'!$AE$427),2)))))))))))))))),IF('Quantification Tool R2'!$B$13&lt;=2.5,IF(OR('Quantification Tool R2'!$B$12="66d",'Quantification Tool R2'!$B$12="66e",'Quantification Tool R2'!$B$12="66g"),IF(E347&gt;0.05,0,ROUND(IF(E347&lt;=0.002,1,IF(E347&lt;=0.005,E347*'Reference Standards'!$AF$464+'Reference Standards'!$AF$465,E347^2*'Reference Standards'!$AB$463+E347*'Reference Standards'!$AB$464+'Reference Standards'!$AB$465)),2)),IF('Quantification Tool R2'!$B$12="67fhi",IF(E347&gt;0.1,0,ROUND(IF(E347&lt;=0.002,1,IF(E347&lt;=0.006,E347*'Reference Standards'!$AG$464+'Reference Standards'!$AG$465,E347^2*'Reference Standards'!$AC$463+E347*'Reference Standards'!$AC$464+'Reference Standards'!$AC$465)),2)),IF('Quantification Tool R2'!$B$12="65abei",IF(E347&gt;0.13,0,ROUND(IF(E347&lt;=0.003,1,IF(E347&lt;=0.008,E347*'Reference Standards'!$AH$464+'Reference Standards'!$AH$465,E347^2*'Reference Standards'!$AD$463+E347*'Reference Standards'!$AD$464+'Reference Standards'!$AD$465)),2)),IF('Quantification Tool R2'!$B$12="68b",IF(E347&gt;0.043,0,ROUND(IF(E347&lt;=0.004,1,IF(E347&lt;=0.005,0.7,E347^2*'Reference Standards'!$AE$463+E347*'Reference Standards'!$AE$464+'Reference Standards'!$AE$465)),2)),IF('Quantification Tool R2'!$B$12="69de",IF(E347&gt;=0.034,0,ROUND(IF(E347&lt;=0.003,1,IF(E347&lt;=0.006,E347*'Reference Standards'!$AG$500+'Reference Standards'!$AG$501,E347*'Reference Standards'!$AB$500+'Reference Standards'!$AB$501)),2)),IF(OR('Quantification Tool R2'!$B$12="68a",'Quantification Tool R2'!$B$12="68c"),IF(E347&gt;0.202,0,ROUND(IF(E347&lt;=0.003,1,IF(E347&lt;=0.006,E347*'Reference Standards'!$AG$500+'Reference Standards'!$AG$501,IF(E347&gt;=0.04,E347*'Reference Standards'!$AC$500+'Reference Standards'!$AC$501,E347*'Reference Standards'!$AE$500+'Reference Standards'!$AE$501))),2)),IF(OR('Quantification Tool R2'!$B$12="71f",'Quantification Tool R2'!$B$12="71g"),IF(E347&gt;0.631,0,ROUND(IF(E347&lt;=0.003,1,IF(E347&lt;=0.006,E347*'Reference Standards'!$AG$500+'Reference Standards'!$AG$501,IF(E347&gt;=0.17,E347*'Reference Standards'!$AD$500+'Reference Standards'!$AD$501,E347*'Reference Standards'!$AF$500+'Reference Standards'!$AF$501))),2)),IF('Quantification Tool R2'!$B$12="71e",IF(E347&gt;1.23,0,ROUND(IF(E347&lt;=0.004,1,IF(E347&lt;=0.006,E347*'Reference Standards'!$AF$538+'Reference Standards'!$AF$539,E347^2*'Reference Standards'!$AB$537+E347*'Reference Standards'!$AB$538+'Reference Standards'!$AB$539)),2)),IF('Quantification Tool R2'!$B$12="67g",IF(E347&gt;0.11,0,ROUND(IF(E347&lt;=0.006,1,IF(E347&lt;=0.011,E347*'Reference Standards'!$AG$538+'Reference Standards'!$AG$539,E347^2*'Reference Standards'!$AC$537+E347*'Reference Standards'!$AC$538+'Reference Standards'!$AC$539)),2)),IF('Quantification Tool R2'!$B$12="65j",IF(E347&gt;0.046,0,ROUND(IF(E347&lt;=0.007,1,IF(E347&lt;=0.012,E347*'Reference Standards'!$AH$538+'Reference Standards'!$AH$539,E347^2*'Reference Standards'!$AD$537+E347*'Reference Standards'!$AD$538+'Reference Standards'!$AD$539)),2)),IF('Quantification Tool R2'!$B$12="66f",IF(E347&gt;0.081,0,ROUND(IF(E347&lt;=0.008,1,IF(E347&lt;=0.011,E347*'Reference Standards'!$AI$538+'Reference Standards'!$AI$539,E347^2*'Reference Standards'!$AE$537+E347*'Reference Standards'!$AE$538+'Reference Standards'!$AE$539)),2)),IF(OR('Quantification Tool R2'!$B$12="71h",'Quantification Tool R2'!$B$12="71i"),IF(E347&gt;0.37,0,ROUND(IF(E347&lt;=0.013,1,IF(E347&lt;=0.032,E347*'Reference Standards'!$AH$576+'Reference Standards'!$AH$577,IF(E347&lt;=0.3,E347*'Reference Standards'!$AF$576+'Reference Standards'!$AF$577,E347*'Reference Standards'!$AB$576+'Reference Standards'!$AB$577))),2)),IF('Quantification Tool R2'!$B$12="73a",IF(E347&gt;0.448,0,ROUND(IF(E347&lt;=0.071,1,IF(E347&lt;=0.086,E347*'Reference Standards'!$AJ$576+'Reference Standards'!$AJ$577,IF(E347&lt;=0.165,E347*'Reference Standards'!$AG$576+'Reference Standards'!$AG$577,E347*'Reference Standards'!$AE$576+'Reference Standards'!$AE$577))),2)),IF('Quantification Tool R2'!$B$12="74b",IF(E347&gt;0.43,0,ROUND(IF(E347&lt;=0.018,1,IF(E347&lt;=0.019,0.85,IF(E347&lt;=0.02,0.7,E347^2*'Reference Standards'!$AC$575+E347*'Reference Standards'!$AC$576+'Reference Standards'!$AC$577))),2)),IF('Quantification Tool R2'!$B$12="74a",IF(E347&gt;0.217,0,ROUND(IF(E347&lt;=0.02,1,IF(E347&lt;=0.033,E347*'Reference Standards'!$AI$576+'Reference Standards'!$AI$577,E347^2*'Reference Standards'!$AD$575+E347*'Reference Standards'!$AD$576+'Reference Standards'!$AD$577)),2)))))))))))))))))))))</f>
        <v/>
      </c>
      <c r="G347" s="87" t="str">
        <f>IFERROR(AVERAGE(F347),"")</f>
        <v/>
      </c>
      <c r="H347" s="549"/>
      <c r="I347" s="536"/>
      <c r="J347" s="559"/>
      <c r="K347" s="555"/>
      <c r="L347" s="21"/>
    </row>
    <row r="348" spans="1:12" ht="15.6" x14ac:dyDescent="0.3">
      <c r="A348" s="550" t="s">
        <v>59</v>
      </c>
      <c r="B348" s="560" t="s">
        <v>340</v>
      </c>
      <c r="C348" s="125" t="s">
        <v>331</v>
      </c>
      <c r="D348" s="126"/>
      <c r="E348" s="166"/>
      <c r="F348" s="345" t="str">
        <f>IF(E348="","",IF(OR('Quantification Tool R2'!B$12="73a",'Quantification Tool R2'!B$12="73b"),IF(E348&lt;1,0,IF(E348&gt;=30,1,ROUND(IF(E348&lt;22,'Reference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531" t="str">
        <f>IFERROR(AVERAGE(F348:F351),"")</f>
        <v/>
      </c>
      <c r="H348" s="568" t="str">
        <f>IFERROR(ROUND(AVERAGE(G348:G353),2),"")</f>
        <v/>
      </c>
      <c r="I348" s="519" t="str">
        <f>IF(H348="","",IF(H348&gt;0.69,"Functioning",IF(H348&gt;0.29,"Functioning At Risk",IF(H348&gt;-1,"Not Functioning"))))</f>
        <v/>
      </c>
      <c r="J348" s="559"/>
      <c r="K348" s="555"/>
      <c r="L348" s="21"/>
    </row>
    <row r="349" spans="1:12" ht="15.6" x14ac:dyDescent="0.3">
      <c r="A349" s="556"/>
      <c r="B349" s="561"/>
      <c r="C349" s="174" t="s">
        <v>335</v>
      </c>
      <c r="D349" s="175"/>
      <c r="E349" s="165"/>
      <c r="F349" s="346" t="str">
        <f>IF(E349="","",IF(AND('Quantification Tool R2'!$B$12="74b",'Quantification Tool R2'!$B$13&lt;=2),IF(E349&lt;0,0,IF(E349&gt;15.6,0.69,ROUND('Reference Standards'!$AL$54*E349^2+'Reference Standards'!$AL$55*E349+'Reference Standards'!$AL$56,2))),IF(AND('Quantification Tool R2'!$B$12="65abei",'Quantification Tool R2'!$B$13&lt;=2),IF(E349&lt;0,0,IF(E349&gt;=20,0.69,ROUND('Reference Standards'!$AM$54*E349^2+'Reference Standards'!$AM$55*E349+'Reference Standards'!$AM$56,2))),IF(OR(AND('Quantification Tool R2'!$B$12="74a",'Quantification Tool R2'!$B$13&gt;2,'Quantification Tool R2'!$B$19="January - June"),AND('Quantification Tool R2'!$B$12="71i",'Quantification Tool R2'!$B$13&gt;2,'Quantification Tool R2'!$B$20="SQBANK")),IF(E349&lt;0,0,IF(E349&gt;24.7,0.69,ROUND('Reference Standards'!$AN$54*E349^2+'Reference Standards'!$AN$55*E349+'Reference Standards'!$AN$56,2))),IF(OR('Quantification Tool R2'!$B$12="74b",'Quantification Tool R2'!$B$12="65abei"),IF(E349&lt;0,0,IF(E349&gt;32.7,0.69,ROUND('Reference Standards'!$AO$54*E349^2+'Reference Standards'!$AO$55*E349+'Reference Standards'!$AO$56,2))),IF(AND('Quantification Tool R2'!$B$12="68b",'Quantification Tool R2'!$B$13&gt;2),IF(E349&lt;0,0,IF(E349&gt;41.2,0.69,ROUND('Reference Standards'!$AP$54*E349^2+'Reference Standards'!$AP$55*E349+'Reference Standards'!$AP$56,2))),IF(OR(AND('Quantification Tool R2'!$B$12="71i",'Quantification Tool R2'!$B$13&lt;=2),AND(OR('Quantification Tool R2'!$B$12="68c",'Quantification Tool R2'!$B$12="68d"),'Quantification Tool R2'!$B$19="January - June")),IF(E349&lt;0,0,IF(E349&gt;49.2,0.69,ROUND('Reference Standards'!$AL$94*E349^2+'Reference Standards'!$AL$95*E349+'Reference Standards'!$AL$96,2))),IF(OR(AND('Quantification Tool R2'!$B$12="68a",'Quantification Tool R2'!$B$19="January - June"),AND(OR('Quantification Tool R2'!$B$12="68c",'Quantification Tool R2'!$B$12="68d"),'Quantification Tool R2'!$B$19="July - December")),IF(E349&lt;0,0,IF(E349&gt;53.4,0.69,ROUND('Reference Standards'!$AM$94*E349^2+'Reference Standards'!$AM$95*E349+'Reference Standards'!$AM$96,2))),IF(OR(AND('Quantification Tool R2'!$B$12="71i",'Quantification Tool R2'!$B$13&gt;2,'Quantification Tool R2'!$B$20="SQKICK"),AND(OR('Quantification Tool R2'!$B$12="67fhi",'Quantification Tool R2'!$B$12="67g"),'Quantification Tool R2'!$B$13&lt;=2),'Quantification Tool R2'!$B$12="65j"),IF(E349&lt;0,0,IF(E349&gt;57.8,0.69,ROUND('Reference Standards'!$AN$94*E349^2+'Reference Standards'!$AN$95*E349+'Reference Standards'!$AN$96,2))),IF(OR(AND('Quantification Tool R2'!$B$12="74a",'Quantification Tool R2'!$B$13&gt;2,'Quantification Tool R2'!$B$19="July - December"),AND(OR('Quantification Tool R2'!$B$12="67fhi",'Quantification Tool R2'!$B$12="67g"),'Quantification Tool R2'!$B$13&gt;2),'Quantification Tool R2'!$B$12="69de"),IF(E349&lt;0,0,IF(E349&gt;62.5,0.69,ROUND('Reference Standards'!$AO$94*E349^2+'Reference Standards'!$AO$95*E349+'Reference Standards'!$AO$96,2))),  IF(OR('Quantification Tool R2'!$B$12="66d",'Quantification Tool R2'!$B$12="66e",'Quantification Tool R2'!$B$12="66ik",'Quantification Tool R2'!$B$12="71e",'Quantification Tool R2'!$B$12="71f",'Quantification Tool R2'!$B$12="71g",'Quantification Tool R2'!$B$12="71h"),IF(E349&lt;0,0,IF(E349&gt;66.5,0.69,ROUND('Reference Standards'!$AP$94*E349^2+'Reference Standards'!$AP$95*E349+'Reference Standards'!$AP$96,2))),IF(OR('Quantification Tool R2'!$B$12="66f",'Quantification Tool R2'!$B$12="66g",'Quantification Tool R2'!$B$12="66j",AND('Quantification Tool R2'!$B$12="68a",'Quantification Tool R2'!$B$19="July - December")), IF(E349&lt;0,0,IF(E349&gt;69,0.69,ROUND('Reference Standards'!$AQ$94*E349^2+'Reference Standards'!$AQ$95*E349+'Reference Standards'!$AQ$96,2))))   )))))))))))</f>
        <v/>
      </c>
      <c r="G349" s="531"/>
      <c r="H349" s="568"/>
      <c r="I349" s="519"/>
      <c r="J349" s="559"/>
      <c r="K349" s="555"/>
      <c r="L349" s="21"/>
    </row>
    <row r="350" spans="1:12" ht="15.6" x14ac:dyDescent="0.3">
      <c r="A350" s="556"/>
      <c r="B350" s="561"/>
      <c r="C350" s="174" t="s">
        <v>339</v>
      </c>
      <c r="D350" s="175"/>
      <c r="E350" s="165"/>
      <c r="F350" s="346" t="str">
        <f>IF(E350="","",IF(AND('Quantification Tool R2'!$B$12="74b",'Quantification Tool R2'!$B$13&lt;=2),IF(E350&lt;0,0,IF(E350&gt;8.1,0.69,ROUND('Reference Standards'!$AL$131*E350^2+'Reference Standards'!$AL$132*E350+'Reference Standards'!$AL$133,2))),IF(OR('Quantification Tool R2'!$B$12="73a",'Quantification Tool R2'!$B$12="73b"),IF(E350&lt;0,0,IF(E350&gt;=28,0.69,ROUND('Reference Standards'!$AM$131*E350^2+'Reference Standards'!$AM$132*E350+'Reference Standards'!$AM$133,2))),IF(AND('Quantification Tool R2'!$B$12="74a",'Quantification Tool R2'!$B$13&gt;2,'Quantification Tool R2'!$B$19="January - June"),IF(E350&lt;0,0,IF(E350&gt;=32.5,0.69,ROUND('Reference Standards'!$AN$131*E350^2+'Reference Standards'!$AN$132*E350+'Reference Standards'!$AN$133,2))),IF(AND('Quantification Tool R2'!$B$12="71i",'Quantification Tool R2'!$B$13&gt;2,'Quantification Tool R2'!$B$20="SQBANK"),IF(E350&lt;0,0,IF(E350&gt;=37,0.69,ROUND('Reference Standards'!$AO$131*E350^2+'Reference Standards'!$AO$132*E350+'Reference Standards'!$AO$133,2))),IF(OR(AND(OR('Quantification Tool R2'!$B$12="65abei",'Quantification Tool R2'!$B$12="74b"),'Quantification Tool R2'!$B$13&gt;2),AND('Quantification Tool R2'!$B$12="71i",'Quantification Tool R2'!$B$13&gt;2,'Quantification Tool R2'!$B$20="SQKICK")),IF(E350&lt;0,0,IF(E350&gt;42.6,0.69,ROUND('Reference Standards'!$AP$131*E350^2+'Reference Standards'!$AP$132*E350+'Reference Standards'!$AP$133,2))),     IF(OR(AND('Quantification Tool R2'!$B$12="65abei",'Quantification Tool R2'!$B$13&lt;=2),AND(OR('Quantification Tool R2'!$B$12="68c",'Quantification Tool R2'!$B$12="68d"),'Quantification Tool R2'!$B$19="July - December"),'Quantification Tool R2'!$B$12="71e"),IF(E350&lt;0,0,IF(E350&gt;=48,0.69,ROUND('Reference Standards'!$AL$171*E350^2+'Reference Standards'!$AL$172*E350+'Reference Standards'!$AL$173,2))),IF(OR('Quantification Tool R2'!$B$12="65j",'Quantification Tool R2'!$B$12="67fhi",'Quantification Tool R2'!$B$12="67g",AND('Quantification Tool R2'!$B$12="74a",'Quantification Tool R2'!$B$19="July - December",'Quantification Tool R2'!$B$13&gt;2),AND('Quantification Tool R2'!$B$12="71i",'Quantification Tool R2'!$B$13&lt;=2)),IF(E350&lt;0,0,IF(E350&gt;=53,0.69,ROUND('Reference Standards'!$AM$171*E350^2+'Reference Standards'!$AM$172*E350+'Reference Standards'!$AM$173,2))),IF(OR(AND(OR('Quantification Tool R2'!$B$12="68b",'Quantification Tool R2'!$B$12="71f",'Quantification Tool R2'!$B$12="71g",'Quantification Tool R2'!$B$12="71h"),'Quantification Tool R2'!$B$13&gt;2),'Quantification Tool R2'!$B$12="68a"),IF(E350&lt;0,0,IF(E350&gt;=57,0.69,ROUND('Reference Standards'!$AN$171*E350^2+'Reference Standards'!$AN$172*E350+'Reference Standards'!$AN$173,2))),IF(OR('Quantification Tool R2'!$B$12="66f",'Quantification Tool R2'!$B$12="66g",'Quantification Tool R2'!$B$12="66j",AND(OR('Quantification Tool R2'!$B$12="71f",'Quantification Tool R2'!$B$12="71g",'Quantification Tool R2'!$B$12="71h"),'Quantification Tool R2'!$B$13&lt;=2)),IF(E350&lt;0,0,IF(E350&gt;=60,0.69,ROUND('Reference Standards'!$AO$171*E350^2+'Reference Standards'!$AO$172*E350+'Reference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December")),IF(E350&lt;0,0,IF(E350&gt;=67.5,0.69,ROUND('Reference Standards'!$AP$171*E350^2+'Reference Standards'!$AP$172*E350+'Reference Standards'!$AP$173,2))),IF(AND('Quantification Tool R2'!$B$12="69de",'Quantification Tool R2'!$B$19="January - June"), IF(E350&lt;0,0,IF(E350&gt;=72,0.69,ROUND('Reference Standards'!$AQ$171*E350^2+'Reference Standards'!$AQ$172*E350+'Reference Standards'!$AQ$173,2))))   )))))))))))</f>
        <v/>
      </c>
      <c r="G350" s="531"/>
      <c r="H350" s="568"/>
      <c r="I350" s="519"/>
      <c r="J350" s="559"/>
      <c r="K350" s="555"/>
      <c r="L350" s="21"/>
    </row>
    <row r="351" spans="1:12" ht="15.6" x14ac:dyDescent="0.3">
      <c r="A351" s="556"/>
      <c r="B351" s="562"/>
      <c r="C351" s="127" t="s">
        <v>336</v>
      </c>
      <c r="D351" s="71"/>
      <c r="E351" s="167"/>
      <c r="F351" s="346" t="str">
        <f>IF(E351="","",IF(OR('Quantification Tool R2'!$B$12="67fhi",'Quantification Tool R2'!$B$12="67g",'Quantification Tool R2'!$B$12="71e",'Quantification Tool R2'!$B$12="73a",'Quantification Tool R2'!$B$12="73b",AND(OR('Quantification Tool R2'!$B$12="71f",'Quantification Tool R2'!$B$12="71g",'Quantification Tool R2'!$B$12="71h"),'Quantification Tool R2'!$B$13&gt;2)),IF(E351&gt;100,0,IF(E351&lt;15,0.69,ROUND('Reference Standards'!$AL$208*E351^2+'Reference Standards'!$AL$209*E351+'Reference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),IF(E351&gt;100,0,IF(E351&lt;19,0.69,ROUND('Reference Standards'!$AM$208*E351^2+'Reference Standards'!$AM$209*E351+'Reference Standards'!$AM$210,2))),    IF(OR(AND('Quantification Tool R2'!$B$12="69de",'Quantification Tool R2'!$B$19="January - June"),AND('Quantification Tool R2'!$B$12="71i",'Quantification Tool R2'!$B$13&gt;2,'Quantification Tool R2'!$B$20="SQKICK" )),IF(E351&gt;100,0,IF(E351&lt;22,0.69,ROUND('Reference Standards'!$AN$208*E351^2+'Reference Standards'!$AN$209*E351+'Reference Standards'!$AN$210,2))),    IF(OR('Quantification Tool R2'!$B$12="65j",AND('Quantification Tool R2'!$B$12="68b",'Quantification Tool R2'!$B$13&gt;2)),IF(E351&gt;100,0,IF(E351&lt;24,0.69,ROUND('Reference Standards'!$AO$208*E351^2+'Reference Standards'!$AO$209*E351+'Reference Standards'!$AO$210,2))),    IF(AND(OR('Quantification Tool R2'!$B$12="65abei",'Quantification Tool R2'!$B$12="71f",'Quantification Tool R2'!$B$12="71g",'Quantification Tool R2'!$B$12="71h"),'Quantification Tool R2'!$B$13&lt;=2),IF(E351&gt;95,0,IF(E351&lt;33,0.69,ROUND('Reference Standards'!$AL$246*E351^2+'Reference Standards'!$AL$247*E351+'Reference Standards'!$AL$248,2))),   IF(AND(OR('Quantification Tool R2'!$B$12="65abei",'Quantification Tool R2'!$B$12="74b"),'Quantification Tool R2'!$B$13&gt;2),IF(E351&gt;97,0,IF(E351&lt;36,0.69,ROUND('Reference Standards'!$AM$246*E351^2+'Reference Standards'!$AM$247*E351+'Reference Standards'!$AM$248,2))),  IF(AND('Quantification Tool R2'!$B$12="74a",'Quantification Tool R2'!$B$19="January - June",'Quantification Tool R2'!$B$13&gt;2),IF(E351&gt;93,0,IF(E351&lt;52,0.69,ROUND('Reference Standards'!$AN$246*E351^2+'Reference Standards'!$AN$247*E351+'Reference Standards'!$AN$248,2))),   IF(AND('Quantification Tool R2'!$B$12="74b",'Quantification Tool R2'!$B$13&lt;=2),IF(E351&gt;97,0,IF(E351&lt;62,0.69,ROUND('Reference Standards'!$AO$246*E351^2+'Reference Standards'!$AO$247*E351+'Reference Standards'!$AO$248,2)))  )))))))))</f>
        <v/>
      </c>
      <c r="G351" s="531"/>
      <c r="H351" s="568"/>
      <c r="I351" s="519"/>
      <c r="J351" s="559"/>
      <c r="K351" s="555"/>
      <c r="L351" s="21"/>
    </row>
    <row r="352" spans="1:12" ht="15.6" x14ac:dyDescent="0.3">
      <c r="A352" s="556"/>
      <c r="B352" s="563" t="s">
        <v>74</v>
      </c>
      <c r="C352" s="125" t="s">
        <v>211</v>
      </c>
      <c r="D352" s="126"/>
      <c r="E352" s="166"/>
      <c r="F352" s="345" t="str">
        <f>IF(E352="","",IF(E352=1,0.15,IF(E352=3,0.5,IF(E352=5,0.85,0))))</f>
        <v/>
      </c>
      <c r="G352" s="564" t="str">
        <f>IFERROR(AVERAGE(F352:F353),"")</f>
        <v/>
      </c>
      <c r="H352" s="568"/>
      <c r="I352" s="519"/>
      <c r="J352" s="559"/>
      <c r="K352" s="555"/>
      <c r="L352" s="21"/>
    </row>
    <row r="353" spans="1:12" ht="15.6" x14ac:dyDescent="0.3">
      <c r="A353" s="551"/>
      <c r="B353" s="563"/>
      <c r="C353" s="127" t="s">
        <v>332</v>
      </c>
      <c r="D353" s="71"/>
      <c r="E353" s="167"/>
      <c r="F353" s="347" t="str">
        <f>IF(E353="","",IF(E353=1,0.15,IF(E353=3,0.5,IF(E353=5,0.85,0))))</f>
        <v/>
      </c>
      <c r="G353" s="565"/>
      <c r="H353" s="568"/>
      <c r="I353" s="519"/>
      <c r="J353" s="559"/>
      <c r="K353" s="555"/>
      <c r="L353" s="21"/>
    </row>
    <row r="354" spans="1:12" x14ac:dyDescent="0.3">
      <c r="L354" s="21"/>
    </row>
    <row r="355" spans="1:12" x14ac:dyDescent="0.3">
      <c r="L355" s="21"/>
    </row>
    <row r="356" spans="1:12" ht="21" x14ac:dyDescent="0.4">
      <c r="A356" s="148" t="s">
        <v>135</v>
      </c>
      <c r="B356" s="246"/>
      <c r="C356" s="249" t="s">
        <v>324</v>
      </c>
      <c r="D356" s="246"/>
      <c r="E356" s="247"/>
      <c r="F356" s="248"/>
      <c r="G356" s="544" t="s">
        <v>18</v>
      </c>
      <c r="H356" s="545"/>
      <c r="I356" s="545"/>
      <c r="J356" s="545"/>
      <c r="K356" s="546"/>
    </row>
    <row r="357" spans="1:12" ht="16.5" customHeight="1" x14ac:dyDescent="0.3">
      <c r="A357" s="158" t="s">
        <v>1</v>
      </c>
      <c r="B357" s="158" t="s">
        <v>2</v>
      </c>
      <c r="C357" s="542" t="s">
        <v>3</v>
      </c>
      <c r="D357" s="644"/>
      <c r="E357" s="158" t="s">
        <v>15</v>
      </c>
      <c r="F357" s="158" t="s">
        <v>16</v>
      </c>
      <c r="G357" s="158" t="s">
        <v>19</v>
      </c>
      <c r="H357" s="158" t="s">
        <v>20</v>
      </c>
      <c r="I357" s="314" t="s">
        <v>20</v>
      </c>
      <c r="J357" s="158" t="s">
        <v>21</v>
      </c>
      <c r="K357" s="315" t="s">
        <v>21</v>
      </c>
    </row>
    <row r="358" spans="1:12" ht="15.75" customHeight="1" x14ac:dyDescent="0.3">
      <c r="A358" s="540" t="s">
        <v>60</v>
      </c>
      <c r="B358" s="308" t="s">
        <v>86</v>
      </c>
      <c r="C358" s="52" t="s">
        <v>388</v>
      </c>
      <c r="D358" s="52"/>
      <c r="E358" s="162"/>
      <c r="F358" s="338" t="str">
        <f>IF(E358="","",IF(E358&lt;=0,0,IF(E358&gt;=0.95,1,ROUND('Reference Standards'!C$14*E358+'Reference Standards'!C$15,2))))</f>
        <v/>
      </c>
      <c r="G358" s="83" t="str">
        <f>IFERROR(AVERAGE(F358),"")</f>
        <v/>
      </c>
      <c r="H358" s="522" t="str">
        <f>IFERROR(ROUND(AVERAGE(G358:G359),2),"")</f>
        <v/>
      </c>
      <c r="I358" s="519" t="str">
        <f>IF(H358="","",IF(H358&gt;0.69,"Functioning",IF(H358&gt;0.29,"Functioning At Risk",IF(H358&gt;-1,"Not Functioning"))))</f>
        <v/>
      </c>
      <c r="J358" s="559" t="str">
        <f>IF(AND(H358="",H360="",H362="",H384="",H388=""),"",ROUND((IF(H358="",0,H358)*0.2)+(IF(H360="",0,H360)*0.2)+(IF(H362="",0,H362)*0.2)+(IF(H384="",0,H384)*0.2)+(IF(H388="",0,H388)*0.2),2))</f>
        <v/>
      </c>
      <c r="K358" s="555" t="str">
        <f>IF(J358="","",IF(J358&lt;0.3, "Not Functioning",IF(OR(H358&lt;0.7,H360&lt;0.7,H362&lt;0.7,H384&lt;0.7,H388&lt;0.7),"Functioning At Risk",IF(J358&lt;0.7,"Functioning At Risk","Functioning"))))</f>
        <v/>
      </c>
    </row>
    <row r="359" spans="1:12" ht="15.75" customHeight="1" x14ac:dyDescent="0.3">
      <c r="A359" s="541"/>
      <c r="B359" s="371" t="s">
        <v>128</v>
      </c>
      <c r="C359" s="373" t="s">
        <v>161</v>
      </c>
      <c r="D359" s="374"/>
      <c r="E359" s="43"/>
      <c r="F359" s="372" t="str">
        <f>IF(E359="","",IF(E359&gt;=1,1,IF(E359&lt;=0,0,ROUND(E359,2))))</f>
        <v/>
      </c>
      <c r="G359" s="367" t="str">
        <f>IFERROR(AVERAGE(F359:F359),"")</f>
        <v/>
      </c>
      <c r="H359" s="523"/>
      <c r="I359" s="519"/>
      <c r="J359" s="559"/>
      <c r="K359" s="555"/>
    </row>
    <row r="360" spans="1:12" ht="15" customHeight="1" x14ac:dyDescent="0.3">
      <c r="A360" s="524" t="s">
        <v>6</v>
      </c>
      <c r="B360" s="572" t="s">
        <v>7</v>
      </c>
      <c r="C360" s="54" t="s">
        <v>8</v>
      </c>
      <c r="D360" s="54"/>
      <c r="E360" s="162"/>
      <c r="F360" s="339" t="str">
        <f>IF(E360="","",ROUND(IF(E360&gt;1.6,0,IF(E360&lt;=1,1,E360^2*'Reference Standards'!K$14+E360*'Reference Standards'!K$15+'Reference Standards'!K$16)),2))</f>
        <v/>
      </c>
      <c r="G360" s="579" t="str">
        <f>IFERROR(AVERAGE(F360:F361),"")</f>
        <v/>
      </c>
      <c r="H360" s="579" t="str">
        <f>IFERROR(ROUND(AVERAGE(G360),2),"")</f>
        <v/>
      </c>
      <c r="I360" s="569" t="str">
        <f>IF(H360="","",IF(H360&gt;0.69,"Functioning",IF(H360&gt;0.29,"Functioning At Risk",IF(H360&gt;-1,"Not Functioning"))))</f>
        <v/>
      </c>
      <c r="J360" s="559"/>
      <c r="K360" s="555"/>
    </row>
    <row r="361" spans="1:12" ht="15" customHeight="1" x14ac:dyDescent="0.3">
      <c r="A361" s="525"/>
      <c r="B361" s="572"/>
      <c r="C361" s="54" t="s">
        <v>9</v>
      </c>
      <c r="D361" s="54"/>
      <c r="E361" s="163"/>
      <c r="F361" s="339" t="str">
        <f>IF(E361="","",(IF(OR('Quantification Tool R2'!B$11="A",'Quantification Tool R2'!B$11="B",'Quantification Tool R2'!$B$11="Bc"),IF(E361&lt;1.2,0,IF(E361&gt;=2.2,1,ROUND(IF(E361&lt;1.4,E361*'Reference Standards'!$K$84+'Reference Standards'!$K$85,E361*'Reference Standards'!$L$84+'Reference Standards'!$L$85),2))),IF(OR('Quantification Tool R2'!B$11="C",'Quantification Tool R2'!B$11="E"),IF(E361&lt;2,0,IF(E361&gt;=5,1,ROUND(IF(E361&lt;2.4,E361*'Reference Standards'!$L$49+'Reference Standards'!$L$50,E361*'Reference Standards'!$K$49+'Reference Standards'!$K$50),2)))))))</f>
        <v/>
      </c>
      <c r="G361" s="581"/>
      <c r="H361" s="580"/>
      <c r="I361" s="570"/>
      <c r="J361" s="559"/>
      <c r="K361" s="555"/>
    </row>
    <row r="362" spans="1:12" ht="15" customHeight="1" x14ac:dyDescent="0.3">
      <c r="A362" s="526" t="s">
        <v>26</v>
      </c>
      <c r="B362" s="557" t="s">
        <v>27</v>
      </c>
      <c r="C362" s="60" t="s">
        <v>333</v>
      </c>
      <c r="D362" s="244"/>
      <c r="E362" s="61"/>
      <c r="F362" s="340" t="str">
        <f>IF(E362="","",IF(OR(LEFT('Quantification Tool R2'!$B$12,2)="65",LEFT('Quantification Tool R2'!$B$12,2)="66",LEFT('Quantification Tool R2'!$B$12,2)="71"),IF(E362&gt;=850,1,IF(E362&lt;250,ROUND('Reference Standards'!$S$17*(E362)+'Reference Standards'!$S$18,2),ROUND('Reference Standards'!$T$17*E362+'Reference Standards'!$T$18,2))),  IF(E362&gt;=345,1,IF(E362&lt;=180,ROUND('Reference Standards'!$U$17*(E362)+'Reference Standards'!$U$18,2),ROUND('Reference Standards'!$V$17*E362+'Reference Standards'!$V$18,2))))    )</f>
        <v/>
      </c>
      <c r="G362" s="528" t="str">
        <f>IFERROR(AVERAGE(F362:F363),"")</f>
        <v/>
      </c>
      <c r="H362" s="566" t="str">
        <f>IFERROR(ROUND(AVERAGE(G362:G383),2),"")</f>
        <v/>
      </c>
      <c r="I362" s="555" t="str">
        <f>IF(H362="","",IF(H362&gt;0.69,"Functioning",IF(H362&gt;0.29,"Functioning At Risk",IF(H362&gt;-1,"Not Functioning"))))</f>
        <v/>
      </c>
      <c r="J362" s="559"/>
      <c r="K362" s="555"/>
    </row>
    <row r="363" spans="1:12" ht="15" customHeight="1" x14ac:dyDescent="0.3">
      <c r="A363" s="520"/>
      <c r="B363" s="558"/>
      <c r="C363" s="63" t="s">
        <v>323</v>
      </c>
      <c r="D363" s="245"/>
      <c r="E363" s="53"/>
      <c r="F363" s="341" t="str">
        <f>IF(E363="","",IF(OR(LEFT('Quantification Tool R2'!$B$12,2)="65",LEFT('Quantification Tool R2'!$B$12,2)="66",LEFT('Quantification Tool R2'!$B$12,2)="71"),IF(E363&gt;=30,1,IF(E363&lt;13,ROUND('Reference Standards'!$S$53*(E363)+'Reference Standards'!$S$54,2),ROUND('Reference Standards'!$T$53*E363+'Reference Standards'!$T$54,2))),  IF(E363&gt;=16,1,IF(E363&lt;=9,ROUND('Reference Standards'!$U$53*(E363)+'Reference Standards'!$U$54,2),ROUND('Reference Standards'!$V$53*E363+'Reference Standards'!$V$54,2))))    )</f>
        <v/>
      </c>
      <c r="G363" s="530"/>
      <c r="H363" s="566"/>
      <c r="I363" s="555"/>
      <c r="J363" s="559"/>
      <c r="K363" s="555"/>
    </row>
    <row r="364" spans="1:12" ht="15.6" x14ac:dyDescent="0.3">
      <c r="A364" s="520"/>
      <c r="B364" s="520" t="s">
        <v>395</v>
      </c>
      <c r="C364" s="58" t="s">
        <v>80</v>
      </c>
      <c r="D364" s="58"/>
      <c r="E364" s="165"/>
      <c r="F364" s="340" t="str">
        <f>IF(E364="","",ROUND(IF(E364&gt;0.7,0,IF(E364&lt;=0.1,1,E364^3*'Reference Standards'!S$87+E364^2*'Reference Standards'!S$88+E364*'Reference Standards'!S$89+'Reference Standards'!S$90)),2))</f>
        <v/>
      </c>
      <c r="G364" s="528" t="str">
        <f>IFERROR(ROUND(AVERAGE(F364:F367),2),"")</f>
        <v/>
      </c>
      <c r="H364" s="567"/>
      <c r="I364" s="555"/>
      <c r="J364" s="559"/>
      <c r="K364" s="555"/>
    </row>
    <row r="365" spans="1:12" ht="15.6" x14ac:dyDescent="0.3">
      <c r="A365" s="520"/>
      <c r="B365" s="520"/>
      <c r="C365" s="58" t="s">
        <v>49</v>
      </c>
      <c r="D365" s="58"/>
      <c r="E365" s="165"/>
      <c r="F365" s="84"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529"/>
      <c r="H365" s="567"/>
      <c r="I365" s="555"/>
      <c r="J365" s="559"/>
      <c r="K365" s="555"/>
    </row>
    <row r="366" spans="1:12" ht="15.6" x14ac:dyDescent="0.3">
      <c r="A366" s="520"/>
      <c r="B366" s="520"/>
      <c r="C366" s="58" t="s">
        <v>87</v>
      </c>
      <c r="D366" s="58"/>
      <c r="E366" s="165"/>
      <c r="F366" s="84" t="str">
        <f>IF(E366="","",ROUND(IF(E366&gt;40,0,IF(E366&lt;5,1,E366^3*'Reference Standards'!S$122+E366^2*'Reference Standards'!S$123+E366*'Reference Standards'!S$124+'Reference Standards'!S$125)),2))</f>
        <v/>
      </c>
      <c r="G366" s="529"/>
      <c r="H366" s="567"/>
      <c r="I366" s="555"/>
      <c r="J366" s="559"/>
      <c r="K366" s="555"/>
    </row>
    <row r="367" spans="1:12" ht="15.6" x14ac:dyDescent="0.3">
      <c r="A367" s="520"/>
      <c r="B367" s="521"/>
      <c r="C367" s="59" t="s">
        <v>394</v>
      </c>
      <c r="D367" s="59"/>
      <c r="E367" s="167"/>
      <c r="F367" s="341" t="str">
        <f>IF(E367="","",ROUND(IF(E367&gt;=30,0,IF(E367&lt;=0,1,E367*'Reference Standards'!S$156+'Reference Standards'!S$157)),2))</f>
        <v/>
      </c>
      <c r="G367" s="530"/>
      <c r="H367" s="567"/>
      <c r="I367" s="555"/>
      <c r="J367" s="559"/>
      <c r="K367" s="555"/>
    </row>
    <row r="368" spans="1:12" ht="15.6" x14ac:dyDescent="0.3">
      <c r="A368" s="520"/>
      <c r="B368" s="520" t="s">
        <v>50</v>
      </c>
      <c r="C368" s="60" t="s">
        <v>377</v>
      </c>
      <c r="D368" s="64"/>
      <c r="E368" s="136"/>
      <c r="F368" s="294" t="str">
        <f>IF(E368="","",ROUND(IF(E368&gt;9.2,1,E368*'Reference Standards'!$S$189+'Reference Standards'!$S$190),2))</f>
        <v/>
      </c>
      <c r="G368" s="552" t="str">
        <f>IFERROR(ROUND(AVERAGE(F368:F377),2),"")</f>
        <v/>
      </c>
      <c r="H368" s="567"/>
      <c r="I368" s="555"/>
      <c r="J368" s="559"/>
      <c r="K368" s="555"/>
    </row>
    <row r="369" spans="1:12" ht="15.6" x14ac:dyDescent="0.3">
      <c r="A369" s="520"/>
      <c r="B369" s="520"/>
      <c r="C369" s="62" t="s">
        <v>378</v>
      </c>
      <c r="D369" s="58"/>
      <c r="E369" s="162"/>
      <c r="F369" s="294" t="str">
        <f>IF(E369="","",ROUND(IF(E369&gt;9.2,1,E369*'Reference Standards'!$S$189+'Reference Standards'!$S$190),2))</f>
        <v/>
      </c>
      <c r="G369" s="553"/>
      <c r="H369" s="567"/>
      <c r="I369" s="555"/>
      <c r="J369" s="559"/>
      <c r="K369" s="555"/>
    </row>
    <row r="370" spans="1:12" ht="15.6" x14ac:dyDescent="0.3">
      <c r="A370" s="520"/>
      <c r="B370" s="520"/>
      <c r="C370" s="62" t="s">
        <v>379</v>
      </c>
      <c r="D370" s="58"/>
      <c r="E370" s="162"/>
      <c r="F370" s="294" t="str">
        <f>IF(E370="","",ROUND( IF(E370&gt;=200,1,IF(E370&lt;50, E370^2*'Reference Standards'!S$224+E370*'Reference Standards'!S$225+'Reference Standards'!S$226, E370*'Reference Standards'!T$224+'Reference Standards'!T$225)),2))</f>
        <v/>
      </c>
      <c r="G370" s="553"/>
      <c r="H370" s="567"/>
      <c r="I370" s="555"/>
      <c r="J370" s="559"/>
      <c r="K370" s="555"/>
    </row>
    <row r="371" spans="1:12" ht="15.6" x14ac:dyDescent="0.3">
      <c r="A371" s="520"/>
      <c r="B371" s="520"/>
      <c r="C371" s="62" t="s">
        <v>380</v>
      </c>
      <c r="D371" s="58"/>
      <c r="E371" s="162"/>
      <c r="F371" s="294" t="str">
        <f>IF(E371="","",ROUND( IF(E371&gt;=200,1,IF(E371&lt;50, E371^2*'Reference Standards'!S$224+E371*'Reference Standards'!S$225+'Reference Standards'!S$226, E371*'Reference Standards'!T$224+'Reference Standards'!T$225)),2))</f>
        <v/>
      </c>
      <c r="G371" s="553"/>
      <c r="H371" s="567"/>
      <c r="I371" s="555"/>
      <c r="J371" s="559"/>
      <c r="K371" s="555"/>
    </row>
    <row r="372" spans="1:12" ht="15.6" x14ac:dyDescent="0.3">
      <c r="A372" s="520"/>
      <c r="B372" s="520"/>
      <c r="C372" s="58" t="s">
        <v>381</v>
      </c>
      <c r="D372" s="58"/>
      <c r="E372" s="162"/>
      <c r="F372" s="294" t="str">
        <f>IF(E372="","",ROUND(IF(AND(E372&gt;=135,E372&lt;=262),1,IF(  E372&gt;=366,0.5, IF(E372&lt;135,E372*'Reference Standards'!S$259+'Reference Standards'!S$260, E372*'Reference Standards'!T$259+'Reference Standards'!T$260))),2))</f>
        <v/>
      </c>
      <c r="G372" s="553"/>
      <c r="H372" s="567"/>
      <c r="I372" s="555"/>
      <c r="J372" s="559"/>
      <c r="K372" s="555"/>
      <c r="L372" s="21"/>
    </row>
    <row r="373" spans="1:12" ht="15.6" x14ac:dyDescent="0.3">
      <c r="A373" s="520"/>
      <c r="B373" s="520"/>
      <c r="C373" s="58" t="s">
        <v>382</v>
      </c>
      <c r="D373" s="58"/>
      <c r="E373" s="162"/>
      <c r="F373" s="294" t="str">
        <f>IF(E373="","",ROUND(IF(AND(E373&gt;=135,E373&lt;=262),1,IF(  E373&gt;=366,0.5, IF(E373&lt;135,E373*'Reference Standards'!S$259+'Reference Standards'!S$260, E373*'Reference Standards'!T$259+'Reference Standards'!T$260))),2))</f>
        <v/>
      </c>
      <c r="G373" s="553"/>
      <c r="H373" s="567"/>
      <c r="I373" s="555"/>
      <c r="J373" s="559"/>
      <c r="K373" s="555"/>
      <c r="L373" s="21"/>
    </row>
    <row r="374" spans="1:12" ht="15.6" x14ac:dyDescent="0.3">
      <c r="A374" s="520"/>
      <c r="B374" s="520"/>
      <c r="C374" s="58" t="s">
        <v>383</v>
      </c>
      <c r="D374" s="58"/>
      <c r="E374" s="162"/>
      <c r="F374" s="84" t="str">
        <f>IF(E374="","",ROUND(IF(E374&gt;=75,1,IF(E374&lt;=0,0,E374*'Reference Standards'!S$330)),2))</f>
        <v/>
      </c>
      <c r="G374" s="553"/>
      <c r="H374" s="567"/>
      <c r="I374" s="555"/>
      <c r="J374" s="559"/>
      <c r="K374" s="555"/>
      <c r="L374" s="21"/>
    </row>
    <row r="375" spans="1:12" ht="15.6" x14ac:dyDescent="0.3">
      <c r="A375" s="520"/>
      <c r="B375" s="520"/>
      <c r="C375" s="58" t="s">
        <v>384</v>
      </c>
      <c r="D375" s="58"/>
      <c r="E375" s="162"/>
      <c r="F375" s="84" t="str">
        <f>IF(E375="","",ROUND(IF(E375&gt;=75,1,IF(E375&lt;=0,0,E375*'Reference Standards'!S$330)),2))</f>
        <v/>
      </c>
      <c r="G375" s="553"/>
      <c r="H375" s="567"/>
      <c r="I375" s="555"/>
      <c r="J375" s="559"/>
      <c r="K375" s="555"/>
      <c r="L375" s="21"/>
    </row>
    <row r="376" spans="1:12" ht="15.6" x14ac:dyDescent="0.3">
      <c r="A376" s="520"/>
      <c r="B376" s="520"/>
      <c r="C376" s="58" t="s">
        <v>385</v>
      </c>
      <c r="D376" s="58"/>
      <c r="E376" s="162"/>
      <c r="F376" s="294" t="str">
        <f>IF(E376="","",ROUND(IF(AND(E376&gt;=36.3,E376&lt;=68),1,IF(E376&gt;100,0,IF(E376&lt;36.3,(('Reference Standards'!S$297*(E376^2))+('Reference Standards'!S$298*E376)+'Reference Standards'!S$299),IF(E376&gt;68,(('Reference Standards'!T$297*(E376^2))+('Reference Standards'!T$298*E376)+'Reference Standards'!T$299))))),2))</f>
        <v/>
      </c>
      <c r="G376" s="553"/>
      <c r="H376" s="567"/>
      <c r="I376" s="555"/>
      <c r="J376" s="559"/>
      <c r="K376" s="555"/>
      <c r="L376" s="21"/>
    </row>
    <row r="377" spans="1:12" ht="15.6" x14ac:dyDescent="0.3">
      <c r="A377" s="520"/>
      <c r="B377" s="521"/>
      <c r="C377" s="58" t="s">
        <v>386</v>
      </c>
      <c r="D377" s="65"/>
      <c r="E377" s="162"/>
      <c r="F377" s="294" t="str">
        <f>IF(E377="","",ROUND(IF(AND(E377&gt;=36.3,E377&lt;=68),1,IF(E377&gt;100,0,IF(E377&lt;36.3,(('Reference Standards'!S$297*(E377^2))+('Reference Standards'!S$298*E377)+'Reference Standards'!S$299),IF(E377&gt;68,(('Reference Standards'!T$297*(E377^2))+('Reference Standards'!T$298*E377)+'Reference Standards'!T$299))))),2))</f>
        <v/>
      </c>
      <c r="G377" s="554"/>
      <c r="H377" s="567"/>
      <c r="I377" s="555"/>
      <c r="J377" s="559"/>
      <c r="K377" s="555"/>
      <c r="L377" s="21"/>
    </row>
    <row r="378" spans="1:12" ht="15.6" x14ac:dyDescent="0.3">
      <c r="A378" s="520"/>
      <c r="B378" s="56" t="s">
        <v>108</v>
      </c>
      <c r="C378" s="72" t="s">
        <v>130</v>
      </c>
      <c r="D378" s="58"/>
      <c r="E378" s="43"/>
      <c r="F378" s="82" t="str">
        <f>IF(E378="","",IF(OR('Quantification Tool R2'!B$14="Gravel",'Quantification Tool R2'!B$14="Cobble"),IF(E378&gt;0.1,1,IF(E378&lt;=0.01,0,ROUND(E378*'Reference Standards'!$S$362+'Reference Standards'!$S$363,2)))))</f>
        <v/>
      </c>
      <c r="G378" s="82" t="str">
        <f>IFERROR(AVERAGE(F378),"")</f>
        <v/>
      </c>
      <c r="H378" s="567"/>
      <c r="I378" s="555"/>
      <c r="J378" s="559"/>
      <c r="K378" s="555"/>
      <c r="L378" s="21"/>
    </row>
    <row r="379" spans="1:12" ht="15.6" x14ac:dyDescent="0.3">
      <c r="A379" s="520"/>
      <c r="B379" s="526" t="s">
        <v>51</v>
      </c>
      <c r="C379" s="64" t="s">
        <v>52</v>
      </c>
      <c r="D379" s="64"/>
      <c r="E379" s="166"/>
      <c r="F379" s="337" t="str">
        <f>IF(E379="","",IF(ISNUMBER('Quantification Tool R2'!$B$17),IF('Quantification Tool R2'!$B$17&lt;=2,IF(AND(E379&gt;=3,E379&lt;=5),1,IF(OR(E379&lt;=1,E379&gt;=7),0,ROUND(IF(E379&lt;3,E379*'Reference Standards'!S$398+'Reference Standards'!S$399,E379*'Reference Standards'!T$398+'Reference Standards'!T$399),2))),IF(E379&lt;=2.5,1,IF(E379&gt;=5.8,0,ROUND(E379*'Reference Standards'!S$430+'Reference Standards'!S$431,2))))))</f>
        <v/>
      </c>
      <c r="G379" s="528" t="str">
        <f>IFERROR(AVERAGE(F379:F382),"")</f>
        <v/>
      </c>
      <c r="H379" s="567"/>
      <c r="I379" s="555"/>
      <c r="J379" s="559"/>
      <c r="K379" s="555"/>
      <c r="L379" s="21"/>
    </row>
    <row r="380" spans="1:12" ht="15.6" x14ac:dyDescent="0.3">
      <c r="A380" s="520"/>
      <c r="B380" s="520"/>
      <c r="C380" s="58" t="s">
        <v>53</v>
      </c>
      <c r="D380" s="58"/>
      <c r="E380" s="165"/>
      <c r="F380" s="84" t="str">
        <f>IF(E380="","", IF( E380&gt;=2.4,1, IF(E380&lt;=1,0,  ROUND(IF(E380&lt;2.4, E380*'Reference Standards'!$S$464+'Reference Standards'!$S$465  ),2))))</f>
        <v/>
      </c>
      <c r="G380" s="529"/>
      <c r="H380" s="567"/>
      <c r="I380" s="555"/>
      <c r="J380" s="559"/>
      <c r="K380" s="555"/>
      <c r="L380" s="21"/>
    </row>
    <row r="381" spans="1:12" ht="15.6" x14ac:dyDescent="0.3">
      <c r="A381" s="520"/>
      <c r="B381" s="520"/>
      <c r="C381" s="58" t="s">
        <v>334</v>
      </c>
      <c r="D381" s="58"/>
      <c r="E381" s="165"/>
      <c r="F381" s="390" t="str">
        <f>IF(E381="","", IF(LEFT('Quantification Tool R2'!$B$12,2)="67",  IF( AND(E381&gt;=45,E381&lt;=65),1, IF(OR(E381&lt;=20,E381&gt;=90),0, ROUND(  IF(E381&lt;45, E381*'Reference Standards'!$S$498+'Reference Standards'!$S$499,E381*'Reference Standards'!$T$498+'Reference Standards'!$T$499),2))), IF(OR(  LEFT('Quantification Tool R2'!$B$12,2)="68", LEFT('Quantification Tool R2'!$B$12,2)="69",LEFT('Quantification Tool R2'!$B$12,2)="71"),  IF( AND(E381&gt;=30,E381&lt;=50),1, IF(OR(E381&lt;=10,E381&gt;=70),0, ROUND(  IF(E381&lt;30, E381*'Reference Standards'!$S$533+'Reference Standards'!$S$534,E381*'Reference Standards'!$T$533+'Reference Standards'!$T$534),2))), IF(LEFT('Quantification Tool R2'!$B$12,2)="66",  IF( AND(E381&gt;=20,E381&lt;=45),1, IF(OR(E381&lt;=0,E381&gt;=90),0, ROUND(  IF(E381&lt;20, E381*'Reference Standards'!$S$567+'Reference Standards'!$S$568,E381*'Reference Standards'!$T$567+'Reference Standards'!$T$568),2))), IF(OR(  LEFT('Quantification Tool R2'!$B$12,2)="65", LEFT('Quantification Tool R2'!$B$12,2)="74", LEFT('Quantification Tool R2'!$B$12,2)="73"),  IF( AND(E381&gt;=20,E381&lt;=30),1, IF(OR(E381&lt;=0,E381&gt;=50),0, ROUND(  IF(E381&lt;20, E381*'Reference Standards'!$S$601+'Reference Standards'!$S$602,E381*'Reference Standards'!$T$601+'Reference Standards'!$T$602),2))))))))</f>
        <v/>
      </c>
      <c r="G381" s="529"/>
      <c r="H381" s="567"/>
      <c r="I381" s="555"/>
      <c r="J381" s="559"/>
      <c r="K381" s="555"/>
      <c r="L381" s="21"/>
    </row>
    <row r="382" spans="1:12" ht="15.6" x14ac:dyDescent="0.3">
      <c r="A382" s="520"/>
      <c r="B382" s="521"/>
      <c r="C382" s="62" t="s">
        <v>210</v>
      </c>
      <c r="D382" s="58"/>
      <c r="E382" s="167"/>
      <c r="F382" s="391" t="str">
        <f>IF(E382="","",IF(E382&gt;=1.6,0,IF(E382&lt;=1,1,ROUND('Reference Standards'!$S$633*E382^3+'Reference Standards'!$S$634*E382^2+'Reference Standards'!$S$635*E382+'Reference Standards'!$S$636,2))))</f>
        <v/>
      </c>
      <c r="G382" s="530"/>
      <c r="H382" s="567"/>
      <c r="I382" s="555"/>
      <c r="J382" s="559"/>
      <c r="K382" s="555"/>
      <c r="L382" s="21"/>
    </row>
    <row r="383" spans="1:12" ht="15.6" x14ac:dyDescent="0.3">
      <c r="A383" s="521"/>
      <c r="B383" s="309" t="s">
        <v>55</v>
      </c>
      <c r="C383" s="242" t="s">
        <v>54</v>
      </c>
      <c r="D383" s="243"/>
      <c r="E383" s="163"/>
      <c r="F383" s="342" t="str">
        <f>IF(E383="","",IF(AND('Quantification Tool R2'!B$11="E",'Quantification Tool R2'!$B$14="Sand",'Quantification Tool R2'!$B$21="Unconfined Alluvial"),ROUND(IF(OR(E383&gt;1.8,E383&lt;1.3),0,IF(E383&lt;=1.6,1,E383*'Reference Standards'!S$667+'Reference Standards'!S$668)),2),    IF('Quantification Tool R2'!$B$21="Unconfined Alluvial",ROUND(IF(OR(E383&lt;1.2, E383&gt;1.5),0,IF(E383&lt;=1.4,1,E383*'Reference Standards'!$S$700+'Reference Standards'!$S$701)),2), IF('Quantification Tool R2'!$B$21="Confined Alluvial",ROUND(IF(E383&lt;1.15,0,IF(E383&lt;=1.4,E383*'Reference Standards'!$S$729+'Reference Standards'!$S$730,1)),2),  IF('Quantification Tool R2'!$B$21="Colluvial",ROUND(IF(E383&gt;1.3,0,IF(E383&gt;1.2,E383*'Reference Standards'!$S$760+'Reference Standards'!$S$761,1)),2) )))))</f>
        <v/>
      </c>
      <c r="G383" s="84" t="str">
        <f>IFERROR(AVERAGE(F383),"")</f>
        <v/>
      </c>
      <c r="H383" s="567"/>
      <c r="I383" s="555"/>
      <c r="J383" s="559"/>
      <c r="K383" s="555"/>
      <c r="L383" s="21"/>
    </row>
    <row r="384" spans="1:12" ht="15.6" x14ac:dyDescent="0.3">
      <c r="A384" s="537" t="s">
        <v>58</v>
      </c>
      <c r="B384" s="67" t="s">
        <v>88</v>
      </c>
      <c r="C384" s="70" t="s">
        <v>338</v>
      </c>
      <c r="D384" s="70"/>
      <c r="E384" s="43"/>
      <c r="F384" s="343" t="str">
        <f>IF(E384="","",ROUND(IF(E384&gt;=942,0,IF(E384&lt;=487,E384*'Reference Standards'!AB$15+'Reference Standards'!AB$16,E384*'Reference Standards'!$AC$15+'Reference Standards'!$AC$16)),2))</f>
        <v/>
      </c>
      <c r="G384" s="85" t="str">
        <f>IFERROR(AVERAGE(F384),"")</f>
        <v/>
      </c>
      <c r="H384" s="547" t="str">
        <f>IFERROR(ROUND(AVERAGE(G384:G387),2),"")</f>
        <v/>
      </c>
      <c r="I384" s="534" t="str">
        <f>IF(H384="","",IF(H384&gt;0.69,"Functioning",IF(H384&gt;0.29,"Functioning At Risk",IF(H384&gt;-1,"Not Functioning"))))</f>
        <v/>
      </c>
      <c r="J384" s="559"/>
      <c r="K384" s="555"/>
      <c r="L384" s="21"/>
    </row>
    <row r="385" spans="1:12" ht="15.75" customHeight="1" x14ac:dyDescent="0.3">
      <c r="A385" s="538"/>
      <c r="B385" s="306" t="s">
        <v>362</v>
      </c>
      <c r="C385" s="66" t="s">
        <v>354</v>
      </c>
      <c r="D385" s="66"/>
      <c r="E385" s="163"/>
      <c r="F385" s="344" t="str">
        <f>IF(E385="","",IF(OR('Quantification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June")),IF(E385&gt;93,0,IF(E385&lt;13,1,ROUND('Reference Standards'!$AB$53*E385^2+'Reference Standards'!$AB$54*E385+'Reference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R2'!$B$12="73b"),IF(E385&gt;94,0,IF(E385&lt;17,1,ROUND('Reference Standards'!$AC$53*E385^2+'Reference Standards'!$AC$54*E385+'Reference Standards'!$AC$55,2))),    IF(OR(AND(OR('Quantification Tool R2'!$B$12="68b",'Quantification Tool R2'!$B$12="71i"),'Quantification Tool R2'!$B$13&gt;2), 'Quantification Tool R2'!$B$12="71e"),IF(E385&gt;91,0,IF(E385&lt;24,1,ROUND('Reference Standards'!$AD$53*E385^2+'Reference Standards'!$AD$54*E385+'Reference Standards'!$AD$55,2))),  IF(OR(AND(OR('Quantification Tool R2'!$B$12="71f",'Quantification Tool R2'!$B$12="71g",'Quantification Tool R2'!$B$12="71h",'Quantification Tool R2'!$B$12="71i"),'Quantification Tool R2'!$B$13&lt;=2), AND('Quantification Tool R2'!$B$12="74a",'Quantification Tool R2'!$B$13&gt;2)),IF(E385&gt;95,0,IF(E385&lt;=36,1,ROUND('Reference Standards'!$AE$53*E385^2+'Reference Standards'!$AE$54*E385+'Reference Standards'!$AE$55,2))))))))</f>
        <v/>
      </c>
      <c r="G385" s="236" t="str">
        <f>IFERROR(AVERAGE(F385:F385),"")</f>
        <v/>
      </c>
      <c r="H385" s="548"/>
      <c r="I385" s="535"/>
      <c r="J385" s="559"/>
      <c r="K385" s="555"/>
    </row>
    <row r="386" spans="1:12" ht="15.75" customHeight="1" x14ac:dyDescent="0.3">
      <c r="A386" s="538"/>
      <c r="B386" s="67" t="s">
        <v>81</v>
      </c>
      <c r="C386" s="68" t="s">
        <v>281</v>
      </c>
      <c r="D386" s="68"/>
      <c r="E386" s="162"/>
      <c r="F386" s="344" t="str">
        <f>IF(E386="","",IF(ISNUMBER('Quantification Tool R2'!$B$13),IF(OR('Quantification Tool R2'!$B$12="66e",'Quantification Tool R2'!$B$12="66f",'Quantification Tool R2'!$B$12="66g"),ROUND(IF(E386&gt;=0.61,0,IF(E386&lt;=0.01,1,IF(E386&lt;=0.06,E386*'Reference Standards'!$AD$197+'Reference Standards'!$AD$198,E386^2*'Reference Standards'!$AB$196+E386*'Reference Standards'!$AB$197+'Reference Standards'!$AB$198))),2),IF('Quantification Tool R2'!$B$12="68b",ROUND(IF(E386&gt;=1.1,0,IF(E386&lt;=0.17,1,IF(E386&lt;=0.22,E386*'Reference Standards'!$AE$197+'Reference Standards'!$AE$198,E386^2*'Reference Standards'!$AC$196+E386*'Reference Standards'!$AC$197+'Reference Standards'!$AC$198))),2),IF('Quantification Tool R2'!$B$13&lt;=2.5,IF('Quantification Tool R2'!$B$12="69de",ROUND(IF(E386&gt;=0.22,0,IF(E386&lt;=0.01,1,E386^2*'Reference Standards'!$AB$90+E386*'Reference Standards'!$AB$91+'Reference Standards'!$AB$92)),2),IF('Quantification Tool R2'!$B$12="68c",ROUND(IF(E386&gt;=0.87,0,IF(E386&lt;=0.01,1,E386^2*'Reference Standards'!$AC$90+E386*'Reference Standards'!$AC$91+'Reference Standards'!$AC$92)),2),IF('Quantification Tool R2'!$B$12="68a",ROUND(IF(E386&gt;=0.81,0,IF(E386&lt;=0.01,1,E386^2*'Reference Standards'!$AD$90+E386*'Reference Standards'!$AD$91+'Reference Standards'!$AD$92)),2),IF('Quantification Tool R2'!$B$12="65abei",ROUND(IF(E386&gt;=0.67,0,IF(E386&lt;=0.01,1,IF(E386&lt;=0.18,E386*'Reference Standards'!$AG$91+'Reference Standards'!$AG$92,E386*'Reference Standards'!$AE$91+'Reference Standards'!$AE$92))),2),IF('Quantification Tool R2'!$B$12="65j",ROUND(IF(E386&gt;=0.32,0,IF(E386&lt;=0.01,1,IF(E386&lt;=0.25,E386*'Reference Standards'!$AH$91+'Reference Standards'!$AH$92,E386*'Reference Standards'!$AF$91+'Reference Standards'!$AF$92))),2),IF('Quantification Tool R2'!$B$12="71f",ROUND(IF(E386&gt;=3,0,IF(E386&lt;=0,1,IF(E386&lt;=0.01,0.7,E386^2*'Reference Standards'!$AB$126+E386*'Reference Standards'!$AB$127+'Reference Standards'!$AB$128))),2),IF('Quantification Tool R2'!$B$12="74a",ROUND(IF(E386&gt;=0.14,0,IF(E386&lt;=0.01,1,IF(E386&lt;=0.02,0.7,E386^2*'Reference Standards'!$AC$126+E386*'Reference Standards'!$AC$127+'Reference Standards'!$AC$128))),2),IF(OR('Quantification Tool R2'!$B$12="67fhi",'Quantification Tool R2'!$B$12="67g"),ROUND(IF(E386&gt;=1.9,0,IF(E386&lt;=0.01,1,IF(E386&lt;=0.05,E386*'Reference Standards'!$AF$127+'Reference Standards'!$AF$128,E386^2*'Reference Standards'!$AD$126+E386*'Reference Standards'!$AD$127+'Reference Standards'!$AD$128))),2),IF('Quantification Tool R2'!$B$12="73a",ROUND(IF(E386&gt;=1.44,0,IF(E386&lt;=0.01,1,IF(E386&lt;=0.12,E386*'Reference Standards'!$AG$127+'Reference Standards'!$AG$128,E386^2*'Reference Standards'!$AE$126+E386*'Reference Standards'!$AE$127+'Reference Standards'!$AE$128))),2),IF('Quantification Tool R2'!$B$12="66d",ROUND(IF(E386&gt;=0.46,0,IF(E386&lt;=0.02,1,IF(E386&lt;=0.08,E386*'Reference Standards'!$AF$163+'Reference Standards'!$AF$164,E386^2*'Reference Standards'!$AB$162+E386*'Reference Standards'!$AB$163+'Reference Standards'!$AB$164))),2),IF(OR('Quantification Tool R2'!$B$12="71g",'Quantification Tool R2'!$B$12="71h",'Quantification Tool R2'!$B$12="71i"),ROUND(IF(E386&gt;=3,0,IF(E386&lt;=0.06,1,IF(E386&lt;=0.24,E386*'Reference Standards'!$AG$163+'Reference Standards'!$AG$164,E386^2*'Reference Standards'!$AC$162+E386*'Reference Standards'!$AC$163+'Reference Standards'!$AC$164))),2),IF('Quantification Tool R2'!$B$12="74b",ROUND(IF(E386&gt;=1.3,0,IF(E386&lt;=0.29,1,IF(E386&lt;=0.48,E386*'Reference Standards'!$AH$163+'Reference Standards'!$AH$164,E386^2*'Reference Standards'!$AD$162+E386*'Reference Standards'!$AD$163+'Reference Standards'!$AD$164))),2),IF('Quantification Tool R2'!$B$12="71e",ROUND(IF(E386&gt;=4.3,0,IF(E386&lt;=0.53,1,IF(E386&lt;=0.67,E386*'Reference Standards'!$AI$163+'Reference Standards'!$AI$164,E386^2*'Reference Standards'!$AE$162+E386*'Reference Standards'!$AE$163+'Reference Standards'!$AE$164))),2)))))))))))))),IF('Quantification Tool R2'!$B$13&gt;2.5,IF('Quantification Tool R2'!$B$12="73a",ROUND(IF(E386&gt;=0.55,0,IF(E386&lt;=0,1,E386^2*'Reference Standards'!$AB$232+E386*'Reference Standards'!$AB$233+'Reference Standards'!$AB$234)),2),IF('Quantification Tool R2'!$B$12="68a",ROUND(IF(E386&gt;=0.54,0,IF(E386&lt;=0,1,IF(E386&lt;=0.01,0.85,E386^2*'Reference Standards'!$AC$232+E386*'Reference Standards'!$AC$233+'Reference Standards'!$AC$234))),2),IF('Quantification Tool R2'!$B$12="74a",ROUND(IF(E386&gt;=0.47,0,IF(E386&lt;=0.01,1,IF(E386&lt;=0.02,0.7,E386^2*'Reference Standards'!$AD$232+E386*'Reference Standards'!$AD$233+'Reference Standards'!$AD$234))),2),IF('Quantification Tool R2'!$B$12="69de",ROUND(IF(E386&gt;=0.26,0,IF(E386&lt;=0.01,1,IF(E386&lt;=0.02,0.85,E386^2*'Reference Standards'!$AE$232+E386*'Reference Standards'!$AE$233+'Reference Standards'!$AE$234))),2),IF('Quantification Tool R2'!$B$12="71f",ROUND(IF(E386&gt;=0.87,0,IF(E386&lt;=0.01,1,IF(E386&lt;=0.04,E386*'Reference Standards'!$AF$269+'Reference Standards'!$AF$270,E386^2*'Reference Standards'!$AB$268+E386*'Reference Standards'!$AB$269+'Reference Standards'!$AB$270))),2),IF('Quantification Tool R2'!$B$12="65abei",ROUND(IF(E386&gt;=0.82,0,IF(E386&lt;=0.01,1,IF(E386&lt;=0.06,E386*'Reference Standards'!$AG$269+'Reference Standards'!$AG$270,E386^2*'Reference Standards'!$AC$268+E386*'Reference Standards'!$AC$269+'Reference Standards'!$AC$270))),2),IF('Quantification Tool R2'!$B$12="65j",ROUND(IF(E386&gt;=0.33,0,IF(E386&lt;=0.03,1,IF(E386&lt;=0.09,E386*'Reference Standards'!$AH$269+'Reference Standards'!$AH$270,E386^2*'Reference Standards'!$AD$268+E386*'Reference Standards'!$AD$269+'Reference Standards'!$AD$270))),2),IF('Quantification Tool R2'!$B$12="68c",ROUND(IF(E386&gt;=0.7,0,IF(E386&lt;=0.07,1,IF(E386&lt;=0.12,E386*'Reference Standards'!$AI$269+'Reference Standards'!$AI$270,E386^2*'Reference Standards'!$AE$268+E386*'Reference Standards'!$AE$269+'Reference Standards'!$AE$270))),2),IF(OR('Quantification Tool R2'!$B$12="67fhi",'Quantification Tool R2'!$B$12="67g"),ROUND(IF(E386&gt;=1.8,0,IF(E386&lt;=0.08,1,IF(E386&lt;=0.2,E386*'Reference Standards'!$AF$306+'Reference Standards'!$AF$307,E386^2*'Reference Standards'!$AB$305+E386*'Reference Standards'!$AB$306+'Reference Standards'!$AB$307))),2),IF('Quantification Tool R2'!$B$12="74b",ROUND(IF(E386&gt;=0.96,0,IF(E386&lt;=0.12,1,IF(E386&lt;=0.16,E386*'Reference Standards'!$AG$306+'Reference Standards'!$AG$307,E386^2*'Reference Standards'!$AC$305+E386*'Reference Standards'!$AC$306+'Reference Standards'!$AC$307))),2),IF('Quantification Tool R2'!$B$12="66d",ROUND(IF(E386&gt;=0.75,0,IF(E386&lt;=0.13,1,IF(E386&lt;=0.2,E386*'Reference Standards'!$AH$306+'Reference Standards'!$AH$307,E386^2*'Reference Standards'!$AD$305+E386*'Reference Standards'!$AD$306+'Reference Standards'!$AD$307))),2),IF(OR('Quantification Tool R2'!$B$12="71g",'Quantification Tool R2'!$B$12="71h",'Quantification Tool R2'!$B$12="71i"),ROUND(IF(E386&gt;=1.68,0,IF(E386&lt;=0.08,1,IF(E386&lt;=0.23,E386*'Reference Standards'!$AI$306+'Reference Standards'!$AI$307,E386^2*'Reference Standards'!$AE$305+E386*'Reference Standards'!$AE$306+'Reference Standards'!$AE$307))),2),IF('Quantification Tool R2'!$B$12="71e",ROUND(IF(E386&gt;=5.3,0,IF(E386&lt;=0.94,1,IF(E386&lt;=1.4,E386*'Reference Standards'!$AF$310+'Reference Standards'!$AF$311,E386^2*'Reference Standards'!$AB$309+E386*'Reference Standards'!$AB$310+'Reference Standards'!$AB$311))),2))))))))))))))))))))</f>
        <v/>
      </c>
      <c r="G386" s="86" t="str">
        <f>IFERROR(AVERAGE(F386),"")</f>
        <v/>
      </c>
      <c r="H386" s="548"/>
      <c r="I386" s="535"/>
      <c r="J386" s="559"/>
      <c r="K386" s="555"/>
    </row>
    <row r="387" spans="1:12" ht="15.75" customHeight="1" x14ac:dyDescent="0.3">
      <c r="A387" s="539"/>
      <c r="B387" s="307" t="s">
        <v>82</v>
      </c>
      <c r="C387" s="66" t="s">
        <v>280</v>
      </c>
      <c r="D387" s="66"/>
      <c r="E387" s="136"/>
      <c r="F387" s="343" t="str">
        <f>IF(E387="","",IF(ISNUMBER('Quantification Tool R2'!$B$13),IF('Quantification Tool R2'!$B$13&gt;2.5,IF(OR('Quantification Tool R2'!$B$12="71h",'Quantification Tool R2'!$B$12="71i",'Quantification Tool R2'!$B$12="73a",'Quantification Tool R2'!$B$12="74a"),IF(E387&lt;=0.01,1,IF(OR('Quantification Tool R2'!$B$12="71h",'Quantification Tool R2'!$B$12="71i"),IF(E387&gt;0.37,0,ROUND(IF(E387&gt;0.03,'Reference Standards'!$AB$425*E387^2+'Reference Standards'!$AB$426*E387+'Reference Standards'!$AB$427,'Reference Standards'!$AF$426*E387+'Reference Standards'!$AF$427),2)),IF('Quantification Tool R2'!$B$12="73a",IF(E387&gt;0.405,0,ROUND(IF(E387&gt;0.046,'Reference Standards'!$AC$425*E387^2+'Reference Standards'!$AC$426*E387+'Reference Standards'!$AC$427,'Reference Standards'!$AG$426*E387+'Reference Standards'!$AG$427),2)),IF('Quantification Tool R2'!$B$12="74a",IF(E387&gt;0.3,0,ROUND(IF(E387&gt;0.052,'Reference Standards'!$AD$425*E387^2+'Reference Standards'!$AD$426*E387+'Reference Standards'!$AD$427,'Reference Standards'!$AH$426*E387+'Reference Standards'!$AH$427),2)))))),IF(E387&lt;=0.002,1,IF(OR('Quantification Tool R2'!$B$12="66d",'Quantification Tool R2'!$B$12="66e",'Quantification Tool R2'!$B$12="66g"),IF(E387&gt;0.053,0,ROUND(E387^2*'Reference Standards'!$AB$347+E387*'Reference Standards'!$AB$348+'Reference Standards'!$AB$349,2)),IF('Quantification Tool R2'!$B$12="68b",IF(E387&gt;0.05,0,ROUND(E387^2*'Reference Standards'!$AC$347+E387*'Reference Standards'!$AC$348+'Reference Standards'!$AC$349,2)),IF(OR('Quantification Tool R2'!$B$12="68a",'Quantification Tool R2'!$B$12="68c"),IF(E387&gt;0.07,0,ROUND(E387^2*'Reference Standards'!$AD$347+E387*'Reference Standards'!$AD$348+'Reference Standards'!$AD$349,2)),IF(OR('Quantification Tool R2'!$B$12="71f",'Quantification Tool R2'!$B$12="71g"),IF(E387&gt;0.13,0,ROUND(IF(E387&gt;0.042,E387*'Reference Standards'!$AE$348+'Reference Standards'!$AE$349,E387*'Reference Standards'!$AF$348+'Reference Standards'!$AF$349),2)),IF('Quantification Tool R2'!$B$12="67fhi",IF(E387&gt;0.16,0,ROUND(E387^2*'Reference Standards'!$AG$347+E387*'Reference Standards'!$AG$348+'Reference Standards'!$AG$349,2)),IF('Quantification Tool R2'!$B$12="65j",IF(E387&gt;0.035,0,ROUND(IF(E387&lt;=0.003,0.7,E387^2*'Reference Standards'!$AB$387+E387*'Reference Standards'!$AB$388+'Reference Standards'!$AB$389),2)),IF('Quantification Tool R2'!$B$12="69de",IF(E387&gt;0.037,0,ROUND(IF(E387&lt;=0.003,0.7,E387^2*'Reference Standards'!$AC$387+E387*'Reference Standards'!$AC$388+'Reference Standards'!$AC$389),2)),IF('Quantification Tool R2'!$B$12="71e",IF(E387&gt;0.23,0,ROUND(IF(E387&lt;=0.003,0.7,E387^2*'Reference Standards'!$AD$387+E387*'Reference Standards'!$AD$388+'Reference Standards'!$AD$389),2)),IF('Quantification Tool R2'!$B$12="66f",IF(E387&gt;0.06,0,ROUND(IF(E387&lt;=0.003,0.85,IF(E387&lt;=0.004,0.7,E387^2*'Reference Standards'!$AE$387+E387*'Reference Standards'!$AE$388+'Reference Standards'!$AE$389)),2)),IF('Quantification Tool R2'!$B$12="67g",IF(E387&gt;0.11,0,ROUND(IF(E387&lt;=0.01,E387*'Reference Standards'!$AH$388+'Reference Standards'!$AH$389,E387^2*'Reference Standards'!$AF$387+E387*'Reference Standards'!$AF$388+'Reference Standards'!$AF$389),2)),IF('Quantification Tool R2'!$B$12="74b",IF(E387&gt;0.49,0,ROUND(IF(E387&lt;=0.01,E387*'Reference Standards'!$AH$388+'Reference Standards'!$AH$389,E387^2*'Reference Standards'!$AG$387+E387*'Reference Standards'!$AG$388+'Reference Standards'!$AG$389),2)),IF('Quantification Tool R2'!$B$12="65abei",IF(E387&gt;0.199,0,ROUND(IF(E387&lt;=0.01,E387*'Reference Standards'!$AI$426+'Reference Standards'!$AI$427,E387^2*'Reference Standards'!$AE$425+E387*'Reference Standards'!$AE$426+'Reference Standards'!$AE$427),2)))))))))))))))),IF('Quantification Tool R2'!$B$13&lt;=2.5,IF(OR('Quantification Tool R2'!$B$12="66d",'Quantification Tool R2'!$B$12="66e",'Quantification Tool R2'!$B$12="66g"),IF(E387&gt;0.05,0,ROUND(IF(E387&lt;=0.002,1,IF(E387&lt;=0.005,E387*'Reference Standards'!$AF$464+'Reference Standards'!$AF$465,E387^2*'Reference Standards'!$AB$463+E387*'Reference Standards'!$AB$464+'Reference Standards'!$AB$465)),2)),IF('Quantification Tool R2'!$B$12="67fhi",IF(E387&gt;0.1,0,ROUND(IF(E387&lt;=0.002,1,IF(E387&lt;=0.006,E387*'Reference Standards'!$AG$464+'Reference Standards'!$AG$465,E387^2*'Reference Standards'!$AC$463+E387*'Reference Standards'!$AC$464+'Reference Standards'!$AC$465)),2)),IF('Quantification Tool R2'!$B$12="65abei",IF(E387&gt;0.13,0,ROUND(IF(E387&lt;=0.003,1,IF(E387&lt;=0.008,E387*'Reference Standards'!$AH$464+'Reference Standards'!$AH$465,E387^2*'Reference Standards'!$AD$463+E387*'Reference Standards'!$AD$464+'Reference Standards'!$AD$465)),2)),IF('Quantification Tool R2'!$B$12="68b",IF(E387&gt;0.043,0,ROUND(IF(E387&lt;=0.004,1,IF(E387&lt;=0.005,0.7,E387^2*'Reference Standards'!$AE$463+E387*'Reference Standards'!$AE$464+'Reference Standards'!$AE$465)),2)),IF('Quantification Tool R2'!$B$12="69de",IF(E387&gt;=0.034,0,ROUND(IF(E387&lt;=0.003,1,IF(E387&lt;=0.006,E387*'Reference Standards'!$AG$500+'Reference Standards'!$AG$501,E387*'Reference Standards'!$AB$500+'Reference Standards'!$AB$501)),2)),IF(OR('Quantification Tool R2'!$B$12="68a",'Quantification Tool R2'!$B$12="68c"),IF(E387&gt;0.202,0,ROUND(IF(E387&lt;=0.003,1,IF(E387&lt;=0.006,E387*'Reference Standards'!$AG$500+'Reference Standards'!$AG$501,IF(E387&gt;=0.04,E387*'Reference Standards'!$AC$500+'Reference Standards'!$AC$501,E387*'Reference Standards'!$AE$500+'Reference Standards'!$AE$501))),2)),IF(OR('Quantification Tool R2'!$B$12="71f",'Quantification Tool R2'!$B$12="71g"),IF(E387&gt;0.631,0,ROUND(IF(E387&lt;=0.003,1,IF(E387&lt;=0.006,E387*'Reference Standards'!$AG$500+'Reference Standards'!$AG$501,IF(E387&gt;=0.17,E387*'Reference Standards'!$AD$500+'Reference Standards'!$AD$501,E387*'Reference Standards'!$AF$500+'Reference Standards'!$AF$501))),2)),IF('Quantification Tool R2'!$B$12="71e",IF(E387&gt;1.23,0,ROUND(IF(E387&lt;=0.004,1,IF(E387&lt;=0.006,E387*'Reference Standards'!$AF$538+'Reference Standards'!$AF$539,E387^2*'Reference Standards'!$AB$537+E387*'Reference Standards'!$AB$538+'Reference Standards'!$AB$539)),2)),IF('Quantification Tool R2'!$B$12="67g",IF(E387&gt;0.11,0,ROUND(IF(E387&lt;=0.006,1,IF(E387&lt;=0.011,E387*'Reference Standards'!$AG$538+'Reference Standards'!$AG$539,E387^2*'Reference Standards'!$AC$537+E387*'Reference Standards'!$AC$538+'Reference Standards'!$AC$539)),2)),IF('Quantification Tool R2'!$B$12="65j",IF(E387&gt;0.046,0,ROUND(IF(E387&lt;=0.007,1,IF(E387&lt;=0.012,E387*'Reference Standards'!$AH$538+'Reference Standards'!$AH$539,E387^2*'Reference Standards'!$AD$537+E387*'Reference Standards'!$AD$538+'Reference Standards'!$AD$539)),2)),IF('Quantification Tool R2'!$B$12="66f",IF(E387&gt;0.081,0,ROUND(IF(E387&lt;=0.008,1,IF(E387&lt;=0.011,E387*'Reference Standards'!$AI$538+'Reference Standards'!$AI$539,E387^2*'Reference Standards'!$AE$537+E387*'Reference Standards'!$AE$538+'Reference Standards'!$AE$539)),2)),IF(OR('Quantification Tool R2'!$B$12="71h",'Quantification Tool R2'!$B$12="71i"),IF(E387&gt;0.37,0,ROUND(IF(E387&lt;=0.013,1,IF(E387&lt;=0.032,E387*'Reference Standards'!$AH$576+'Reference Standards'!$AH$577,IF(E387&lt;=0.3,E387*'Reference Standards'!$AF$576+'Reference Standards'!$AF$577,E387*'Reference Standards'!$AB$576+'Reference Standards'!$AB$577))),2)),IF('Quantification Tool R2'!$B$12="73a",IF(E387&gt;0.448,0,ROUND(IF(E387&lt;=0.071,1,IF(E387&lt;=0.086,E387*'Reference Standards'!$AJ$576+'Reference Standards'!$AJ$577,IF(E387&lt;=0.165,E387*'Reference Standards'!$AG$576+'Reference Standards'!$AG$577,E387*'Reference Standards'!$AE$576+'Reference Standards'!$AE$577))),2)),IF('Quantification Tool R2'!$B$12="74b",IF(E387&gt;0.43,0,ROUND(IF(E387&lt;=0.018,1,IF(E387&lt;=0.019,0.85,IF(E387&lt;=0.02,0.7,E387^2*'Reference Standards'!$AC$575+E387*'Reference Standards'!$AC$576+'Reference Standards'!$AC$577))),2)),IF('Quantification Tool R2'!$B$12="74a",IF(E387&gt;0.217,0,ROUND(IF(E387&lt;=0.02,1,IF(E387&lt;=0.033,E387*'Reference Standards'!$AI$576+'Reference Standards'!$AI$577,E387^2*'Reference Standards'!$AD$575+E387*'Reference Standards'!$AD$576+'Reference Standards'!$AD$577)),2)))))))))))))))))))))</f>
        <v/>
      </c>
      <c r="G387" s="87" t="str">
        <f>IFERROR(AVERAGE(F387),"")</f>
        <v/>
      </c>
      <c r="H387" s="549"/>
      <c r="I387" s="536"/>
      <c r="J387" s="559"/>
      <c r="K387" s="555"/>
    </row>
    <row r="388" spans="1:12" ht="15.6" x14ac:dyDescent="0.3">
      <c r="A388" s="550" t="s">
        <v>59</v>
      </c>
      <c r="B388" s="560" t="s">
        <v>340</v>
      </c>
      <c r="C388" s="125" t="s">
        <v>331</v>
      </c>
      <c r="D388" s="126"/>
      <c r="E388" s="166"/>
      <c r="F388" s="345" t="str">
        <f>IF(E388="","",IF(OR('Quantification Tool R2'!B$12="73a",'Quantification Tool R2'!B$12="73b"),IF(E388&lt;1,0,IF(E388&gt;=30,1,ROUND(IF(E388&lt;22,'Reference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531" t="str">
        <f>IFERROR(AVERAGE(F388:F391),"")</f>
        <v/>
      </c>
      <c r="H388" s="568" t="str">
        <f>IFERROR(ROUND(AVERAGE(G388:G393),2),"")</f>
        <v/>
      </c>
      <c r="I388" s="519" t="str">
        <f>IF(H388="","",IF(H388&gt;0.69,"Functioning",IF(H388&gt;0.29,"Functioning At Risk",IF(H388&gt;-1,"Not Functioning"))))</f>
        <v/>
      </c>
      <c r="J388" s="559"/>
      <c r="K388" s="555"/>
    </row>
    <row r="389" spans="1:12" ht="15.6" x14ac:dyDescent="0.3">
      <c r="A389" s="556"/>
      <c r="B389" s="561"/>
      <c r="C389" s="174" t="s">
        <v>335</v>
      </c>
      <c r="D389" s="175"/>
      <c r="E389" s="165"/>
      <c r="F389" s="346" t="str">
        <f>IF(E389="","",IF(AND('Quantification Tool R2'!$B$12="74b",'Quantification Tool R2'!$B$13&lt;=2),IF(E389&lt;0,0,IF(E389&gt;15.6,0.69,ROUND('Reference Standards'!$AL$54*E389^2+'Reference Standards'!$AL$55*E389+'Reference Standards'!$AL$56,2))),IF(AND('Quantification Tool R2'!$B$12="65abei",'Quantification Tool R2'!$B$13&lt;=2),IF(E389&lt;0,0,IF(E389&gt;=20,0.69,ROUND('Reference Standards'!$AM$54*E389^2+'Reference Standards'!$AM$55*E389+'Reference Standards'!$AM$56,2))),IF(OR(AND('Quantification Tool R2'!$B$12="74a",'Quantification Tool R2'!$B$13&gt;2,'Quantification Tool R2'!$B$19="January - June"),AND('Quantification Tool R2'!$B$12="71i",'Quantification Tool R2'!$B$13&gt;2,'Quantification Tool R2'!$B$20="SQBANK")),IF(E389&lt;0,0,IF(E389&gt;24.7,0.69,ROUND('Reference Standards'!$AN$54*E389^2+'Reference Standards'!$AN$55*E389+'Reference Standards'!$AN$56,2))),IF(OR('Quantification Tool R2'!$B$12="74b",'Quantification Tool R2'!$B$12="65abei"),IF(E389&lt;0,0,IF(E389&gt;32.7,0.69,ROUND('Reference Standards'!$AO$54*E389^2+'Reference Standards'!$AO$55*E389+'Reference Standards'!$AO$56,2))),IF(AND('Quantification Tool R2'!$B$12="68b",'Quantification Tool R2'!$B$13&gt;2),IF(E389&lt;0,0,IF(E389&gt;41.2,0.69,ROUND('Reference Standards'!$AP$54*E389^2+'Reference Standards'!$AP$55*E389+'Reference Standards'!$AP$56,2))),IF(OR(AND('Quantification Tool R2'!$B$12="71i",'Quantification Tool R2'!$B$13&lt;=2),AND(OR('Quantification Tool R2'!$B$12="68c",'Quantification Tool R2'!$B$12="68d"),'Quantification Tool R2'!$B$19="January - June")),IF(E389&lt;0,0,IF(E389&gt;49.2,0.69,ROUND('Reference Standards'!$AL$94*E389^2+'Reference Standards'!$AL$95*E389+'Reference Standards'!$AL$96,2))),IF(OR(AND('Quantification Tool R2'!$B$12="68a",'Quantification Tool R2'!$B$19="January - June"),AND(OR('Quantification Tool R2'!$B$12="68c",'Quantification Tool R2'!$B$12="68d"),'Quantification Tool R2'!$B$19="July - December")),IF(E389&lt;0,0,IF(E389&gt;53.4,0.69,ROUND('Reference Standards'!$AM$94*E389^2+'Reference Standards'!$AM$95*E389+'Reference Standards'!$AM$96,2))),IF(OR(AND('Quantification Tool R2'!$B$12="71i",'Quantification Tool R2'!$B$13&gt;2,'Quantification Tool R2'!$B$20="SQKICK"),AND(OR('Quantification Tool R2'!$B$12="67fhi",'Quantification Tool R2'!$B$12="67g"),'Quantification Tool R2'!$B$13&lt;=2),'Quantification Tool R2'!$B$12="65j"),IF(E389&lt;0,0,IF(E389&gt;57.8,0.69,ROUND('Reference Standards'!$AN$94*E389^2+'Reference Standards'!$AN$95*E389+'Reference Standards'!$AN$96,2))),IF(OR(AND('Quantification Tool R2'!$B$12="74a",'Quantification Tool R2'!$B$13&gt;2,'Quantification Tool R2'!$B$19="July - December"),AND(OR('Quantification Tool R2'!$B$12="67fhi",'Quantification Tool R2'!$B$12="67g"),'Quantification Tool R2'!$B$13&gt;2),'Quantification Tool R2'!$B$12="69de"),IF(E389&lt;0,0,IF(E389&gt;62.5,0.69,ROUND('Reference Standards'!$AO$94*E389^2+'Reference Standards'!$AO$95*E389+'Reference Standards'!$AO$96,2))),  IF(OR('Quantification Tool R2'!$B$12="66d",'Quantification Tool R2'!$B$12="66e",'Quantification Tool R2'!$B$12="66ik",'Quantification Tool R2'!$B$12="71e",'Quantification Tool R2'!$B$12="71f",'Quantification Tool R2'!$B$12="71g",'Quantification Tool R2'!$B$12="71h"),IF(E389&lt;0,0,IF(E389&gt;66.5,0.69,ROUND('Reference Standards'!$AP$94*E389^2+'Reference Standards'!$AP$95*E389+'Reference Standards'!$AP$96,2))),IF(OR('Quantification Tool R2'!$B$12="66f",'Quantification Tool R2'!$B$12="66g",'Quantification Tool R2'!$B$12="66j",AND('Quantification Tool R2'!$B$12="68a",'Quantification Tool R2'!$B$19="July - December")), IF(E389&lt;0,0,IF(E389&gt;69,0.69,ROUND('Reference Standards'!$AQ$94*E389^2+'Reference Standards'!$AQ$95*E389+'Reference Standards'!$AQ$96,2))))   )))))))))))</f>
        <v/>
      </c>
      <c r="G389" s="531"/>
      <c r="H389" s="568"/>
      <c r="I389" s="519"/>
      <c r="J389" s="559"/>
      <c r="K389" s="555"/>
    </row>
    <row r="390" spans="1:12" ht="15.6" x14ac:dyDescent="0.3">
      <c r="A390" s="556"/>
      <c r="B390" s="561"/>
      <c r="C390" s="174" t="s">
        <v>339</v>
      </c>
      <c r="D390" s="175"/>
      <c r="E390" s="165"/>
      <c r="F390" s="346" t="str">
        <f>IF(E390="","",IF(AND('Quantification Tool R2'!$B$12="74b",'Quantification Tool R2'!$B$13&lt;=2),IF(E390&lt;0,0,IF(E390&gt;8.1,0.69,ROUND('Reference Standards'!$AL$131*E390^2+'Reference Standards'!$AL$132*E390+'Reference Standards'!$AL$133,2))),IF(OR('Quantification Tool R2'!$B$12="73a",'Quantification Tool R2'!$B$12="73b"),IF(E390&lt;0,0,IF(E390&gt;=28,0.69,ROUND('Reference Standards'!$AM$131*E390^2+'Reference Standards'!$AM$132*E390+'Reference Standards'!$AM$133,2))),IF(AND('Quantification Tool R2'!$B$12="74a",'Quantification Tool R2'!$B$13&gt;2,'Quantification Tool R2'!$B$19="January - June"),IF(E390&lt;0,0,IF(E390&gt;=32.5,0.69,ROUND('Reference Standards'!$AN$131*E390^2+'Reference Standards'!$AN$132*E390+'Reference Standards'!$AN$133,2))),IF(AND('Quantification Tool R2'!$B$12="71i",'Quantification Tool R2'!$B$13&gt;2,'Quantification Tool R2'!$B$20="SQBANK"),IF(E390&lt;0,0,IF(E390&gt;=37,0.69,ROUND('Reference Standards'!$AO$131*E390^2+'Reference Standards'!$AO$132*E390+'Reference Standards'!$AO$133,2))),IF(OR(AND(OR('Quantification Tool R2'!$B$12="65abei",'Quantification Tool R2'!$B$12="74b"),'Quantification Tool R2'!$B$13&gt;2),AND('Quantification Tool R2'!$B$12="71i",'Quantification Tool R2'!$B$13&gt;2,'Quantification Tool R2'!$B$20="SQKICK")),IF(E390&lt;0,0,IF(E390&gt;42.6,0.69,ROUND('Reference Standards'!$AP$131*E390^2+'Reference Standards'!$AP$132*E390+'Reference Standards'!$AP$133,2))),     IF(OR(AND('Quantification Tool R2'!$B$12="65abei",'Quantification Tool R2'!$B$13&lt;=2),AND(OR('Quantification Tool R2'!$B$12="68c",'Quantification Tool R2'!$B$12="68d"),'Quantification Tool R2'!$B$19="July - December"),'Quantification Tool R2'!$B$12="71e"),IF(E390&lt;0,0,IF(E390&gt;=48,0.69,ROUND('Reference Standards'!$AL$171*E390^2+'Reference Standards'!$AL$172*E390+'Reference Standards'!$AL$173,2))),IF(OR('Quantification Tool R2'!$B$12="65j",'Quantification Tool R2'!$B$12="67fhi",'Quantification Tool R2'!$B$12="67g",AND('Quantification Tool R2'!$B$12="74a",'Quantification Tool R2'!$B$19="July - December",'Quantification Tool R2'!$B$13&gt;2),AND('Quantification Tool R2'!$B$12="71i",'Quantification Tool R2'!$B$13&lt;=2)),IF(E390&lt;0,0,IF(E390&gt;=53,0.69,ROUND('Reference Standards'!$AM$171*E390^2+'Reference Standards'!$AM$172*E390+'Reference Standards'!$AM$173,2))),IF(OR(AND(OR('Quantification Tool R2'!$B$12="68b",'Quantification Tool R2'!$B$12="71f",'Quantification Tool R2'!$B$12="71g",'Quantification Tool R2'!$B$12="71h"),'Quantification Tool R2'!$B$13&gt;2),'Quantification Tool R2'!$B$12="68a"),IF(E390&lt;0,0,IF(E390&gt;=57,0.69,ROUND('Reference Standards'!$AN$171*E390^2+'Reference Standards'!$AN$172*E390+'Reference Standards'!$AN$173,2))),IF(OR('Quantification Tool R2'!$B$12="66f",'Quantification Tool R2'!$B$12="66g",'Quantification Tool R2'!$B$12="66j",AND(OR('Quantification Tool R2'!$B$12="71f",'Quantification Tool R2'!$B$12="71g",'Quantification Tool R2'!$B$12="71h"),'Quantification Tool R2'!$B$13&lt;=2)),IF(E390&lt;0,0,IF(E390&gt;=60,0.69,ROUND('Reference Standards'!$AO$171*E390^2+'Reference Standards'!$AO$172*E390+'Reference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December")),IF(E390&lt;0,0,IF(E390&gt;=67.5,0.69,ROUND('Reference Standards'!$AP$171*E390^2+'Reference Standards'!$AP$172*E390+'Reference Standards'!$AP$173,2))),IF(AND('Quantification Tool R2'!$B$12="69de",'Quantification Tool R2'!$B$19="January - June"), IF(E390&lt;0,0,IF(E390&gt;=72,0.69,ROUND('Reference Standards'!$AQ$171*E390^2+'Reference Standards'!$AQ$172*E390+'Reference Standards'!$AQ$173,2))))   )))))))))))</f>
        <v/>
      </c>
      <c r="G390" s="531"/>
      <c r="H390" s="568"/>
      <c r="I390" s="519"/>
      <c r="J390" s="559"/>
      <c r="K390" s="555"/>
    </row>
    <row r="391" spans="1:12" ht="15.6" x14ac:dyDescent="0.3">
      <c r="A391" s="556"/>
      <c r="B391" s="562"/>
      <c r="C391" s="127" t="s">
        <v>336</v>
      </c>
      <c r="D391" s="71"/>
      <c r="E391" s="167"/>
      <c r="F391" s="346" t="str">
        <f>IF(E391="","",IF(OR('Quantification Tool R2'!$B$12="67fhi",'Quantification Tool R2'!$B$12="67g",'Quantification Tool R2'!$B$12="71e",'Quantification Tool R2'!$B$12="73a",'Quantification Tool R2'!$B$12="73b",AND(OR('Quantification Tool R2'!$B$12="71f",'Quantification Tool R2'!$B$12="71g",'Quantification Tool R2'!$B$12="71h"),'Quantification Tool R2'!$B$13&gt;2)),IF(E391&gt;100,0,IF(E391&lt;15,0.69,ROUND('Reference Standards'!$AL$208*E391^2+'Reference Standards'!$AL$209*E391+'Reference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),IF(E391&gt;100,0,IF(E391&lt;19,0.69,ROUND('Reference Standards'!$AM$208*E391^2+'Reference Standards'!$AM$209*E391+'Reference Standards'!$AM$210,2))),    IF(OR(AND('Quantification Tool R2'!$B$12="69de",'Quantification Tool R2'!$B$19="January - June"),AND('Quantification Tool R2'!$B$12="71i",'Quantification Tool R2'!$B$13&gt;2,'Quantification Tool R2'!$B$20="SQKICK" )),IF(E391&gt;100,0,IF(E391&lt;22,0.69,ROUND('Reference Standards'!$AN$208*E391^2+'Reference Standards'!$AN$209*E391+'Reference Standards'!$AN$210,2))),    IF(OR('Quantification Tool R2'!$B$12="65j",AND('Quantification Tool R2'!$B$12="68b",'Quantification Tool R2'!$B$13&gt;2)),IF(E391&gt;100,0,IF(E391&lt;24,0.69,ROUND('Reference Standards'!$AO$208*E391^2+'Reference Standards'!$AO$209*E391+'Reference Standards'!$AO$210,2))),    IF(AND(OR('Quantification Tool R2'!$B$12="65abei",'Quantification Tool R2'!$B$12="71f",'Quantification Tool R2'!$B$12="71g",'Quantification Tool R2'!$B$12="71h"),'Quantification Tool R2'!$B$13&lt;=2),IF(E391&gt;95,0,IF(E391&lt;33,0.69,ROUND('Reference Standards'!$AL$246*E391^2+'Reference Standards'!$AL$247*E391+'Reference Standards'!$AL$248,2))),   IF(AND(OR('Quantification Tool R2'!$B$12="65abei",'Quantification Tool R2'!$B$12="74b"),'Quantification Tool R2'!$B$13&gt;2),IF(E391&gt;97,0,IF(E391&lt;36,0.69,ROUND('Reference Standards'!$AM$246*E391^2+'Reference Standards'!$AM$247*E391+'Reference Standards'!$AM$248,2))),  IF(AND('Quantification Tool R2'!$B$12="74a",'Quantification Tool R2'!$B$19="January - June",'Quantification Tool R2'!$B$13&gt;2),IF(E391&gt;93,0,IF(E391&lt;52,0.69,ROUND('Reference Standards'!$AN$246*E391^2+'Reference Standards'!$AN$247*E391+'Reference Standards'!$AN$248,2))),   IF(AND('Quantification Tool R2'!$B$12="74b",'Quantification Tool R2'!$B$13&lt;=2),IF(E391&gt;97,0,IF(E391&lt;62,0.69,ROUND('Reference Standards'!$AO$246*E391^2+'Reference Standards'!$AO$247*E391+'Reference Standards'!$AO$248,2)))  )))))))))</f>
        <v/>
      </c>
      <c r="G391" s="531"/>
      <c r="H391" s="568"/>
      <c r="I391" s="519"/>
      <c r="J391" s="559"/>
      <c r="K391" s="555"/>
    </row>
    <row r="392" spans="1:12" ht="15.6" x14ac:dyDescent="0.3">
      <c r="A392" s="556"/>
      <c r="B392" s="563" t="s">
        <v>74</v>
      </c>
      <c r="C392" s="125" t="s">
        <v>211</v>
      </c>
      <c r="D392" s="126"/>
      <c r="E392" s="166"/>
      <c r="F392" s="345" t="str">
        <f>IF(E392="","",IF(E392=1,0.15,IF(E392=3,0.5,IF(E392=5,0.85,0))))</f>
        <v/>
      </c>
      <c r="G392" s="564" t="str">
        <f>IFERROR(AVERAGE(F392:F393),"")</f>
        <v/>
      </c>
      <c r="H392" s="568"/>
      <c r="I392" s="519"/>
      <c r="J392" s="559"/>
      <c r="K392" s="555"/>
    </row>
    <row r="393" spans="1:12" ht="15.6" x14ac:dyDescent="0.3">
      <c r="A393" s="551"/>
      <c r="B393" s="563"/>
      <c r="C393" s="127" t="s">
        <v>332</v>
      </c>
      <c r="D393" s="71"/>
      <c r="E393" s="167"/>
      <c r="F393" s="347" t="str">
        <f>IF(E393="","",IF(E393=1,0.15,IF(E393=3,0.5,IF(E393=5,0.85,0))))</f>
        <v/>
      </c>
      <c r="G393" s="565"/>
      <c r="H393" s="568"/>
      <c r="I393" s="519"/>
      <c r="J393" s="559"/>
      <c r="K393" s="555"/>
    </row>
    <row r="394" spans="1:12" x14ac:dyDescent="0.3">
      <c r="L394" s="21"/>
    </row>
    <row r="395" spans="1:12" x14ac:dyDescent="0.3">
      <c r="L395" s="21"/>
    </row>
    <row r="396" spans="1:12" ht="21" x14ac:dyDescent="0.4">
      <c r="A396" s="148" t="s">
        <v>135</v>
      </c>
      <c r="B396" s="246"/>
      <c r="C396" s="249" t="s">
        <v>324</v>
      </c>
      <c r="D396" s="246"/>
      <c r="E396" s="247"/>
      <c r="F396" s="248"/>
      <c r="G396" s="544" t="s">
        <v>18</v>
      </c>
      <c r="H396" s="545"/>
      <c r="I396" s="545"/>
      <c r="J396" s="545"/>
      <c r="K396" s="546"/>
    </row>
    <row r="397" spans="1:12" ht="16.5" customHeight="1" x14ac:dyDescent="0.3">
      <c r="A397" s="158" t="s">
        <v>1</v>
      </c>
      <c r="B397" s="158" t="s">
        <v>2</v>
      </c>
      <c r="C397" s="542" t="s">
        <v>3</v>
      </c>
      <c r="D397" s="644"/>
      <c r="E397" s="158" t="s">
        <v>15</v>
      </c>
      <c r="F397" s="158" t="s">
        <v>16</v>
      </c>
      <c r="G397" s="158" t="s">
        <v>19</v>
      </c>
      <c r="H397" s="158" t="s">
        <v>20</v>
      </c>
      <c r="I397" s="314" t="s">
        <v>20</v>
      </c>
      <c r="J397" s="158" t="s">
        <v>21</v>
      </c>
      <c r="K397" s="315" t="s">
        <v>21</v>
      </c>
    </row>
    <row r="398" spans="1:12" ht="15.75" customHeight="1" x14ac:dyDescent="0.3">
      <c r="A398" s="540" t="s">
        <v>60</v>
      </c>
      <c r="B398" s="308" t="s">
        <v>86</v>
      </c>
      <c r="C398" s="52" t="s">
        <v>388</v>
      </c>
      <c r="D398" s="52"/>
      <c r="E398" s="162"/>
      <c r="F398" s="338" t="str">
        <f>IF(E398="","",IF(E398&lt;=0,0,IF(E398&gt;=0.95,1,ROUND('Reference Standards'!C$14*E398+'Reference Standards'!C$15,2))))</f>
        <v/>
      </c>
      <c r="G398" s="83" t="str">
        <f>IFERROR(AVERAGE(F398),"")</f>
        <v/>
      </c>
      <c r="H398" s="522" t="str">
        <f>IFERROR(ROUND(AVERAGE(G398:G399),2),"")</f>
        <v/>
      </c>
      <c r="I398" s="519" t="str">
        <f>IF(H398="","",IF(H398&gt;0.69,"Functioning",IF(H398&gt;0.29,"Functioning At Risk",IF(H398&gt;-1,"Not Functioning"))))</f>
        <v/>
      </c>
      <c r="J398" s="559" t="str">
        <f>IF(AND(H398="",H400="",H402="",H424="",H428=""),"",ROUND((IF(H398="",0,H398)*0.2)+(IF(H400="",0,H400)*0.2)+(IF(H402="",0,H402)*0.2)+(IF(H424="",0,H424)*0.2)+(IF(H428="",0,H428)*0.2),2))</f>
        <v/>
      </c>
      <c r="K398" s="555" t="str">
        <f>IF(J398="","",IF(J398&lt;0.3, "Not Functioning",IF(OR(H398&lt;0.7,H400&lt;0.7,H402&lt;0.7,H424&lt;0.7,H428&lt;0.7),"Functioning At Risk",IF(J398&lt;0.7,"Functioning At Risk","Functioning"))))</f>
        <v/>
      </c>
    </row>
    <row r="399" spans="1:12" ht="15.75" customHeight="1" x14ac:dyDescent="0.3">
      <c r="A399" s="541"/>
      <c r="B399" s="371" t="s">
        <v>128</v>
      </c>
      <c r="C399" s="373" t="s">
        <v>161</v>
      </c>
      <c r="D399" s="374"/>
      <c r="E399" s="43"/>
      <c r="F399" s="372" t="str">
        <f>IF(E399="","",IF(E399&gt;=1,1,IF(E399&lt;=0,0,ROUND(E399,2))))</f>
        <v/>
      </c>
      <c r="G399" s="365" t="str">
        <f>IFERROR(AVERAGE(F399:F399),"")</f>
        <v/>
      </c>
      <c r="H399" s="523"/>
      <c r="I399" s="519"/>
      <c r="J399" s="559"/>
      <c r="K399" s="555"/>
    </row>
    <row r="400" spans="1:12" ht="15" customHeight="1" x14ac:dyDescent="0.3">
      <c r="A400" s="524" t="s">
        <v>6</v>
      </c>
      <c r="B400" s="572" t="s">
        <v>7</v>
      </c>
      <c r="C400" s="54" t="s">
        <v>8</v>
      </c>
      <c r="D400" s="54"/>
      <c r="E400" s="162"/>
      <c r="F400" s="339" t="str">
        <f>IF(E400="","",ROUND(IF(E400&gt;1.6,0,IF(E400&lt;=1,1,E400^2*'Reference Standards'!K$14+E400*'Reference Standards'!K$15+'Reference Standards'!K$16)),2))</f>
        <v/>
      </c>
      <c r="G400" s="581" t="str">
        <f>IFERROR(AVERAGE(F400:F401),"")</f>
        <v/>
      </c>
      <c r="H400" s="579" t="str">
        <f>IFERROR(ROUND(AVERAGE(G400),2),"")</f>
        <v/>
      </c>
      <c r="I400" s="569" t="str">
        <f>IF(H400="","",IF(H400&gt;0.69,"Functioning",IF(H400&gt;0.29,"Functioning At Risk",IF(H400&gt;-1,"Not Functioning"))))</f>
        <v/>
      </c>
      <c r="J400" s="559"/>
      <c r="K400" s="555"/>
    </row>
    <row r="401" spans="1:12" ht="15" customHeight="1" x14ac:dyDescent="0.3">
      <c r="A401" s="525"/>
      <c r="B401" s="572"/>
      <c r="C401" s="54" t="s">
        <v>9</v>
      </c>
      <c r="D401" s="54"/>
      <c r="E401" s="163"/>
      <c r="F401" s="339" t="str">
        <f>IF(E401="","",(IF(OR('Quantification Tool R2'!B$11="A",'Quantification Tool R2'!B$11="B",'Quantification Tool R2'!$B$11="Bc"),IF(E401&lt;1.2,0,IF(E401&gt;=2.2,1,ROUND(IF(E401&lt;1.4,E401*'Reference Standards'!$K$84+'Reference Standards'!$K$85,E401*'Reference Standards'!$L$84+'Reference Standards'!$L$85),2))),IF(OR('Quantification Tool R2'!B$11="C",'Quantification Tool R2'!B$11="E"),IF(E401&lt;2,0,IF(E401&gt;=5,1,ROUND(IF(E401&lt;2.4,E401*'Reference Standards'!$L$49+'Reference Standards'!$L$50,E401*'Reference Standards'!$K$49+'Reference Standards'!$K$50),2)))))))</f>
        <v/>
      </c>
      <c r="G401" s="581"/>
      <c r="H401" s="580"/>
      <c r="I401" s="570"/>
      <c r="J401" s="559"/>
      <c r="K401" s="555"/>
    </row>
    <row r="402" spans="1:12" ht="15" customHeight="1" x14ac:dyDescent="0.3">
      <c r="A402" s="526" t="s">
        <v>26</v>
      </c>
      <c r="B402" s="557" t="s">
        <v>27</v>
      </c>
      <c r="C402" s="60" t="s">
        <v>333</v>
      </c>
      <c r="D402" s="244"/>
      <c r="E402" s="61"/>
      <c r="F402" s="340" t="str">
        <f>IF(E402="","",IF(OR(LEFT('Quantification Tool R2'!$B$12,2)="65",LEFT('Quantification Tool R2'!$B$12,2)="66",LEFT('Quantification Tool R2'!$B$12,2)="71"),IF(E402&gt;=850,1,IF(E402&lt;250,ROUND('Reference Standards'!$S$17*(E402)+'Reference Standards'!$S$18,2),ROUND('Reference Standards'!$T$17*E402+'Reference Standards'!$T$18,2))),  IF(E402&gt;=345,1,IF(E402&lt;=180,ROUND('Reference Standards'!$U$17*(E402)+'Reference Standards'!$U$18,2),ROUND('Reference Standards'!$V$17*E402+'Reference Standards'!$V$18,2))))    )</f>
        <v/>
      </c>
      <c r="G402" s="528" t="str">
        <f>IFERROR(AVERAGE(F402:F403),"")</f>
        <v/>
      </c>
      <c r="H402" s="566" t="str">
        <f>IFERROR(ROUND(AVERAGE(G402:G423),2),"")</f>
        <v/>
      </c>
      <c r="I402" s="555" t="str">
        <f>IF(H402="","",IF(H402&gt;0.69,"Functioning",IF(H402&gt;0.29,"Functioning At Risk",IF(H402&gt;-1,"Not Functioning"))))</f>
        <v/>
      </c>
      <c r="J402" s="559"/>
      <c r="K402" s="555"/>
    </row>
    <row r="403" spans="1:12" ht="15" customHeight="1" x14ac:dyDescent="0.3">
      <c r="A403" s="520"/>
      <c r="B403" s="558"/>
      <c r="C403" s="63" t="s">
        <v>323</v>
      </c>
      <c r="D403" s="245"/>
      <c r="E403" s="53"/>
      <c r="F403" s="341" t="str">
        <f>IF(E403="","",IF(OR(LEFT('Quantification Tool R2'!$B$12,2)="65",LEFT('Quantification Tool R2'!$B$12,2)="66",LEFT('Quantification Tool R2'!$B$12,2)="71"),IF(E403&gt;=30,1,IF(E403&lt;13,ROUND('Reference Standards'!$S$53*(E403)+'Reference Standards'!$S$54,2),ROUND('Reference Standards'!$T$53*E403+'Reference Standards'!$T$54,2))),  IF(E403&gt;=16,1,IF(E403&lt;=9,ROUND('Reference Standards'!$U$53*(E403)+'Reference Standards'!$U$54,2),ROUND('Reference Standards'!$V$53*E403+'Reference Standards'!$V$54,2))))    )</f>
        <v/>
      </c>
      <c r="G403" s="530"/>
      <c r="H403" s="566"/>
      <c r="I403" s="555"/>
      <c r="J403" s="559"/>
      <c r="K403" s="555"/>
    </row>
    <row r="404" spans="1:12" ht="15.6" x14ac:dyDescent="0.3">
      <c r="A404" s="520"/>
      <c r="B404" s="520" t="s">
        <v>395</v>
      </c>
      <c r="C404" s="58" t="s">
        <v>80</v>
      </c>
      <c r="D404" s="58"/>
      <c r="E404" s="165"/>
      <c r="F404" s="340" t="str">
        <f>IF(E404="","",ROUND(IF(E404&gt;0.7,0,IF(E404&lt;=0.1,1,E404^3*'Reference Standards'!S$87+E404^2*'Reference Standards'!S$88+E404*'Reference Standards'!S$89+'Reference Standards'!S$90)),2))</f>
        <v/>
      </c>
      <c r="G404" s="528" t="str">
        <f>IFERROR(ROUND(AVERAGE(F404:F407),2),"")</f>
        <v/>
      </c>
      <c r="H404" s="567"/>
      <c r="I404" s="555"/>
      <c r="J404" s="559"/>
      <c r="K404" s="555"/>
    </row>
    <row r="405" spans="1:12" ht="15.6" x14ac:dyDescent="0.3">
      <c r="A405" s="520"/>
      <c r="B405" s="520"/>
      <c r="C405" s="58" t="s">
        <v>49</v>
      </c>
      <c r="D405" s="58"/>
      <c r="E405" s="165"/>
      <c r="F405" s="84"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529"/>
      <c r="H405" s="567"/>
      <c r="I405" s="555"/>
      <c r="J405" s="559"/>
      <c r="K405" s="555"/>
    </row>
    <row r="406" spans="1:12" ht="15.6" x14ac:dyDescent="0.3">
      <c r="A406" s="520"/>
      <c r="B406" s="520"/>
      <c r="C406" s="58" t="s">
        <v>87</v>
      </c>
      <c r="D406" s="58"/>
      <c r="E406" s="165"/>
      <c r="F406" s="84" t="str">
        <f>IF(E406="","",ROUND(IF(E406&gt;40,0,IF(E406&lt;5,1,E406^3*'Reference Standards'!S$122+E406^2*'Reference Standards'!S$123+E406*'Reference Standards'!S$124+'Reference Standards'!S$125)),2))</f>
        <v/>
      </c>
      <c r="G406" s="529"/>
      <c r="H406" s="567"/>
      <c r="I406" s="555"/>
      <c r="J406" s="559"/>
      <c r="K406" s="555"/>
    </row>
    <row r="407" spans="1:12" ht="15.6" x14ac:dyDescent="0.3">
      <c r="A407" s="520"/>
      <c r="B407" s="521"/>
      <c r="C407" s="59" t="s">
        <v>394</v>
      </c>
      <c r="D407" s="59"/>
      <c r="E407" s="167"/>
      <c r="F407" s="341" t="str">
        <f>IF(E407="","",ROUND(IF(E407&gt;=30,0,IF(E407&lt;=0,1,E407*'Reference Standards'!S$156+'Reference Standards'!S$157)),2))</f>
        <v/>
      </c>
      <c r="G407" s="530"/>
      <c r="H407" s="567"/>
      <c r="I407" s="555"/>
      <c r="J407" s="559"/>
      <c r="K407" s="555"/>
    </row>
    <row r="408" spans="1:12" ht="15.6" x14ac:dyDescent="0.3">
      <c r="A408" s="520"/>
      <c r="B408" s="520" t="s">
        <v>50</v>
      </c>
      <c r="C408" s="60" t="s">
        <v>377</v>
      </c>
      <c r="D408" s="64"/>
      <c r="E408" s="136"/>
      <c r="F408" s="294" t="str">
        <f>IF(E408="","",ROUND(IF(E408&gt;9.2,1,E408*'Reference Standards'!$S$189+'Reference Standards'!$S$190),2))</f>
        <v/>
      </c>
      <c r="G408" s="552" t="str">
        <f>IFERROR(ROUND(AVERAGE(F408:F417),2),"")</f>
        <v/>
      </c>
      <c r="H408" s="567"/>
      <c r="I408" s="555"/>
      <c r="J408" s="559"/>
      <c r="K408" s="555"/>
    </row>
    <row r="409" spans="1:12" ht="15.6" x14ac:dyDescent="0.3">
      <c r="A409" s="520"/>
      <c r="B409" s="520"/>
      <c r="C409" s="62" t="s">
        <v>378</v>
      </c>
      <c r="D409" s="58"/>
      <c r="E409" s="162"/>
      <c r="F409" s="294" t="str">
        <f>IF(E409="","",ROUND(IF(E409&gt;9.2,1,E409*'Reference Standards'!$S$189+'Reference Standards'!$S$190),2))</f>
        <v/>
      </c>
      <c r="G409" s="553"/>
      <c r="H409" s="567"/>
      <c r="I409" s="555"/>
      <c r="J409" s="559"/>
      <c r="K409" s="555"/>
    </row>
    <row r="410" spans="1:12" ht="15.6" x14ac:dyDescent="0.3">
      <c r="A410" s="520"/>
      <c r="B410" s="520"/>
      <c r="C410" s="62" t="s">
        <v>379</v>
      </c>
      <c r="D410" s="58"/>
      <c r="E410" s="162"/>
      <c r="F410" s="294" t="str">
        <f>IF(E410="","",ROUND( IF(E410&gt;=200,1,IF(E410&lt;50, E410^2*'Reference Standards'!S$224+E410*'Reference Standards'!S$225+'Reference Standards'!S$226, E410*'Reference Standards'!T$224+'Reference Standards'!T$225)),2))</f>
        <v/>
      </c>
      <c r="G410" s="553"/>
      <c r="H410" s="567"/>
      <c r="I410" s="555"/>
      <c r="J410" s="559"/>
      <c r="K410" s="555"/>
    </row>
    <row r="411" spans="1:12" ht="15.6" x14ac:dyDescent="0.3">
      <c r="A411" s="520"/>
      <c r="B411" s="520"/>
      <c r="C411" s="62" t="s">
        <v>380</v>
      </c>
      <c r="D411" s="58"/>
      <c r="E411" s="162"/>
      <c r="F411" s="294" t="str">
        <f>IF(E411="","",ROUND( IF(E411&gt;=200,1,IF(E411&lt;50, E411^2*'Reference Standards'!S$224+E411*'Reference Standards'!S$225+'Reference Standards'!S$226, E411*'Reference Standards'!T$224+'Reference Standards'!T$225)),2))</f>
        <v/>
      </c>
      <c r="G411" s="553"/>
      <c r="H411" s="567"/>
      <c r="I411" s="555"/>
      <c r="J411" s="559"/>
      <c r="K411" s="555"/>
    </row>
    <row r="412" spans="1:12" ht="15.6" x14ac:dyDescent="0.3">
      <c r="A412" s="520"/>
      <c r="B412" s="520"/>
      <c r="C412" s="58" t="s">
        <v>381</v>
      </c>
      <c r="D412" s="58"/>
      <c r="E412" s="162"/>
      <c r="F412" s="294" t="str">
        <f>IF(E412="","",ROUND(IF(AND(E412&gt;=135,E412&lt;=262),1,IF(  E412&gt;=366,0.5, IF(E412&lt;135,E412*'Reference Standards'!S$259+'Reference Standards'!S$260, E412*'Reference Standards'!T$259+'Reference Standards'!T$260))),2))</f>
        <v/>
      </c>
      <c r="G412" s="553"/>
      <c r="H412" s="567"/>
      <c r="I412" s="555"/>
      <c r="J412" s="559"/>
      <c r="K412" s="555"/>
      <c r="L412" s="21"/>
    </row>
    <row r="413" spans="1:12" ht="15.6" x14ac:dyDescent="0.3">
      <c r="A413" s="520"/>
      <c r="B413" s="520"/>
      <c r="C413" s="58" t="s">
        <v>382</v>
      </c>
      <c r="D413" s="58"/>
      <c r="E413" s="162"/>
      <c r="F413" s="294" t="str">
        <f>IF(E413="","",ROUND(IF(AND(E413&gt;=135,E413&lt;=262),1,IF(  E413&gt;=366,0.5, IF(E413&lt;135,E413*'Reference Standards'!S$259+'Reference Standards'!S$260, E413*'Reference Standards'!T$259+'Reference Standards'!T$260))),2))</f>
        <v/>
      </c>
      <c r="G413" s="553"/>
      <c r="H413" s="567"/>
      <c r="I413" s="555"/>
      <c r="J413" s="559"/>
      <c r="K413" s="555"/>
      <c r="L413" s="21"/>
    </row>
    <row r="414" spans="1:12" ht="15.6" x14ac:dyDescent="0.3">
      <c r="A414" s="520"/>
      <c r="B414" s="520"/>
      <c r="C414" s="58" t="s">
        <v>383</v>
      </c>
      <c r="D414" s="58"/>
      <c r="E414" s="162"/>
      <c r="F414" s="84" t="str">
        <f>IF(E414="","",ROUND(IF(E414&gt;=75,1,IF(E414&lt;=0,0,E414*'Reference Standards'!S$330)),2))</f>
        <v/>
      </c>
      <c r="G414" s="553"/>
      <c r="H414" s="567"/>
      <c r="I414" s="555"/>
      <c r="J414" s="559"/>
      <c r="K414" s="555"/>
      <c r="L414" s="21"/>
    </row>
    <row r="415" spans="1:12" ht="15.6" x14ac:dyDescent="0.3">
      <c r="A415" s="520"/>
      <c r="B415" s="520"/>
      <c r="C415" s="58" t="s">
        <v>384</v>
      </c>
      <c r="D415" s="58"/>
      <c r="E415" s="162"/>
      <c r="F415" s="84" t="str">
        <f>IF(E415="","",ROUND(IF(E415&gt;=75,1,IF(E415&lt;=0,0,E415*'Reference Standards'!S$330)),2))</f>
        <v/>
      </c>
      <c r="G415" s="553"/>
      <c r="H415" s="567"/>
      <c r="I415" s="555"/>
      <c r="J415" s="559"/>
      <c r="K415" s="555"/>
      <c r="L415" s="21"/>
    </row>
    <row r="416" spans="1:12" ht="15.6" x14ac:dyDescent="0.3">
      <c r="A416" s="520"/>
      <c r="B416" s="520"/>
      <c r="C416" s="58" t="s">
        <v>385</v>
      </c>
      <c r="D416" s="58"/>
      <c r="E416" s="162"/>
      <c r="F416" s="294" t="str">
        <f>IF(E416="","",ROUND(IF(AND(E416&gt;=36.3,E416&lt;=68),1,IF(E416&gt;100,0,IF(E416&lt;36.3,(('Reference Standards'!S$297*(E416^2))+('Reference Standards'!S$298*E416)+'Reference Standards'!S$299),IF(E416&gt;68,(('Reference Standards'!T$297*(E416^2))+('Reference Standards'!T$298*E416)+'Reference Standards'!T$299))))),2))</f>
        <v/>
      </c>
      <c r="G416" s="553"/>
      <c r="H416" s="567"/>
      <c r="I416" s="555"/>
      <c r="J416" s="559"/>
      <c r="K416" s="555"/>
      <c r="L416" s="21"/>
    </row>
    <row r="417" spans="1:12" ht="15.6" x14ac:dyDescent="0.3">
      <c r="A417" s="520"/>
      <c r="B417" s="521"/>
      <c r="C417" s="58" t="s">
        <v>386</v>
      </c>
      <c r="D417" s="65"/>
      <c r="E417" s="162"/>
      <c r="F417" s="294" t="str">
        <f>IF(E417="","",ROUND(IF(AND(E417&gt;=36.3,E417&lt;=68),1,IF(E417&gt;100,0,IF(E417&lt;36.3,(('Reference Standards'!S$297*(E417^2))+('Reference Standards'!S$298*E417)+'Reference Standards'!S$299),IF(E417&gt;68,(('Reference Standards'!T$297*(E417^2))+('Reference Standards'!T$298*E417)+'Reference Standards'!T$299))))),2))</f>
        <v/>
      </c>
      <c r="G417" s="554"/>
      <c r="H417" s="567"/>
      <c r="I417" s="555"/>
      <c r="J417" s="559"/>
      <c r="K417" s="555"/>
      <c r="L417" s="21"/>
    </row>
    <row r="418" spans="1:12" ht="15.6" x14ac:dyDescent="0.3">
      <c r="A418" s="520"/>
      <c r="B418" s="56" t="s">
        <v>108</v>
      </c>
      <c r="C418" s="72" t="s">
        <v>130</v>
      </c>
      <c r="D418" s="58"/>
      <c r="E418" s="43"/>
      <c r="F418" s="82" t="str">
        <f>IF(E418="","",IF(OR('Quantification Tool R2'!B$14="Gravel",'Quantification Tool R2'!B$14="Cobble"),IF(E418&gt;0.1,1,IF(E418&lt;=0.01,0,ROUND(E418*'Reference Standards'!$S$362+'Reference Standards'!$S$363,2)))))</f>
        <v/>
      </c>
      <c r="G418" s="82" t="str">
        <f>IFERROR(AVERAGE(F418),"")</f>
        <v/>
      </c>
      <c r="H418" s="567"/>
      <c r="I418" s="555"/>
      <c r="J418" s="559"/>
      <c r="K418" s="555"/>
      <c r="L418" s="21"/>
    </row>
    <row r="419" spans="1:12" ht="15.6" x14ac:dyDescent="0.3">
      <c r="A419" s="520"/>
      <c r="B419" s="526" t="s">
        <v>51</v>
      </c>
      <c r="C419" s="64" t="s">
        <v>52</v>
      </c>
      <c r="D419" s="64"/>
      <c r="E419" s="166"/>
      <c r="F419" s="337" t="str">
        <f>IF(E419="","",IF(ISNUMBER('Quantification Tool R2'!$B$17),IF('Quantification Tool R2'!$B$17&lt;=2,IF(AND(E419&gt;=3,E419&lt;=5),1,IF(OR(E419&lt;=1,E419&gt;=7),0,ROUND(IF(E419&lt;3,E419*'Reference Standards'!S$398+'Reference Standards'!S$399,E419*'Reference Standards'!T$398+'Reference Standards'!T$399),2))),IF(E419&lt;=2.5,1,IF(E419&gt;=5.8,0,ROUND(E419*'Reference Standards'!S$430+'Reference Standards'!S$431,2))))))</f>
        <v/>
      </c>
      <c r="G419" s="528" t="str">
        <f>IFERROR(AVERAGE(F419:F422),"")</f>
        <v/>
      </c>
      <c r="H419" s="567"/>
      <c r="I419" s="555"/>
      <c r="J419" s="559"/>
      <c r="K419" s="555"/>
      <c r="L419" s="21"/>
    </row>
    <row r="420" spans="1:12" ht="15.6" x14ac:dyDescent="0.3">
      <c r="A420" s="520"/>
      <c r="B420" s="520"/>
      <c r="C420" s="58" t="s">
        <v>53</v>
      </c>
      <c r="D420" s="58"/>
      <c r="E420" s="165"/>
      <c r="F420" s="84" t="str">
        <f>IF(E420="","", IF( E420&gt;=2.4,1, IF(E420&lt;=1,0,  ROUND(IF(E420&lt;2.4, E420*'Reference Standards'!$S$464+'Reference Standards'!$S$465  ),2))))</f>
        <v/>
      </c>
      <c r="G420" s="529"/>
      <c r="H420" s="567"/>
      <c r="I420" s="555"/>
      <c r="J420" s="559"/>
      <c r="K420" s="555"/>
      <c r="L420" s="21"/>
    </row>
    <row r="421" spans="1:12" ht="15.6" x14ac:dyDescent="0.3">
      <c r="A421" s="520"/>
      <c r="B421" s="520"/>
      <c r="C421" s="58" t="s">
        <v>334</v>
      </c>
      <c r="D421" s="58"/>
      <c r="E421" s="165"/>
      <c r="F421" s="390" t="str">
        <f>IF(E421="","", IF(LEFT('Quantification Tool R2'!$B$12,2)="67",  IF( AND(E421&gt;=45,E421&lt;=65),1, IF(OR(E421&lt;=20,E421&gt;=90),0, ROUND(  IF(E421&lt;45, E421*'Reference Standards'!$S$498+'Reference Standards'!$S$499,E421*'Reference Standards'!$T$498+'Reference Standards'!$T$499),2))), IF(OR(  LEFT('Quantification Tool R2'!$B$12,2)="68", LEFT('Quantification Tool R2'!$B$12,2)="69",LEFT('Quantification Tool R2'!$B$12,2)="71"),  IF( AND(E421&gt;=30,E421&lt;=50),1, IF(OR(E421&lt;=10,E421&gt;=70),0, ROUND(  IF(E421&lt;30, E421*'Reference Standards'!$S$533+'Reference Standards'!$S$534,E421*'Reference Standards'!$T$533+'Reference Standards'!$T$534),2))), IF(LEFT('Quantification Tool R2'!$B$12,2)="66",  IF( AND(E421&gt;=20,E421&lt;=45),1, IF(OR(E421&lt;=0,E421&gt;=90),0, ROUND(  IF(E421&lt;20, E421*'Reference Standards'!$S$567+'Reference Standards'!$S$568,E421*'Reference Standards'!$T$567+'Reference Standards'!$T$568),2))), IF(OR(  LEFT('Quantification Tool R2'!$B$12,2)="65", LEFT('Quantification Tool R2'!$B$12,2)="74", LEFT('Quantification Tool R2'!$B$12,2)="73"),  IF( AND(E421&gt;=20,E421&lt;=30),1, IF(OR(E421&lt;=0,E421&gt;=50),0, ROUND(  IF(E421&lt;20, E421*'Reference Standards'!$S$601+'Reference Standards'!$S$602,E421*'Reference Standards'!$T$601+'Reference Standards'!$T$602),2))))))))</f>
        <v/>
      </c>
      <c r="G421" s="529"/>
      <c r="H421" s="567"/>
      <c r="I421" s="555"/>
      <c r="J421" s="559"/>
      <c r="K421" s="555"/>
      <c r="L421" s="21"/>
    </row>
    <row r="422" spans="1:12" ht="15.6" x14ac:dyDescent="0.3">
      <c r="A422" s="520"/>
      <c r="B422" s="521"/>
      <c r="C422" s="62" t="s">
        <v>210</v>
      </c>
      <c r="D422" s="58"/>
      <c r="E422" s="167"/>
      <c r="F422" s="391" t="str">
        <f>IF(E422="","",IF(E422&gt;=1.6,0,IF(E422&lt;=1,1,ROUND('Reference Standards'!$S$633*E422^3+'Reference Standards'!$S$634*E422^2+'Reference Standards'!$S$635*E422+'Reference Standards'!$S$636,2))))</f>
        <v/>
      </c>
      <c r="G422" s="530"/>
      <c r="H422" s="567"/>
      <c r="I422" s="555"/>
      <c r="J422" s="559"/>
      <c r="K422" s="555"/>
      <c r="L422" s="21"/>
    </row>
    <row r="423" spans="1:12" ht="15.6" x14ac:dyDescent="0.3">
      <c r="A423" s="521"/>
      <c r="B423" s="309" t="s">
        <v>55</v>
      </c>
      <c r="C423" s="242" t="s">
        <v>54</v>
      </c>
      <c r="D423" s="243"/>
      <c r="E423" s="163"/>
      <c r="F423" s="342" t="str">
        <f>IF(E423="","",IF(AND('Quantification Tool R2'!B$11="E",'Quantification Tool R2'!$B$14="Sand",'Quantification Tool R2'!$B$21="Unconfined Alluvial"),ROUND(IF(OR(E423&gt;1.8,E423&lt;1.3),0,IF(E423&lt;=1.6,1,E423*'Reference Standards'!S$667+'Reference Standards'!S$668)),2),    IF('Quantification Tool R2'!$B$21="Unconfined Alluvial",ROUND(IF(OR(E423&lt;1.2, E423&gt;1.5),0,IF(E423&lt;=1.4,1,E423*'Reference Standards'!$S$700+'Reference Standards'!$S$701)),2), IF('Quantification Tool R2'!$B$21="Confined Alluvial",ROUND(IF(E423&lt;1.15,0,IF(E423&lt;=1.4,E423*'Reference Standards'!$S$729+'Reference Standards'!$S$730,1)),2),  IF('Quantification Tool R2'!$B$21="Colluvial",ROUND(IF(E423&gt;1.3,0,IF(E423&gt;1.2,E423*'Reference Standards'!$S$760+'Reference Standards'!$S$761,1)),2) )))))</f>
        <v/>
      </c>
      <c r="G423" s="84" t="str">
        <f>IFERROR(AVERAGE(F423),"")</f>
        <v/>
      </c>
      <c r="H423" s="567"/>
      <c r="I423" s="555"/>
      <c r="J423" s="559"/>
      <c r="K423" s="555"/>
      <c r="L423" s="21"/>
    </row>
    <row r="424" spans="1:12" ht="15.6" x14ac:dyDescent="0.3">
      <c r="A424" s="537" t="s">
        <v>58</v>
      </c>
      <c r="B424" s="67" t="s">
        <v>88</v>
      </c>
      <c r="C424" s="70" t="s">
        <v>338</v>
      </c>
      <c r="D424" s="70"/>
      <c r="E424" s="43"/>
      <c r="F424" s="343" t="str">
        <f>IF(E424="","",ROUND(IF(E424&gt;=942,0,IF(E424&lt;=487,E424*'Reference Standards'!AB$15+'Reference Standards'!AB$16,E424*'Reference Standards'!$AC$15+'Reference Standards'!$AC$16)),2))</f>
        <v/>
      </c>
      <c r="G424" s="85" t="str">
        <f>IFERROR(AVERAGE(F424),"")</f>
        <v/>
      </c>
      <c r="H424" s="547" t="str">
        <f>IFERROR(ROUND(AVERAGE(G424:G427),2),"")</f>
        <v/>
      </c>
      <c r="I424" s="534" t="str">
        <f>IF(H424="","",IF(H424&gt;0.69,"Functioning",IF(H424&gt;0.29,"Functioning At Risk",IF(H424&gt;-1,"Not Functioning"))))</f>
        <v/>
      </c>
      <c r="J424" s="559"/>
      <c r="K424" s="555"/>
      <c r="L424" s="21"/>
    </row>
    <row r="425" spans="1:12" ht="15.75" customHeight="1" x14ac:dyDescent="0.3">
      <c r="A425" s="538"/>
      <c r="B425" s="306" t="s">
        <v>362</v>
      </c>
      <c r="C425" s="66" t="s">
        <v>354</v>
      </c>
      <c r="D425" s="66"/>
      <c r="E425" s="163"/>
      <c r="F425" s="344" t="str">
        <f>IF(E425="","",IF(OR('Quantification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June")),IF(E425&gt;93,0,IF(E425&lt;13,1,ROUND('Reference Standards'!$AB$53*E425^2+'Reference Standards'!$AB$54*E425+'Reference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R2'!$B$12="73b"),IF(E425&gt;94,0,IF(E425&lt;17,1,ROUND('Reference Standards'!$AC$53*E425^2+'Reference Standards'!$AC$54*E425+'Reference Standards'!$AC$55,2))),    IF(OR(AND(OR('Quantification Tool R2'!$B$12="68b",'Quantification Tool R2'!$B$12="71i"),'Quantification Tool R2'!$B$13&gt;2), 'Quantification Tool R2'!$B$12="71e"),IF(E425&gt;91,0,IF(E425&lt;24,1,ROUND('Reference Standards'!$AD$53*E425^2+'Reference Standards'!$AD$54*E425+'Reference Standards'!$AD$55,2))),  IF(OR(AND(OR('Quantification Tool R2'!$B$12="71f",'Quantification Tool R2'!$B$12="71g",'Quantification Tool R2'!$B$12="71h",'Quantification Tool R2'!$B$12="71i"),'Quantification Tool R2'!$B$13&lt;=2), AND('Quantification Tool R2'!$B$12="74a",'Quantification Tool R2'!$B$13&gt;2)),IF(E425&gt;95,0,IF(E425&lt;=36,1,ROUND('Reference Standards'!$AE$53*E425^2+'Reference Standards'!$AE$54*E425+'Reference Standards'!$AE$55,2))))))))</f>
        <v/>
      </c>
      <c r="G425" s="236" t="str">
        <f>IFERROR(AVERAGE(F425:F425),"")</f>
        <v/>
      </c>
      <c r="H425" s="548"/>
      <c r="I425" s="535"/>
      <c r="J425" s="559"/>
      <c r="K425" s="555"/>
    </row>
    <row r="426" spans="1:12" ht="15.75" customHeight="1" x14ac:dyDescent="0.3">
      <c r="A426" s="538"/>
      <c r="B426" s="67" t="s">
        <v>81</v>
      </c>
      <c r="C426" s="68" t="s">
        <v>281</v>
      </c>
      <c r="D426" s="68"/>
      <c r="E426" s="162"/>
      <c r="F426" s="344" t="str">
        <f>IF(E426="","",IF(ISNUMBER('Quantification Tool R2'!$B$13),IF(OR('Quantification Tool R2'!$B$12="66e",'Quantification Tool R2'!$B$12="66f",'Quantification Tool R2'!$B$12="66g"),ROUND(IF(E426&gt;=0.61,0,IF(E426&lt;=0.01,1,IF(E426&lt;=0.06,E426*'Reference Standards'!$AD$197+'Reference Standards'!$AD$198,E426^2*'Reference Standards'!$AB$196+E426*'Reference Standards'!$AB$197+'Reference Standards'!$AB$198))),2),IF('Quantification Tool R2'!$B$12="68b",ROUND(IF(E426&gt;=1.1,0,IF(E426&lt;=0.17,1,IF(E426&lt;=0.22,E426*'Reference Standards'!$AE$197+'Reference Standards'!$AE$198,E426^2*'Reference Standards'!$AC$196+E426*'Reference Standards'!$AC$197+'Reference Standards'!$AC$198))),2),IF('Quantification Tool R2'!$B$13&lt;=2.5,IF('Quantification Tool R2'!$B$12="69de",ROUND(IF(E426&gt;=0.22,0,IF(E426&lt;=0.01,1,E426^2*'Reference Standards'!$AB$90+E426*'Reference Standards'!$AB$91+'Reference Standards'!$AB$92)),2),IF('Quantification Tool R2'!$B$12="68c",ROUND(IF(E426&gt;=0.87,0,IF(E426&lt;=0.01,1,E426^2*'Reference Standards'!$AC$90+E426*'Reference Standards'!$AC$91+'Reference Standards'!$AC$92)),2),IF('Quantification Tool R2'!$B$12="68a",ROUND(IF(E426&gt;=0.81,0,IF(E426&lt;=0.01,1,E426^2*'Reference Standards'!$AD$90+E426*'Reference Standards'!$AD$91+'Reference Standards'!$AD$92)),2),IF('Quantification Tool R2'!$B$12="65abei",ROUND(IF(E426&gt;=0.67,0,IF(E426&lt;=0.01,1,IF(E426&lt;=0.18,E426*'Reference Standards'!$AG$91+'Reference Standards'!$AG$92,E426*'Reference Standards'!$AE$91+'Reference Standards'!$AE$92))),2),IF('Quantification Tool R2'!$B$12="65j",ROUND(IF(E426&gt;=0.32,0,IF(E426&lt;=0.01,1,IF(E426&lt;=0.25,E426*'Reference Standards'!$AH$91+'Reference Standards'!$AH$92,E426*'Reference Standards'!$AF$91+'Reference Standards'!$AF$92))),2),IF('Quantification Tool R2'!$B$12="71f",ROUND(IF(E426&gt;=3,0,IF(E426&lt;=0,1,IF(E426&lt;=0.01,0.7,E426^2*'Reference Standards'!$AB$126+E426*'Reference Standards'!$AB$127+'Reference Standards'!$AB$128))),2),IF('Quantification Tool R2'!$B$12="74a",ROUND(IF(E426&gt;=0.14,0,IF(E426&lt;=0.01,1,IF(E426&lt;=0.02,0.7,E426^2*'Reference Standards'!$AC$126+E426*'Reference Standards'!$AC$127+'Reference Standards'!$AC$128))),2),IF(OR('Quantification Tool R2'!$B$12="67fhi",'Quantification Tool R2'!$B$12="67g"),ROUND(IF(E426&gt;=1.9,0,IF(E426&lt;=0.01,1,IF(E426&lt;=0.05,E426*'Reference Standards'!$AF$127+'Reference Standards'!$AF$128,E426^2*'Reference Standards'!$AD$126+E426*'Reference Standards'!$AD$127+'Reference Standards'!$AD$128))),2),IF('Quantification Tool R2'!$B$12="73a",ROUND(IF(E426&gt;=1.44,0,IF(E426&lt;=0.01,1,IF(E426&lt;=0.12,E426*'Reference Standards'!$AG$127+'Reference Standards'!$AG$128,E426^2*'Reference Standards'!$AE$126+E426*'Reference Standards'!$AE$127+'Reference Standards'!$AE$128))),2),IF('Quantification Tool R2'!$B$12="66d",ROUND(IF(E426&gt;=0.46,0,IF(E426&lt;=0.02,1,IF(E426&lt;=0.08,E426*'Reference Standards'!$AF$163+'Reference Standards'!$AF$164,E426^2*'Reference Standards'!$AB$162+E426*'Reference Standards'!$AB$163+'Reference Standards'!$AB$164))),2),IF(OR('Quantification Tool R2'!$B$12="71g",'Quantification Tool R2'!$B$12="71h",'Quantification Tool R2'!$B$12="71i"),ROUND(IF(E426&gt;=3,0,IF(E426&lt;=0.06,1,IF(E426&lt;=0.24,E426*'Reference Standards'!$AG$163+'Reference Standards'!$AG$164,E426^2*'Reference Standards'!$AC$162+E426*'Reference Standards'!$AC$163+'Reference Standards'!$AC$164))),2),IF('Quantification Tool R2'!$B$12="74b",ROUND(IF(E426&gt;=1.3,0,IF(E426&lt;=0.29,1,IF(E426&lt;=0.48,E426*'Reference Standards'!$AH$163+'Reference Standards'!$AH$164,E426^2*'Reference Standards'!$AD$162+E426*'Reference Standards'!$AD$163+'Reference Standards'!$AD$164))),2),IF('Quantification Tool R2'!$B$12="71e",ROUND(IF(E426&gt;=4.3,0,IF(E426&lt;=0.53,1,IF(E426&lt;=0.67,E426*'Reference Standards'!$AI$163+'Reference Standards'!$AI$164,E426^2*'Reference Standards'!$AE$162+E426*'Reference Standards'!$AE$163+'Reference Standards'!$AE$164))),2)))))))))))))),IF('Quantification Tool R2'!$B$13&gt;2.5,IF('Quantification Tool R2'!$B$12="73a",ROUND(IF(E426&gt;=0.55,0,IF(E426&lt;=0,1,E426^2*'Reference Standards'!$AB$232+E426*'Reference Standards'!$AB$233+'Reference Standards'!$AB$234)),2),IF('Quantification Tool R2'!$B$12="68a",ROUND(IF(E426&gt;=0.54,0,IF(E426&lt;=0,1,IF(E426&lt;=0.01,0.85,E426^2*'Reference Standards'!$AC$232+E426*'Reference Standards'!$AC$233+'Reference Standards'!$AC$234))),2),IF('Quantification Tool R2'!$B$12="74a",ROUND(IF(E426&gt;=0.47,0,IF(E426&lt;=0.01,1,IF(E426&lt;=0.02,0.7,E426^2*'Reference Standards'!$AD$232+E426*'Reference Standards'!$AD$233+'Reference Standards'!$AD$234))),2),IF('Quantification Tool R2'!$B$12="69de",ROUND(IF(E426&gt;=0.26,0,IF(E426&lt;=0.01,1,IF(E426&lt;=0.02,0.85,E426^2*'Reference Standards'!$AE$232+E426*'Reference Standards'!$AE$233+'Reference Standards'!$AE$234))),2),IF('Quantification Tool R2'!$B$12="71f",ROUND(IF(E426&gt;=0.87,0,IF(E426&lt;=0.01,1,IF(E426&lt;=0.04,E426*'Reference Standards'!$AF$269+'Reference Standards'!$AF$270,E426^2*'Reference Standards'!$AB$268+E426*'Reference Standards'!$AB$269+'Reference Standards'!$AB$270))),2),IF('Quantification Tool R2'!$B$12="65abei",ROUND(IF(E426&gt;=0.82,0,IF(E426&lt;=0.01,1,IF(E426&lt;=0.06,E426*'Reference Standards'!$AG$269+'Reference Standards'!$AG$270,E426^2*'Reference Standards'!$AC$268+E426*'Reference Standards'!$AC$269+'Reference Standards'!$AC$270))),2),IF('Quantification Tool R2'!$B$12="65j",ROUND(IF(E426&gt;=0.33,0,IF(E426&lt;=0.03,1,IF(E426&lt;=0.09,E426*'Reference Standards'!$AH$269+'Reference Standards'!$AH$270,E426^2*'Reference Standards'!$AD$268+E426*'Reference Standards'!$AD$269+'Reference Standards'!$AD$270))),2),IF('Quantification Tool R2'!$B$12="68c",ROUND(IF(E426&gt;=0.7,0,IF(E426&lt;=0.07,1,IF(E426&lt;=0.12,E426*'Reference Standards'!$AI$269+'Reference Standards'!$AI$270,E426^2*'Reference Standards'!$AE$268+E426*'Reference Standards'!$AE$269+'Reference Standards'!$AE$270))),2),IF(OR('Quantification Tool R2'!$B$12="67fhi",'Quantification Tool R2'!$B$12="67g"),ROUND(IF(E426&gt;=1.8,0,IF(E426&lt;=0.08,1,IF(E426&lt;=0.2,E426*'Reference Standards'!$AF$306+'Reference Standards'!$AF$307,E426^2*'Reference Standards'!$AB$305+E426*'Reference Standards'!$AB$306+'Reference Standards'!$AB$307))),2),IF('Quantification Tool R2'!$B$12="74b",ROUND(IF(E426&gt;=0.96,0,IF(E426&lt;=0.12,1,IF(E426&lt;=0.16,E426*'Reference Standards'!$AG$306+'Reference Standards'!$AG$307,E426^2*'Reference Standards'!$AC$305+E426*'Reference Standards'!$AC$306+'Reference Standards'!$AC$307))),2),IF('Quantification Tool R2'!$B$12="66d",ROUND(IF(E426&gt;=0.75,0,IF(E426&lt;=0.13,1,IF(E426&lt;=0.2,E426*'Reference Standards'!$AH$306+'Reference Standards'!$AH$307,E426^2*'Reference Standards'!$AD$305+E426*'Reference Standards'!$AD$306+'Reference Standards'!$AD$307))),2),IF(OR('Quantification Tool R2'!$B$12="71g",'Quantification Tool R2'!$B$12="71h",'Quantification Tool R2'!$B$12="71i"),ROUND(IF(E426&gt;=1.68,0,IF(E426&lt;=0.08,1,IF(E426&lt;=0.23,E426*'Reference Standards'!$AI$306+'Reference Standards'!$AI$307,E426^2*'Reference Standards'!$AE$305+E426*'Reference Standards'!$AE$306+'Reference Standards'!$AE$307))),2),IF('Quantification Tool R2'!$B$12="71e",ROUND(IF(E426&gt;=5.3,0,IF(E426&lt;=0.94,1,IF(E426&lt;=1.4,E426*'Reference Standards'!$AF$310+'Reference Standards'!$AF$311,E426^2*'Reference Standards'!$AB$309+E426*'Reference Standards'!$AB$310+'Reference Standards'!$AB$311))),2))))))))))))))))))))</f>
        <v/>
      </c>
      <c r="G426" s="86" t="str">
        <f>IFERROR(AVERAGE(F426),"")</f>
        <v/>
      </c>
      <c r="H426" s="548"/>
      <c r="I426" s="535"/>
      <c r="J426" s="559"/>
      <c r="K426" s="555"/>
    </row>
    <row r="427" spans="1:12" ht="15.75" customHeight="1" x14ac:dyDescent="0.3">
      <c r="A427" s="539"/>
      <c r="B427" s="307" t="s">
        <v>82</v>
      </c>
      <c r="C427" s="66" t="s">
        <v>280</v>
      </c>
      <c r="D427" s="66"/>
      <c r="E427" s="136"/>
      <c r="F427" s="343" t="str">
        <f>IF(E427="","",IF(ISNUMBER('Quantification Tool R2'!$B$13),IF('Quantification Tool R2'!$B$13&gt;2.5,IF(OR('Quantification Tool R2'!$B$12="71h",'Quantification Tool R2'!$B$12="71i",'Quantification Tool R2'!$B$12="73a",'Quantification Tool R2'!$B$12="74a"),IF(E427&lt;=0.01,1,IF(OR('Quantification Tool R2'!$B$12="71h",'Quantification Tool R2'!$B$12="71i"),IF(E427&gt;0.37,0,ROUND(IF(E427&gt;0.03,'Reference Standards'!$AB$425*E427^2+'Reference Standards'!$AB$426*E427+'Reference Standards'!$AB$427,'Reference Standards'!$AF$426*E427+'Reference Standards'!$AF$427),2)),IF('Quantification Tool R2'!$B$12="73a",IF(E427&gt;0.405,0,ROUND(IF(E427&gt;0.046,'Reference Standards'!$AC$425*E427^2+'Reference Standards'!$AC$426*E427+'Reference Standards'!$AC$427,'Reference Standards'!$AG$426*E427+'Reference Standards'!$AG$427),2)),IF('Quantification Tool R2'!$B$12="74a",IF(E427&gt;0.3,0,ROUND(IF(E427&gt;0.052,'Reference Standards'!$AD$425*E427^2+'Reference Standards'!$AD$426*E427+'Reference Standards'!$AD$427,'Reference Standards'!$AH$426*E427+'Reference Standards'!$AH$427),2)))))),IF(E427&lt;=0.002,1,IF(OR('Quantification Tool R2'!$B$12="66d",'Quantification Tool R2'!$B$12="66e",'Quantification Tool R2'!$B$12="66g"),IF(E427&gt;0.053,0,ROUND(E427^2*'Reference Standards'!$AB$347+E427*'Reference Standards'!$AB$348+'Reference Standards'!$AB$349,2)),IF('Quantification Tool R2'!$B$12="68b",IF(E427&gt;0.05,0,ROUND(E427^2*'Reference Standards'!$AC$347+E427*'Reference Standards'!$AC$348+'Reference Standards'!$AC$349,2)),IF(OR('Quantification Tool R2'!$B$12="68a",'Quantification Tool R2'!$B$12="68c"),IF(E427&gt;0.07,0,ROUND(E427^2*'Reference Standards'!$AD$347+E427*'Reference Standards'!$AD$348+'Reference Standards'!$AD$349,2)),IF(OR('Quantification Tool R2'!$B$12="71f",'Quantification Tool R2'!$B$12="71g"),IF(E427&gt;0.13,0,ROUND(IF(E427&gt;0.042,E427*'Reference Standards'!$AE$348+'Reference Standards'!$AE$349,E427*'Reference Standards'!$AF$348+'Reference Standards'!$AF$349),2)),IF('Quantification Tool R2'!$B$12="67fhi",IF(E427&gt;0.16,0,ROUND(E427^2*'Reference Standards'!$AG$347+E427*'Reference Standards'!$AG$348+'Reference Standards'!$AG$349,2)),IF('Quantification Tool R2'!$B$12="65j",IF(E427&gt;0.035,0,ROUND(IF(E427&lt;=0.003,0.7,E427^2*'Reference Standards'!$AB$387+E427*'Reference Standards'!$AB$388+'Reference Standards'!$AB$389),2)),IF('Quantification Tool R2'!$B$12="69de",IF(E427&gt;0.037,0,ROUND(IF(E427&lt;=0.003,0.7,E427^2*'Reference Standards'!$AC$387+E427*'Reference Standards'!$AC$388+'Reference Standards'!$AC$389),2)),IF('Quantification Tool R2'!$B$12="71e",IF(E427&gt;0.23,0,ROUND(IF(E427&lt;=0.003,0.7,E427^2*'Reference Standards'!$AD$387+E427*'Reference Standards'!$AD$388+'Reference Standards'!$AD$389),2)),IF('Quantification Tool R2'!$B$12="66f",IF(E427&gt;0.06,0,ROUND(IF(E427&lt;=0.003,0.85,IF(E427&lt;=0.004,0.7,E427^2*'Reference Standards'!$AE$387+E427*'Reference Standards'!$AE$388+'Reference Standards'!$AE$389)),2)),IF('Quantification Tool R2'!$B$12="67g",IF(E427&gt;0.11,0,ROUND(IF(E427&lt;=0.01,E427*'Reference Standards'!$AH$388+'Reference Standards'!$AH$389,E427^2*'Reference Standards'!$AF$387+E427*'Reference Standards'!$AF$388+'Reference Standards'!$AF$389),2)),IF('Quantification Tool R2'!$B$12="74b",IF(E427&gt;0.49,0,ROUND(IF(E427&lt;=0.01,E427*'Reference Standards'!$AH$388+'Reference Standards'!$AH$389,E427^2*'Reference Standards'!$AG$387+E427*'Reference Standards'!$AG$388+'Reference Standards'!$AG$389),2)),IF('Quantification Tool R2'!$B$12="65abei",IF(E427&gt;0.199,0,ROUND(IF(E427&lt;=0.01,E427*'Reference Standards'!$AI$426+'Reference Standards'!$AI$427,E427^2*'Reference Standards'!$AE$425+E427*'Reference Standards'!$AE$426+'Reference Standards'!$AE$427),2)))))))))))))))),IF('Quantification Tool R2'!$B$13&lt;=2.5,IF(OR('Quantification Tool R2'!$B$12="66d",'Quantification Tool R2'!$B$12="66e",'Quantification Tool R2'!$B$12="66g"),IF(E427&gt;0.05,0,ROUND(IF(E427&lt;=0.002,1,IF(E427&lt;=0.005,E427*'Reference Standards'!$AF$464+'Reference Standards'!$AF$465,E427^2*'Reference Standards'!$AB$463+E427*'Reference Standards'!$AB$464+'Reference Standards'!$AB$465)),2)),IF('Quantification Tool R2'!$B$12="67fhi",IF(E427&gt;0.1,0,ROUND(IF(E427&lt;=0.002,1,IF(E427&lt;=0.006,E427*'Reference Standards'!$AG$464+'Reference Standards'!$AG$465,E427^2*'Reference Standards'!$AC$463+E427*'Reference Standards'!$AC$464+'Reference Standards'!$AC$465)),2)),IF('Quantification Tool R2'!$B$12="65abei",IF(E427&gt;0.13,0,ROUND(IF(E427&lt;=0.003,1,IF(E427&lt;=0.008,E427*'Reference Standards'!$AH$464+'Reference Standards'!$AH$465,E427^2*'Reference Standards'!$AD$463+E427*'Reference Standards'!$AD$464+'Reference Standards'!$AD$465)),2)),IF('Quantification Tool R2'!$B$12="68b",IF(E427&gt;0.043,0,ROUND(IF(E427&lt;=0.004,1,IF(E427&lt;=0.005,0.7,E427^2*'Reference Standards'!$AE$463+E427*'Reference Standards'!$AE$464+'Reference Standards'!$AE$465)),2)),IF('Quantification Tool R2'!$B$12="69de",IF(E427&gt;=0.034,0,ROUND(IF(E427&lt;=0.003,1,IF(E427&lt;=0.006,E427*'Reference Standards'!$AG$500+'Reference Standards'!$AG$501,E427*'Reference Standards'!$AB$500+'Reference Standards'!$AB$501)),2)),IF(OR('Quantification Tool R2'!$B$12="68a",'Quantification Tool R2'!$B$12="68c"),IF(E427&gt;0.202,0,ROUND(IF(E427&lt;=0.003,1,IF(E427&lt;=0.006,E427*'Reference Standards'!$AG$500+'Reference Standards'!$AG$501,IF(E427&gt;=0.04,E427*'Reference Standards'!$AC$500+'Reference Standards'!$AC$501,E427*'Reference Standards'!$AE$500+'Reference Standards'!$AE$501))),2)),IF(OR('Quantification Tool R2'!$B$12="71f",'Quantification Tool R2'!$B$12="71g"),IF(E427&gt;0.631,0,ROUND(IF(E427&lt;=0.003,1,IF(E427&lt;=0.006,E427*'Reference Standards'!$AG$500+'Reference Standards'!$AG$501,IF(E427&gt;=0.17,E427*'Reference Standards'!$AD$500+'Reference Standards'!$AD$501,E427*'Reference Standards'!$AF$500+'Reference Standards'!$AF$501))),2)),IF('Quantification Tool R2'!$B$12="71e",IF(E427&gt;1.23,0,ROUND(IF(E427&lt;=0.004,1,IF(E427&lt;=0.006,E427*'Reference Standards'!$AF$538+'Reference Standards'!$AF$539,E427^2*'Reference Standards'!$AB$537+E427*'Reference Standards'!$AB$538+'Reference Standards'!$AB$539)),2)),IF('Quantification Tool R2'!$B$12="67g",IF(E427&gt;0.11,0,ROUND(IF(E427&lt;=0.006,1,IF(E427&lt;=0.011,E427*'Reference Standards'!$AG$538+'Reference Standards'!$AG$539,E427^2*'Reference Standards'!$AC$537+E427*'Reference Standards'!$AC$538+'Reference Standards'!$AC$539)),2)),IF('Quantification Tool R2'!$B$12="65j",IF(E427&gt;0.046,0,ROUND(IF(E427&lt;=0.007,1,IF(E427&lt;=0.012,E427*'Reference Standards'!$AH$538+'Reference Standards'!$AH$539,E427^2*'Reference Standards'!$AD$537+E427*'Reference Standards'!$AD$538+'Reference Standards'!$AD$539)),2)),IF('Quantification Tool R2'!$B$12="66f",IF(E427&gt;0.081,0,ROUND(IF(E427&lt;=0.008,1,IF(E427&lt;=0.011,E427*'Reference Standards'!$AI$538+'Reference Standards'!$AI$539,E427^2*'Reference Standards'!$AE$537+E427*'Reference Standards'!$AE$538+'Reference Standards'!$AE$539)),2)),IF(OR('Quantification Tool R2'!$B$12="71h",'Quantification Tool R2'!$B$12="71i"),IF(E427&gt;0.37,0,ROUND(IF(E427&lt;=0.013,1,IF(E427&lt;=0.032,E427*'Reference Standards'!$AH$576+'Reference Standards'!$AH$577,IF(E427&lt;=0.3,E427*'Reference Standards'!$AF$576+'Reference Standards'!$AF$577,E427*'Reference Standards'!$AB$576+'Reference Standards'!$AB$577))),2)),IF('Quantification Tool R2'!$B$12="73a",IF(E427&gt;0.448,0,ROUND(IF(E427&lt;=0.071,1,IF(E427&lt;=0.086,E427*'Reference Standards'!$AJ$576+'Reference Standards'!$AJ$577,IF(E427&lt;=0.165,E427*'Reference Standards'!$AG$576+'Reference Standards'!$AG$577,E427*'Reference Standards'!$AE$576+'Reference Standards'!$AE$577))),2)),IF('Quantification Tool R2'!$B$12="74b",IF(E427&gt;0.43,0,ROUND(IF(E427&lt;=0.018,1,IF(E427&lt;=0.019,0.85,IF(E427&lt;=0.02,0.7,E427^2*'Reference Standards'!$AC$575+E427*'Reference Standards'!$AC$576+'Reference Standards'!$AC$577))),2)),IF('Quantification Tool R2'!$B$12="74a",IF(E427&gt;0.217,0,ROUND(IF(E427&lt;=0.02,1,IF(E427&lt;=0.033,E427*'Reference Standards'!$AI$576+'Reference Standards'!$AI$577,E427^2*'Reference Standards'!$AD$575+E427*'Reference Standards'!$AD$576+'Reference Standards'!$AD$577)),2)))))))))))))))))))))</f>
        <v/>
      </c>
      <c r="G427" s="87" t="str">
        <f>IFERROR(AVERAGE(F427),"")</f>
        <v/>
      </c>
      <c r="H427" s="549"/>
      <c r="I427" s="536"/>
      <c r="J427" s="559"/>
      <c r="K427" s="555"/>
    </row>
    <row r="428" spans="1:12" ht="15.6" x14ac:dyDescent="0.3">
      <c r="A428" s="550" t="s">
        <v>59</v>
      </c>
      <c r="B428" s="560" t="s">
        <v>340</v>
      </c>
      <c r="C428" s="125" t="s">
        <v>331</v>
      </c>
      <c r="D428" s="126"/>
      <c r="E428" s="166"/>
      <c r="F428" s="345" t="str">
        <f>IF(E428="","",IF(OR('Quantification Tool R2'!B$12="73a",'Quantification Tool R2'!B$12="73b"),IF(E428&lt;1,0,IF(E428&gt;=30,1,ROUND(IF(E428&lt;22,'Reference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531" t="str">
        <f>IFERROR(AVERAGE(F428:F431),"")</f>
        <v/>
      </c>
      <c r="H428" s="568" t="str">
        <f>IFERROR(ROUND(AVERAGE(G428:G433),2),"")</f>
        <v/>
      </c>
      <c r="I428" s="519" t="str">
        <f>IF(H428="","",IF(H428&gt;0.69,"Functioning",IF(H428&gt;0.29,"Functioning At Risk",IF(H428&gt;-1,"Not Functioning"))))</f>
        <v/>
      </c>
      <c r="J428" s="559"/>
      <c r="K428" s="555"/>
    </row>
    <row r="429" spans="1:12" ht="15.6" x14ac:dyDescent="0.3">
      <c r="A429" s="556"/>
      <c r="B429" s="561"/>
      <c r="C429" s="174" t="s">
        <v>335</v>
      </c>
      <c r="D429" s="175"/>
      <c r="E429" s="165"/>
      <c r="F429" s="346" t="str">
        <f>IF(E429="","",IF(AND('Quantification Tool R2'!$B$12="74b",'Quantification Tool R2'!$B$13&lt;=2),IF(E429&lt;0,0,IF(E429&gt;15.6,0.69,ROUND('Reference Standards'!$AL$54*E429^2+'Reference Standards'!$AL$55*E429+'Reference Standards'!$AL$56,2))),IF(AND('Quantification Tool R2'!$B$12="65abei",'Quantification Tool R2'!$B$13&lt;=2),IF(E429&lt;0,0,IF(E429&gt;=20,0.69,ROUND('Reference Standards'!$AM$54*E429^2+'Reference Standards'!$AM$55*E429+'Reference Standards'!$AM$56,2))),IF(OR(AND('Quantification Tool R2'!$B$12="74a",'Quantification Tool R2'!$B$13&gt;2,'Quantification Tool R2'!$B$19="January - June"),AND('Quantification Tool R2'!$B$12="71i",'Quantification Tool R2'!$B$13&gt;2,'Quantification Tool R2'!$B$20="SQBANK")),IF(E429&lt;0,0,IF(E429&gt;24.7,0.69,ROUND('Reference Standards'!$AN$54*E429^2+'Reference Standards'!$AN$55*E429+'Reference Standards'!$AN$56,2))),IF(OR('Quantification Tool R2'!$B$12="74b",'Quantification Tool R2'!$B$12="65abei"),IF(E429&lt;0,0,IF(E429&gt;32.7,0.69,ROUND('Reference Standards'!$AO$54*E429^2+'Reference Standards'!$AO$55*E429+'Reference Standards'!$AO$56,2))),IF(AND('Quantification Tool R2'!$B$12="68b",'Quantification Tool R2'!$B$13&gt;2),IF(E429&lt;0,0,IF(E429&gt;41.2,0.69,ROUND('Reference Standards'!$AP$54*E429^2+'Reference Standards'!$AP$55*E429+'Reference Standards'!$AP$56,2))),IF(OR(AND('Quantification Tool R2'!$B$12="71i",'Quantification Tool R2'!$B$13&lt;=2),AND(OR('Quantification Tool R2'!$B$12="68c",'Quantification Tool R2'!$B$12="68d"),'Quantification Tool R2'!$B$19="January - June")),IF(E429&lt;0,0,IF(E429&gt;49.2,0.69,ROUND('Reference Standards'!$AL$94*E429^2+'Reference Standards'!$AL$95*E429+'Reference Standards'!$AL$96,2))),IF(OR(AND('Quantification Tool R2'!$B$12="68a",'Quantification Tool R2'!$B$19="January - June"),AND(OR('Quantification Tool R2'!$B$12="68c",'Quantification Tool R2'!$B$12="68d"),'Quantification Tool R2'!$B$19="July - December")),IF(E429&lt;0,0,IF(E429&gt;53.4,0.69,ROUND('Reference Standards'!$AM$94*E429^2+'Reference Standards'!$AM$95*E429+'Reference Standards'!$AM$96,2))),IF(OR(AND('Quantification Tool R2'!$B$12="71i",'Quantification Tool R2'!$B$13&gt;2,'Quantification Tool R2'!$B$20="SQKICK"),AND(OR('Quantification Tool R2'!$B$12="67fhi",'Quantification Tool R2'!$B$12="67g"),'Quantification Tool R2'!$B$13&lt;=2),'Quantification Tool R2'!$B$12="65j"),IF(E429&lt;0,0,IF(E429&gt;57.8,0.69,ROUND('Reference Standards'!$AN$94*E429^2+'Reference Standards'!$AN$95*E429+'Reference Standards'!$AN$96,2))),IF(OR(AND('Quantification Tool R2'!$B$12="74a",'Quantification Tool R2'!$B$13&gt;2,'Quantification Tool R2'!$B$19="July - December"),AND(OR('Quantification Tool R2'!$B$12="67fhi",'Quantification Tool R2'!$B$12="67g"),'Quantification Tool R2'!$B$13&gt;2),'Quantification Tool R2'!$B$12="69de"),IF(E429&lt;0,0,IF(E429&gt;62.5,0.69,ROUND('Reference Standards'!$AO$94*E429^2+'Reference Standards'!$AO$95*E429+'Reference Standards'!$AO$96,2))),  IF(OR('Quantification Tool R2'!$B$12="66d",'Quantification Tool R2'!$B$12="66e",'Quantification Tool R2'!$B$12="66ik",'Quantification Tool R2'!$B$12="71e",'Quantification Tool R2'!$B$12="71f",'Quantification Tool R2'!$B$12="71g",'Quantification Tool R2'!$B$12="71h"),IF(E429&lt;0,0,IF(E429&gt;66.5,0.69,ROUND('Reference Standards'!$AP$94*E429^2+'Reference Standards'!$AP$95*E429+'Reference Standards'!$AP$96,2))),IF(OR('Quantification Tool R2'!$B$12="66f",'Quantification Tool R2'!$B$12="66g",'Quantification Tool R2'!$B$12="66j",AND('Quantification Tool R2'!$B$12="68a",'Quantification Tool R2'!$B$19="July - December")), IF(E429&lt;0,0,IF(E429&gt;69,0.69,ROUND('Reference Standards'!$AQ$94*E429^2+'Reference Standards'!$AQ$95*E429+'Reference Standards'!$AQ$96,2))))   )))))))))))</f>
        <v/>
      </c>
      <c r="G429" s="531"/>
      <c r="H429" s="568"/>
      <c r="I429" s="519"/>
      <c r="J429" s="559"/>
      <c r="K429" s="555"/>
    </row>
    <row r="430" spans="1:12" ht="15.6" x14ac:dyDescent="0.3">
      <c r="A430" s="556"/>
      <c r="B430" s="561"/>
      <c r="C430" s="174" t="s">
        <v>339</v>
      </c>
      <c r="D430" s="175"/>
      <c r="E430" s="165"/>
      <c r="F430" s="346" t="str">
        <f>IF(E430="","",IF(AND('Quantification Tool R2'!$B$12="74b",'Quantification Tool R2'!$B$13&lt;=2),IF(E430&lt;0,0,IF(E430&gt;8.1,0.69,ROUND('Reference Standards'!$AL$131*E430^2+'Reference Standards'!$AL$132*E430+'Reference Standards'!$AL$133,2))),IF(OR('Quantification Tool R2'!$B$12="73a",'Quantification Tool R2'!$B$12="73b"),IF(E430&lt;0,0,IF(E430&gt;=28,0.69,ROUND('Reference Standards'!$AM$131*E430^2+'Reference Standards'!$AM$132*E430+'Reference Standards'!$AM$133,2))),IF(AND('Quantification Tool R2'!$B$12="74a",'Quantification Tool R2'!$B$13&gt;2,'Quantification Tool R2'!$B$19="January - June"),IF(E430&lt;0,0,IF(E430&gt;=32.5,0.69,ROUND('Reference Standards'!$AN$131*E430^2+'Reference Standards'!$AN$132*E430+'Reference Standards'!$AN$133,2))),IF(AND('Quantification Tool R2'!$B$12="71i",'Quantification Tool R2'!$B$13&gt;2,'Quantification Tool R2'!$B$20="SQBANK"),IF(E430&lt;0,0,IF(E430&gt;=37,0.69,ROUND('Reference Standards'!$AO$131*E430^2+'Reference Standards'!$AO$132*E430+'Reference Standards'!$AO$133,2))),IF(OR(AND(OR('Quantification Tool R2'!$B$12="65abei",'Quantification Tool R2'!$B$12="74b"),'Quantification Tool R2'!$B$13&gt;2),AND('Quantification Tool R2'!$B$12="71i",'Quantification Tool R2'!$B$13&gt;2,'Quantification Tool R2'!$B$20="SQKICK")),IF(E430&lt;0,0,IF(E430&gt;42.6,0.69,ROUND('Reference Standards'!$AP$131*E430^2+'Reference Standards'!$AP$132*E430+'Reference Standards'!$AP$133,2))),     IF(OR(AND('Quantification Tool R2'!$B$12="65abei",'Quantification Tool R2'!$B$13&lt;=2),AND(OR('Quantification Tool R2'!$B$12="68c",'Quantification Tool R2'!$B$12="68d"),'Quantification Tool R2'!$B$19="July - December"),'Quantification Tool R2'!$B$12="71e"),IF(E430&lt;0,0,IF(E430&gt;=48,0.69,ROUND('Reference Standards'!$AL$171*E430^2+'Reference Standards'!$AL$172*E430+'Reference Standards'!$AL$173,2))),IF(OR('Quantification Tool R2'!$B$12="65j",'Quantification Tool R2'!$B$12="67fhi",'Quantification Tool R2'!$B$12="67g",AND('Quantification Tool R2'!$B$12="74a",'Quantification Tool R2'!$B$19="July - December",'Quantification Tool R2'!$B$13&gt;2),AND('Quantification Tool R2'!$B$12="71i",'Quantification Tool R2'!$B$13&lt;=2)),IF(E430&lt;0,0,IF(E430&gt;=53,0.69,ROUND('Reference Standards'!$AM$171*E430^2+'Reference Standards'!$AM$172*E430+'Reference Standards'!$AM$173,2))),IF(OR(AND(OR('Quantification Tool R2'!$B$12="68b",'Quantification Tool R2'!$B$12="71f",'Quantification Tool R2'!$B$12="71g",'Quantification Tool R2'!$B$12="71h"),'Quantification Tool R2'!$B$13&gt;2),'Quantification Tool R2'!$B$12="68a"),IF(E430&lt;0,0,IF(E430&gt;=57,0.69,ROUND('Reference Standards'!$AN$171*E430^2+'Reference Standards'!$AN$172*E430+'Reference Standards'!$AN$173,2))),IF(OR('Quantification Tool R2'!$B$12="66f",'Quantification Tool R2'!$B$12="66g",'Quantification Tool R2'!$B$12="66j",AND(OR('Quantification Tool R2'!$B$12="71f",'Quantification Tool R2'!$B$12="71g",'Quantification Tool R2'!$B$12="71h"),'Quantification Tool R2'!$B$13&lt;=2)),IF(E430&lt;0,0,IF(E430&gt;=60,0.69,ROUND('Reference Standards'!$AO$171*E430^2+'Reference Standards'!$AO$172*E430+'Reference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December")),IF(E430&lt;0,0,IF(E430&gt;=67.5,0.69,ROUND('Reference Standards'!$AP$171*E430^2+'Reference Standards'!$AP$172*E430+'Reference Standards'!$AP$173,2))),IF(AND('Quantification Tool R2'!$B$12="69de",'Quantification Tool R2'!$B$19="January - June"), IF(E430&lt;0,0,IF(E430&gt;=72,0.69,ROUND('Reference Standards'!$AQ$171*E430^2+'Reference Standards'!$AQ$172*E430+'Reference Standards'!$AQ$173,2))))   )))))))))))</f>
        <v/>
      </c>
      <c r="G430" s="531"/>
      <c r="H430" s="568"/>
      <c r="I430" s="519"/>
      <c r="J430" s="559"/>
      <c r="K430" s="555"/>
    </row>
    <row r="431" spans="1:12" ht="15.6" x14ac:dyDescent="0.3">
      <c r="A431" s="556"/>
      <c r="B431" s="562"/>
      <c r="C431" s="127" t="s">
        <v>336</v>
      </c>
      <c r="D431" s="71"/>
      <c r="E431" s="167"/>
      <c r="F431" s="346" t="str">
        <f>IF(E431="","",IF(OR('Quantification Tool R2'!$B$12="67fhi",'Quantification Tool R2'!$B$12="67g",'Quantification Tool R2'!$B$12="71e",'Quantification Tool R2'!$B$12="73a",'Quantification Tool R2'!$B$12="73b",AND(OR('Quantification Tool R2'!$B$12="71f",'Quantification Tool R2'!$B$12="71g",'Quantification Tool R2'!$B$12="71h"),'Quantification Tool R2'!$B$13&gt;2)),IF(E431&gt;100,0,IF(E431&lt;15,0.69,ROUND('Reference Standards'!$AL$208*E431^2+'Reference Standards'!$AL$209*E431+'Reference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),IF(E431&gt;100,0,IF(E431&lt;19,0.69,ROUND('Reference Standards'!$AM$208*E431^2+'Reference Standards'!$AM$209*E431+'Reference Standards'!$AM$210,2))),    IF(OR(AND('Quantification Tool R2'!$B$12="69de",'Quantification Tool R2'!$B$19="January - June"),AND('Quantification Tool R2'!$B$12="71i",'Quantification Tool R2'!$B$13&gt;2,'Quantification Tool R2'!$B$20="SQKICK" )),IF(E431&gt;100,0,IF(E431&lt;22,0.69,ROUND('Reference Standards'!$AN$208*E431^2+'Reference Standards'!$AN$209*E431+'Reference Standards'!$AN$210,2))),    IF(OR('Quantification Tool R2'!$B$12="65j",AND('Quantification Tool R2'!$B$12="68b",'Quantification Tool R2'!$B$13&gt;2)),IF(E431&gt;100,0,IF(E431&lt;24,0.69,ROUND('Reference Standards'!$AO$208*E431^2+'Reference Standards'!$AO$209*E431+'Reference Standards'!$AO$210,2))),    IF(AND(OR('Quantification Tool R2'!$B$12="65abei",'Quantification Tool R2'!$B$12="71f",'Quantification Tool R2'!$B$12="71g",'Quantification Tool R2'!$B$12="71h"),'Quantification Tool R2'!$B$13&lt;=2),IF(E431&gt;95,0,IF(E431&lt;33,0.69,ROUND('Reference Standards'!$AL$246*E431^2+'Reference Standards'!$AL$247*E431+'Reference Standards'!$AL$248,2))),   IF(AND(OR('Quantification Tool R2'!$B$12="65abei",'Quantification Tool R2'!$B$12="74b"),'Quantification Tool R2'!$B$13&gt;2),IF(E431&gt;97,0,IF(E431&lt;36,0.69,ROUND('Reference Standards'!$AM$246*E431^2+'Reference Standards'!$AM$247*E431+'Reference Standards'!$AM$248,2))),  IF(AND('Quantification Tool R2'!$B$12="74a",'Quantification Tool R2'!$B$19="January - June",'Quantification Tool R2'!$B$13&gt;2),IF(E431&gt;93,0,IF(E431&lt;52,0.69,ROUND('Reference Standards'!$AN$246*E431^2+'Reference Standards'!$AN$247*E431+'Reference Standards'!$AN$248,2))),   IF(AND('Quantification Tool R2'!$B$12="74b",'Quantification Tool R2'!$B$13&lt;=2),IF(E431&gt;97,0,IF(E431&lt;62,0.69,ROUND('Reference Standards'!$AO$246*E431^2+'Reference Standards'!$AO$247*E431+'Reference Standards'!$AO$248,2)))  )))))))))</f>
        <v/>
      </c>
      <c r="G431" s="531"/>
      <c r="H431" s="568"/>
      <c r="I431" s="519"/>
      <c r="J431" s="559"/>
      <c r="K431" s="555"/>
    </row>
    <row r="432" spans="1:12" ht="15.6" x14ac:dyDescent="0.3">
      <c r="A432" s="556"/>
      <c r="B432" s="563" t="s">
        <v>74</v>
      </c>
      <c r="C432" s="125" t="s">
        <v>211</v>
      </c>
      <c r="D432" s="126"/>
      <c r="E432" s="166"/>
      <c r="F432" s="345" t="str">
        <f>IF(E432="","",IF(E432=1,0.15,IF(E432=3,0.5,IF(E432=5,0.85,0))))</f>
        <v/>
      </c>
      <c r="G432" s="564" t="str">
        <f>IFERROR(AVERAGE(F432:F433),"")</f>
        <v/>
      </c>
      <c r="H432" s="568"/>
      <c r="I432" s="519"/>
      <c r="J432" s="559"/>
      <c r="K432" s="555"/>
    </row>
    <row r="433" spans="1:11" ht="15.6" x14ac:dyDescent="0.3">
      <c r="A433" s="551"/>
      <c r="B433" s="563"/>
      <c r="C433" s="127" t="s">
        <v>332</v>
      </c>
      <c r="D433" s="71"/>
      <c r="E433" s="167"/>
      <c r="F433" s="347" t="str">
        <f>IF(E433="","",IF(E433=1,0.15,IF(E433=3,0.5,IF(E433=5,0.85,0))))</f>
        <v/>
      </c>
      <c r="G433" s="565"/>
      <c r="H433" s="568"/>
      <c r="I433" s="519"/>
      <c r="J433" s="559"/>
      <c r="K433" s="555"/>
    </row>
  </sheetData>
  <sheetProtection password="9A90" sheet="1" objects="1" scenarios="1" selectLockedCells="1"/>
  <dataConsolidate/>
  <mergeCells count="364">
    <mergeCell ref="A1:F1"/>
    <mergeCell ref="G1:K1"/>
    <mergeCell ref="C2:D2"/>
    <mergeCell ref="A3:A4"/>
    <mergeCell ref="H3:H4"/>
    <mergeCell ref="I3:I4"/>
    <mergeCell ref="J3:J38"/>
    <mergeCell ref="K3:K38"/>
    <mergeCell ref="B9:B12"/>
    <mergeCell ref="G9:G12"/>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 ref="I33:I38"/>
    <mergeCell ref="B37:B38"/>
    <mergeCell ref="G37:G38"/>
    <mergeCell ref="H5:H6"/>
    <mergeCell ref="I5:I6"/>
    <mergeCell ref="A7:A28"/>
    <mergeCell ref="B7:B8"/>
    <mergeCell ref="G7:G8"/>
    <mergeCell ref="H7:H28"/>
    <mergeCell ref="I7:I28"/>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B76:B77"/>
    <mergeCell ref="G76:G77"/>
    <mergeCell ref="I44:I45"/>
    <mergeCell ref="A46:A67"/>
    <mergeCell ref="B46:B47"/>
    <mergeCell ref="G46:G47"/>
    <mergeCell ref="H46:H67"/>
    <mergeCell ref="I46:I67"/>
    <mergeCell ref="B48:B51"/>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115:B116"/>
    <mergeCell ref="G115:G116"/>
    <mergeCell ref="I83:I84"/>
    <mergeCell ref="A85:A106"/>
    <mergeCell ref="B85:B86"/>
    <mergeCell ref="G85:G86"/>
    <mergeCell ref="H85:H106"/>
    <mergeCell ref="I85:I106"/>
    <mergeCell ref="B87:B90"/>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54:B155"/>
    <mergeCell ref="G154:G155"/>
    <mergeCell ref="I122:I123"/>
    <mergeCell ref="A124:A145"/>
    <mergeCell ref="B124:B125"/>
    <mergeCell ref="G124:G125"/>
    <mergeCell ref="H124:H145"/>
    <mergeCell ref="I124:I145"/>
    <mergeCell ref="B126:B129"/>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93:B194"/>
    <mergeCell ref="G193:G194"/>
    <mergeCell ref="I161:I162"/>
    <mergeCell ref="A163:A184"/>
    <mergeCell ref="B163:B164"/>
    <mergeCell ref="G163:G164"/>
    <mergeCell ref="H163:H184"/>
    <mergeCell ref="I163:I184"/>
    <mergeCell ref="B165:B168"/>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232:B233"/>
    <mergeCell ref="G232:G233"/>
    <mergeCell ref="I200:I201"/>
    <mergeCell ref="A202:A223"/>
    <mergeCell ref="B202:B203"/>
    <mergeCell ref="G202:G203"/>
    <mergeCell ref="H202:H223"/>
    <mergeCell ref="I202:I223"/>
    <mergeCell ref="B204:B20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72:B273"/>
    <mergeCell ref="G272:G273"/>
    <mergeCell ref="I240:I241"/>
    <mergeCell ref="A242:A263"/>
    <mergeCell ref="B242:B243"/>
    <mergeCell ref="G242:G243"/>
    <mergeCell ref="H242:H263"/>
    <mergeCell ref="I242:I263"/>
    <mergeCell ref="B244:B24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312:B313"/>
    <mergeCell ref="G312:G313"/>
    <mergeCell ref="I280:I281"/>
    <mergeCell ref="A282:A303"/>
    <mergeCell ref="B282:B283"/>
    <mergeCell ref="G282:G283"/>
    <mergeCell ref="H282:H303"/>
    <mergeCell ref="I282:I303"/>
    <mergeCell ref="B284:B28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52:B353"/>
    <mergeCell ref="G352:G353"/>
    <mergeCell ref="I320:I321"/>
    <mergeCell ref="A322:A343"/>
    <mergeCell ref="B322:B323"/>
    <mergeCell ref="G322:G323"/>
    <mergeCell ref="H322:H343"/>
    <mergeCell ref="I322:I343"/>
    <mergeCell ref="B324:B32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92:B393"/>
    <mergeCell ref="G392:G393"/>
    <mergeCell ref="I360:I361"/>
    <mergeCell ref="A362:A383"/>
    <mergeCell ref="B362:B363"/>
    <mergeCell ref="G362:G363"/>
    <mergeCell ref="H362:H383"/>
    <mergeCell ref="I362:I383"/>
    <mergeCell ref="B364:B36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432:B433"/>
    <mergeCell ref="G432:G433"/>
    <mergeCell ref="I400:I401"/>
    <mergeCell ref="A402:A423"/>
    <mergeCell ref="B402:B403"/>
    <mergeCell ref="G402:G403"/>
    <mergeCell ref="H402:H423"/>
    <mergeCell ref="I402:I423"/>
    <mergeCell ref="B404:B407"/>
  </mergeCells>
  <conditionalFormatting sqref="A2:C2 L378:L384 L365:L372 L1:M4 G1 H39:K39 G40 M356:M359 E2:K2 M51:M65 L66:L78 L105:L115 L144:L156 L183:L195 L223:L235 L263:L273 L303:L313 L343:L355 M380:M393 M420:M434 D30:D31 L5:L37 L38:M50 L316:M326 L276:M286 L236:M246 L196:M206 L157:M167 L118:M128 L79:M89">
    <cfRule type="beginsWith" dxfId="8694" priority="4054" stopIfTrue="1" operator="beginsWith" text="Functioning At Risk">
      <formula>LEFT(A1,LEN("Functioning At Risk"))="Functioning At Risk"</formula>
    </cfRule>
    <cfRule type="beginsWith" dxfId="8693" priority="4055" stopIfTrue="1" operator="beginsWith" text="Not Functioning">
      <formula>LEFT(A1,LEN("Not Functioning"))="Not Functioning"</formula>
    </cfRule>
    <cfRule type="containsText" dxfId="8692" priority="4056" operator="containsText" text="Functioning">
      <formula>NOT(ISERROR(SEARCH("Functioning",A1)))</formula>
    </cfRule>
  </conditionalFormatting>
  <conditionalFormatting sqref="G79 M90:M104">
    <cfRule type="beginsWith" dxfId="8691" priority="4051" stopIfTrue="1" operator="beginsWith" text="Functioning At Risk">
      <formula>LEFT(G79,LEN("Functioning At Risk"))="Functioning At Risk"</formula>
    </cfRule>
    <cfRule type="beginsWith" dxfId="8690" priority="4052" stopIfTrue="1" operator="beginsWith" text="Not Functioning">
      <formula>LEFT(G79,LEN("Not Functioning"))="Not Functioning"</formula>
    </cfRule>
    <cfRule type="containsText" dxfId="8689" priority="4053" operator="containsText" text="Functioning">
      <formula>NOT(ISERROR(SEARCH("Functioning",G79)))</formula>
    </cfRule>
  </conditionalFormatting>
  <conditionalFormatting sqref="G196 M207:M222">
    <cfRule type="beginsWith" dxfId="8688" priority="4039" stopIfTrue="1" operator="beginsWith" text="Functioning At Risk">
      <formula>LEFT(G196,LEN("Functioning At Risk"))="Functioning At Risk"</formula>
    </cfRule>
    <cfRule type="beginsWith" dxfId="8687" priority="4040" stopIfTrue="1" operator="beginsWith" text="Not Functioning">
      <formula>LEFT(G196,LEN("Not Functioning"))="Not Functioning"</formula>
    </cfRule>
    <cfRule type="containsText" dxfId="8686" priority="4041" operator="containsText" text="Functioning">
      <formula>NOT(ISERROR(SEARCH("Functioning",G196)))</formula>
    </cfRule>
  </conditionalFormatting>
  <conditionalFormatting sqref="L116:L117">
    <cfRule type="beginsWith" dxfId="8685" priority="4048" stopIfTrue="1" operator="beginsWith" text="Functioning At Risk">
      <formula>LEFT(L116,LEN("Functioning At Risk"))="Functioning At Risk"</formula>
    </cfRule>
    <cfRule type="beginsWith" dxfId="8684" priority="4049" stopIfTrue="1" operator="beginsWith" text="Not Functioning">
      <formula>LEFT(L116,LEN("Not Functioning"))="Not Functioning"</formula>
    </cfRule>
    <cfRule type="containsText" dxfId="8683" priority="4050" operator="containsText" text="Functioning">
      <formula>NOT(ISERROR(SEARCH("Functioning",L116)))</formula>
    </cfRule>
  </conditionalFormatting>
  <conditionalFormatting sqref="G118 M129:M143">
    <cfRule type="beginsWith" dxfId="8682" priority="4045" stopIfTrue="1" operator="beginsWith" text="Functioning At Risk">
      <formula>LEFT(G118,LEN("Functioning At Risk"))="Functioning At Risk"</formula>
    </cfRule>
    <cfRule type="beginsWith" dxfId="8681" priority="4046" stopIfTrue="1" operator="beginsWith" text="Not Functioning">
      <formula>LEFT(G118,LEN("Not Functioning"))="Not Functioning"</formula>
    </cfRule>
    <cfRule type="containsText" dxfId="8680" priority="4047" operator="containsText" text="Functioning">
      <formula>NOT(ISERROR(SEARCH("Functioning",G118)))</formula>
    </cfRule>
  </conditionalFormatting>
  <conditionalFormatting sqref="G157 M168:M182">
    <cfRule type="beginsWith" dxfId="8679" priority="4042" stopIfTrue="1" operator="beginsWith" text="Functioning At Risk">
      <formula>LEFT(G157,LEN("Functioning At Risk"))="Functioning At Risk"</formula>
    </cfRule>
    <cfRule type="beginsWith" dxfId="8678" priority="4043" stopIfTrue="1" operator="beginsWith" text="Not Functioning">
      <formula>LEFT(G157,LEN("Not Functioning"))="Not Functioning"</formula>
    </cfRule>
    <cfRule type="containsText" dxfId="8677" priority="4044" operator="containsText" text="Functioning">
      <formula>NOT(ISERROR(SEARCH("Functioning",G157)))</formula>
    </cfRule>
  </conditionalFormatting>
  <conditionalFormatting sqref="G236 M247:M262">
    <cfRule type="beginsWith" dxfId="8676" priority="4036" stopIfTrue="1" operator="beginsWith" text="Functioning At Risk">
      <formula>LEFT(G236,LEN("Functioning At Risk"))="Functioning At Risk"</formula>
    </cfRule>
    <cfRule type="beginsWith" dxfId="8675" priority="4037" stopIfTrue="1" operator="beginsWith" text="Not Functioning">
      <formula>LEFT(G236,LEN("Not Functioning"))="Not Functioning"</formula>
    </cfRule>
    <cfRule type="containsText" dxfId="8674" priority="4038" operator="containsText" text="Functioning">
      <formula>NOT(ISERROR(SEARCH("Functioning",G236)))</formula>
    </cfRule>
  </conditionalFormatting>
  <conditionalFormatting sqref="L274:L275">
    <cfRule type="beginsWith" dxfId="8673" priority="4033" stopIfTrue="1" operator="beginsWith" text="Functioning At Risk">
      <formula>LEFT(L274,LEN("Functioning At Risk"))="Functioning At Risk"</formula>
    </cfRule>
    <cfRule type="beginsWith" dxfId="8672" priority="4034" stopIfTrue="1" operator="beginsWith" text="Not Functioning">
      <formula>LEFT(L274,LEN("Not Functioning"))="Not Functioning"</formula>
    </cfRule>
    <cfRule type="containsText" dxfId="8671" priority="4035" operator="containsText" text="Functioning">
      <formula>NOT(ISERROR(SEARCH("Functioning",L274)))</formula>
    </cfRule>
  </conditionalFormatting>
  <conditionalFormatting sqref="G276 M287:M302">
    <cfRule type="beginsWith" dxfId="8670" priority="4030" stopIfTrue="1" operator="beginsWith" text="Functioning At Risk">
      <formula>LEFT(G276,LEN("Functioning At Risk"))="Functioning At Risk"</formula>
    </cfRule>
    <cfRule type="beginsWith" dxfId="8669" priority="4031" stopIfTrue="1" operator="beginsWith" text="Not Functioning">
      <formula>LEFT(G276,LEN("Not Functioning"))="Not Functioning"</formula>
    </cfRule>
    <cfRule type="containsText" dxfId="8668" priority="4032" operator="containsText" text="Functioning">
      <formula>NOT(ISERROR(SEARCH("Functioning",G276)))</formula>
    </cfRule>
  </conditionalFormatting>
  <conditionalFormatting sqref="L314:L315">
    <cfRule type="beginsWith" dxfId="8667" priority="4027" stopIfTrue="1" operator="beginsWith" text="Functioning At Risk">
      <formula>LEFT(L314,LEN("Functioning At Risk"))="Functioning At Risk"</formula>
    </cfRule>
    <cfRule type="beginsWith" dxfId="8666" priority="4028" stopIfTrue="1" operator="beginsWith" text="Not Functioning">
      <formula>LEFT(L314,LEN("Not Functioning"))="Not Functioning"</formula>
    </cfRule>
    <cfRule type="containsText" dxfId="8665" priority="4029" operator="containsText" text="Functioning">
      <formula>NOT(ISERROR(SEARCH("Functioning",L314)))</formula>
    </cfRule>
  </conditionalFormatting>
  <conditionalFormatting sqref="G316 M327:M342">
    <cfRule type="beginsWith" dxfId="8664" priority="4024" stopIfTrue="1" operator="beginsWith" text="Functioning At Risk">
      <formula>LEFT(G316,LEN("Functioning At Risk"))="Functioning At Risk"</formula>
    </cfRule>
    <cfRule type="beginsWith" dxfId="8663" priority="4025" stopIfTrue="1" operator="beginsWith" text="Not Functioning">
      <formula>LEFT(G316,LEN("Not Functioning"))="Not Functioning"</formula>
    </cfRule>
    <cfRule type="containsText" dxfId="8662" priority="4026" operator="containsText" text="Functioning">
      <formula>NOT(ISERROR(SEARCH("Functioning",G316)))</formula>
    </cfRule>
  </conditionalFormatting>
  <conditionalFormatting sqref="G356">
    <cfRule type="beginsWith" dxfId="8661" priority="4021" stopIfTrue="1" operator="beginsWith" text="Functioning At Risk">
      <formula>LEFT(G356,LEN("Functioning At Risk"))="Functioning At Risk"</formula>
    </cfRule>
    <cfRule type="beginsWith" dxfId="8660" priority="4022" stopIfTrue="1" operator="beginsWith" text="Not Functioning">
      <formula>LEFT(G356,LEN("Not Functioning"))="Not Functioning"</formula>
    </cfRule>
    <cfRule type="containsText" dxfId="8659" priority="4023" operator="containsText" text="Functioning">
      <formula>NOT(ISERROR(SEARCH("Functioning",G356)))</formula>
    </cfRule>
  </conditionalFormatting>
  <conditionalFormatting sqref="L418:L424 L405:L412 M396:M399 L394:L395">
    <cfRule type="beginsWith" dxfId="8658" priority="4018" stopIfTrue="1" operator="beginsWith" text="Functioning At Risk">
      <formula>LEFT(L394,LEN("Functioning At Risk"))="Functioning At Risk"</formula>
    </cfRule>
    <cfRule type="beginsWith" dxfId="8657" priority="4019" stopIfTrue="1" operator="beginsWith" text="Not Functioning">
      <formula>LEFT(L394,LEN("Not Functioning"))="Not Functioning"</formula>
    </cfRule>
    <cfRule type="containsText" dxfId="8656" priority="4020" operator="containsText" text="Functioning">
      <formula>NOT(ISERROR(SEARCH("Functioning",L394)))</formula>
    </cfRule>
  </conditionalFormatting>
  <conditionalFormatting sqref="G396">
    <cfRule type="beginsWith" dxfId="8655" priority="4015" stopIfTrue="1" operator="beginsWith" text="Functioning At Risk">
      <formula>LEFT(G396,LEN("Functioning At Risk"))="Functioning At Risk"</formula>
    </cfRule>
    <cfRule type="beginsWith" dxfId="8654" priority="4016" stopIfTrue="1" operator="beginsWith" text="Not Functioning">
      <formula>LEFT(G396,LEN("Not Functioning"))="Not Functioning"</formula>
    </cfRule>
    <cfRule type="containsText" dxfId="8653" priority="4017" operator="containsText" text="Functioning">
      <formula>NOT(ISERROR(SEARCH("Functioning",G396)))</formula>
    </cfRule>
  </conditionalFormatting>
  <conditionalFormatting sqref="I33:I37 B31:B32 D21 B24 A5:B5 A33:B35 H7:I8 H5:I5 H3:K4 A7:B7 A36:A37 D13:D15 B28:B29 A8 D33:D36 D5:D8 D24:D28">
    <cfRule type="beginsWith" dxfId="8652" priority="4012" stopIfTrue="1" operator="beginsWith" text="Functioning At Risk">
      <formula>LEFT(A3,LEN("Functioning At Risk"))="Functioning At Risk"</formula>
    </cfRule>
    <cfRule type="beginsWith" dxfId="8651" priority="4013" stopIfTrue="1" operator="beginsWith" text="Not Functioning">
      <formula>LEFT(A3,LEN("Not Functioning"))="Not Functioning"</formula>
    </cfRule>
    <cfRule type="containsText" dxfId="8650" priority="4014" operator="containsText" text="Functioning">
      <formula>NOT(ISERROR(SEARCH("Functioning",A3)))</formula>
    </cfRule>
  </conditionalFormatting>
  <conditionalFormatting sqref="D16">
    <cfRule type="beginsWith" dxfId="8649" priority="4006" stopIfTrue="1" operator="beginsWith" text="Functioning At Risk">
      <formula>LEFT(D16,LEN("Functioning At Risk"))="Functioning At Risk"</formula>
    </cfRule>
    <cfRule type="beginsWith" dxfId="8648" priority="4007" stopIfTrue="1" operator="beginsWith" text="Not Functioning">
      <formula>LEFT(D16,LEN("Not Functioning"))="Not Functioning"</formula>
    </cfRule>
    <cfRule type="containsText" dxfId="8647" priority="4008" operator="containsText" text="Functioning">
      <formula>NOT(ISERROR(SEARCH("Functioning",D16)))</formula>
    </cfRule>
  </conditionalFormatting>
  <conditionalFormatting sqref="D22">
    <cfRule type="beginsWith" dxfId="8646" priority="4003" stopIfTrue="1" operator="beginsWith" text="Functioning At Risk">
      <formula>LEFT(D22,LEN("Functioning At Risk"))="Functioning At Risk"</formula>
    </cfRule>
    <cfRule type="beginsWith" dxfId="8645" priority="4004" stopIfTrue="1" operator="beginsWith" text="Not Functioning">
      <formula>LEFT(D22,LEN("Not Functioning"))="Not Functioning"</formula>
    </cfRule>
    <cfRule type="containsText" dxfId="8644" priority="4005" operator="containsText" text="Functioning">
      <formula>NOT(ISERROR(SEARCH("Functioning",D22)))</formula>
    </cfRule>
  </conditionalFormatting>
  <conditionalFormatting sqref="D23">
    <cfRule type="beginsWith" dxfId="8643" priority="4000" stopIfTrue="1" operator="beginsWith" text="Functioning At Risk">
      <formula>LEFT(D23,LEN("Functioning At Risk"))="Functioning At Risk"</formula>
    </cfRule>
    <cfRule type="beginsWith" dxfId="8642" priority="4001" stopIfTrue="1" operator="beginsWith" text="Not Functioning">
      <formula>LEFT(D23,LEN("Not Functioning"))="Not Functioning"</formula>
    </cfRule>
    <cfRule type="containsText" dxfId="8641" priority="4002" operator="containsText" text="Functioning">
      <formula>NOT(ISERROR(SEARCH("Functioning",D23)))</formula>
    </cfRule>
  </conditionalFormatting>
  <conditionalFormatting sqref="D17:D20">
    <cfRule type="beginsWith" dxfId="8640" priority="3997" stopIfTrue="1" operator="beginsWith" text="Functioning At Risk">
      <formula>LEFT(D17,LEN("Functioning At Risk"))="Functioning At Risk"</formula>
    </cfRule>
    <cfRule type="beginsWith" dxfId="8639" priority="3998" stopIfTrue="1" operator="beginsWith" text="Not Functioning">
      <formula>LEFT(D17,LEN("Not Functioning"))="Not Functioning"</formula>
    </cfRule>
    <cfRule type="containsText" dxfId="8638" priority="3999" operator="containsText" text="Functioning">
      <formula>NOT(ISERROR(SEARCH("Functioning",D17)))</formula>
    </cfRule>
  </conditionalFormatting>
  <conditionalFormatting sqref="A29">
    <cfRule type="beginsWith" dxfId="8637" priority="3994" stopIfTrue="1" operator="beginsWith" text="Functioning At Risk">
      <formula>LEFT(A29,LEN("Functioning At Risk"))="Functioning At Risk"</formula>
    </cfRule>
    <cfRule type="beginsWith" dxfId="8636" priority="3995" stopIfTrue="1" operator="beginsWith" text="Not Functioning">
      <formula>LEFT(A29,LEN("Not Functioning"))="Not Functioning"</formula>
    </cfRule>
    <cfRule type="containsText" dxfId="8635" priority="3996" operator="containsText" text="Functioning">
      <formula>NOT(ISERROR(SEARCH("Functioning",A29)))</formula>
    </cfRule>
  </conditionalFormatting>
  <conditionalFormatting sqref="H29">
    <cfRule type="beginsWith" dxfId="8634" priority="3991" stopIfTrue="1" operator="beginsWith" text="Functioning At Risk">
      <formula>LEFT(H29,LEN("Functioning At Risk"))="Functioning At Risk"</formula>
    </cfRule>
    <cfRule type="beginsWith" dxfId="8633" priority="3992" stopIfTrue="1" operator="beginsWith" text="Not Functioning">
      <formula>LEFT(H29,LEN("Not Functioning"))="Not Functioning"</formula>
    </cfRule>
    <cfRule type="containsText" dxfId="8632" priority="3993" operator="containsText" text="Functioning">
      <formula>NOT(ISERROR(SEARCH("Functioning",H29)))</formula>
    </cfRule>
  </conditionalFormatting>
  <conditionalFormatting sqref="I29">
    <cfRule type="beginsWith" dxfId="8631" priority="3988" stopIfTrue="1" operator="beginsWith" text="Functioning At Risk">
      <formula>LEFT(I29,LEN("Functioning At Risk"))="Functioning At Risk"</formula>
    </cfRule>
    <cfRule type="beginsWith" dxfId="8630" priority="3989" stopIfTrue="1" operator="beginsWith" text="Not Functioning">
      <formula>LEFT(I29,LEN("Not Functioning"))="Not Functioning"</formula>
    </cfRule>
    <cfRule type="containsText" dxfId="8629" priority="3990" operator="containsText" text="Functioning">
      <formula>NOT(ISERROR(SEARCH("Functioning",I29)))</formula>
    </cfRule>
  </conditionalFormatting>
  <conditionalFormatting sqref="D37">
    <cfRule type="beginsWith" dxfId="8628" priority="3985" stopIfTrue="1" operator="beginsWith" text="Functioning At Risk">
      <formula>LEFT(D37,LEN("Functioning At Risk"))="Functioning At Risk"</formula>
    </cfRule>
    <cfRule type="beginsWith" dxfId="8627" priority="3986" stopIfTrue="1" operator="beginsWith" text="Not Functioning">
      <formula>LEFT(D37,LEN("Not Functioning"))="Not Functioning"</formula>
    </cfRule>
    <cfRule type="containsText" dxfId="8626" priority="3987" operator="containsText" text="Functioning">
      <formula>NOT(ISERROR(SEARCH("Functioning",D37)))</formula>
    </cfRule>
  </conditionalFormatting>
  <conditionalFormatting sqref="D38">
    <cfRule type="beginsWith" dxfId="8625" priority="3982" stopIfTrue="1" operator="beginsWith" text="Functioning At Risk">
      <formula>LEFT(D38,LEN("Functioning At Risk"))="Functioning At Risk"</formula>
    </cfRule>
    <cfRule type="beginsWith" dxfId="8624" priority="3983" stopIfTrue="1" operator="beginsWith" text="Not Functioning">
      <formula>LEFT(D38,LEN("Not Functioning"))="Not Functioning"</formula>
    </cfRule>
    <cfRule type="containsText" dxfId="8623" priority="3984" operator="containsText" text="Functioning">
      <formula>NOT(ISERROR(SEARCH("Functioning",D38)))</formula>
    </cfRule>
  </conditionalFormatting>
  <conditionalFormatting sqref="B37">
    <cfRule type="beginsWith" dxfId="8622" priority="3979" stopIfTrue="1" operator="beginsWith" text="Functioning At Risk">
      <formula>LEFT(B37,LEN("Functioning At Risk"))="Functioning At Risk"</formula>
    </cfRule>
    <cfRule type="beginsWith" dxfId="8621" priority="3980" stopIfTrue="1" operator="beginsWith" text="Not Functioning">
      <formula>LEFT(B37,LEN("Not Functioning"))="Not Functioning"</formula>
    </cfRule>
    <cfRule type="containsText" dxfId="8620" priority="3981" operator="containsText" text="Functioning">
      <formula>NOT(ISERROR(SEARCH("Functioning",B37)))</formula>
    </cfRule>
  </conditionalFormatting>
  <conditionalFormatting sqref="B13">
    <cfRule type="beginsWith" dxfId="8619" priority="3973" stopIfTrue="1" operator="beginsWith" text="Functioning At Risk">
      <formula>LEFT(B13,LEN("Functioning At Risk"))="Functioning At Risk"</formula>
    </cfRule>
    <cfRule type="beginsWith" dxfId="8618" priority="3974" stopIfTrue="1" operator="beginsWith" text="Not Functioning">
      <formula>LEFT(B13,LEN("Not Functioning"))="Not Functioning"</formula>
    </cfRule>
    <cfRule type="containsText" dxfId="8617" priority="3975" operator="containsText" text="Functioning">
      <formula>NOT(ISERROR(SEARCH("Functioning",B13)))</formula>
    </cfRule>
  </conditionalFormatting>
  <conditionalFormatting sqref="E27:E28">
    <cfRule type="beginsWith" dxfId="8616" priority="3495" stopIfTrue="1" operator="beginsWith" text="Functioning At Risk">
      <formula>LEFT(E27,LEN("Functioning At Risk"))="Functioning At Risk"</formula>
    </cfRule>
    <cfRule type="beginsWith" dxfId="8615" priority="3496" stopIfTrue="1" operator="beginsWith" text="Not Functioning">
      <formula>LEFT(E27,LEN("Not Functioning"))="Not Functioning"</formula>
    </cfRule>
    <cfRule type="containsText" dxfId="8614" priority="3497" operator="containsText" text="Functioning">
      <formula>NOT(ISERROR(SEARCH("Functioning",E27)))</formula>
    </cfRule>
  </conditionalFormatting>
  <conditionalFormatting sqref="E37 E5:E6 E29">
    <cfRule type="beginsWith" dxfId="8613" priority="3511" stopIfTrue="1" operator="beginsWith" text="Functioning At Risk">
      <formula>LEFT(E5,LEN("Functioning At Risk"))="Functioning At Risk"</formula>
    </cfRule>
    <cfRule type="beginsWith" dxfId="8612" priority="3512" stopIfTrue="1" operator="beginsWith" text="Not Functioning">
      <formula>LEFT(E5,LEN("Not Functioning"))="Not Functioning"</formula>
    </cfRule>
    <cfRule type="containsText" dxfId="8611" priority="3513" operator="containsText" text="Functioning">
      <formula>NOT(ISERROR(SEARCH("Functioning",E5)))</formula>
    </cfRule>
  </conditionalFormatting>
  <conditionalFormatting sqref="E38">
    <cfRule type="beginsWith" dxfId="8610" priority="3508" stopIfTrue="1" operator="beginsWith" text="Functioning At Risk">
      <formula>LEFT(E38,LEN("Functioning At Risk"))="Functioning At Risk"</formula>
    </cfRule>
    <cfRule type="beginsWith" dxfId="8609" priority="3509" stopIfTrue="1" operator="beginsWith" text="Not Functioning">
      <formula>LEFT(E38,LEN("Not Functioning"))="Not Functioning"</formula>
    </cfRule>
    <cfRule type="containsText" dxfId="8608" priority="3510" operator="containsText" text="Functioning">
      <formula>NOT(ISERROR(SEARCH("Functioning",E38)))</formula>
    </cfRule>
  </conditionalFormatting>
  <conditionalFormatting sqref="E29">
    <cfRule type="expression" dxfId="8607" priority="3503">
      <formula>B1048488="Level 4 - Physicochemical"</formula>
    </cfRule>
    <cfRule type="expression" dxfId="8606" priority="3507">
      <formula>B1048488="Level 5 - Biology"</formula>
    </cfRule>
  </conditionalFormatting>
  <conditionalFormatting sqref="E31">
    <cfRule type="expression" dxfId="8605" priority="3502">
      <formula>B1048488="Level 4 - Physicochemical"</formula>
    </cfRule>
    <cfRule type="expression" dxfId="8604" priority="3506">
      <formula>B1048488="Level 5 - Biology"</formula>
    </cfRule>
  </conditionalFormatting>
  <conditionalFormatting sqref="E32">
    <cfRule type="expression" dxfId="8603" priority="3501">
      <formula>B1048488="Level 4 - Physicochemical"</formula>
    </cfRule>
    <cfRule type="expression" dxfId="8602" priority="3505">
      <formula>B1048488="Level 5 - Biology"</formula>
    </cfRule>
  </conditionalFormatting>
  <conditionalFormatting sqref="E38">
    <cfRule type="expression" dxfId="8601" priority="3504">
      <formula>B1048488="Level 5 - Biology"</formula>
    </cfRule>
  </conditionalFormatting>
  <conditionalFormatting sqref="E30">
    <cfRule type="expression" dxfId="8600" priority="3517">
      <formula>B1048489="Level 4 - Physicochemical"</formula>
    </cfRule>
    <cfRule type="expression" dxfId="8599" priority="3518">
      <formula>B1048489="Level 5 - Biology"</formula>
    </cfRule>
  </conditionalFormatting>
  <conditionalFormatting sqref="E37">
    <cfRule type="expression" dxfId="8598" priority="3519">
      <formula>B1048490="Level 5 - Biology"</formula>
    </cfRule>
  </conditionalFormatting>
  <conditionalFormatting sqref="E36">
    <cfRule type="expression" dxfId="8597" priority="3490">
      <formula>B1048418="Level 5 - Biology"</formula>
    </cfRule>
  </conditionalFormatting>
  <conditionalFormatting sqref="E33:E36">
    <cfRule type="beginsWith" dxfId="8596" priority="3487" stopIfTrue="1" operator="beginsWith" text="Functioning At Risk">
      <formula>LEFT(E33,LEN("Functioning At Risk"))="Functioning At Risk"</formula>
    </cfRule>
    <cfRule type="beginsWith" dxfId="8595" priority="3488" stopIfTrue="1" operator="beginsWith" text="Not Functioning">
      <formula>LEFT(E33,LEN("Not Functioning"))="Not Functioning"</formula>
    </cfRule>
    <cfRule type="containsText" dxfId="8594" priority="3489" operator="containsText" text="Functioning">
      <formula>NOT(ISERROR(SEARCH("Functioning",E33)))</formula>
    </cfRule>
  </conditionalFormatting>
  <conditionalFormatting sqref="E33:E35">
    <cfRule type="expression" dxfId="8593" priority="3491">
      <formula>B1048417="Level 5 - Biology"</formula>
    </cfRule>
  </conditionalFormatting>
  <conditionalFormatting sqref="C13:C15 C30:C31 C24:C25 C36 C28 C5:C8 C33:C34">
    <cfRule type="beginsWith" dxfId="8592" priority="3094" stopIfTrue="1" operator="beginsWith" text="Functioning At Risk">
      <formula>LEFT(C5,LEN("Functioning At Risk"))="Functioning At Risk"</formula>
    </cfRule>
    <cfRule type="beginsWith" dxfId="8591" priority="3095" stopIfTrue="1" operator="beginsWith" text="Not Functioning">
      <formula>LEFT(C5,LEN("Not Functioning"))="Not Functioning"</formula>
    </cfRule>
    <cfRule type="containsText" dxfId="8590" priority="3096" operator="containsText" text="Functioning">
      <formula>NOT(ISERROR(SEARCH("Functioning",C5)))</formula>
    </cfRule>
  </conditionalFormatting>
  <conditionalFormatting sqref="C16">
    <cfRule type="beginsWith" dxfId="8589" priority="3091" stopIfTrue="1" operator="beginsWith" text="Functioning At Risk">
      <formula>LEFT(C16,LEN("Functioning At Risk"))="Functioning At Risk"</formula>
    </cfRule>
    <cfRule type="beginsWith" dxfId="8588" priority="3092" stopIfTrue="1" operator="beginsWith" text="Not Functioning">
      <formula>LEFT(C16,LEN("Not Functioning"))="Not Functioning"</formula>
    </cfRule>
    <cfRule type="containsText" dxfId="8587" priority="3093" operator="containsText" text="Functioning">
      <formula>NOT(ISERROR(SEARCH("Functioning",C16)))</formula>
    </cfRule>
  </conditionalFormatting>
  <conditionalFormatting sqref="C23">
    <cfRule type="beginsWith" dxfId="8586" priority="3088" stopIfTrue="1" operator="beginsWith" text="Functioning At Risk">
      <formula>LEFT(C23,LEN("Functioning At Risk"))="Functioning At Risk"</formula>
    </cfRule>
    <cfRule type="beginsWith" dxfId="8585" priority="3089" stopIfTrue="1" operator="beginsWith" text="Not Functioning">
      <formula>LEFT(C23,LEN("Not Functioning"))="Not Functioning"</formula>
    </cfRule>
    <cfRule type="containsText" dxfId="8584" priority="3090" operator="containsText" text="Functioning">
      <formula>NOT(ISERROR(SEARCH("Functioning",C23)))</formula>
    </cfRule>
  </conditionalFormatting>
  <conditionalFormatting sqref="C17:C20">
    <cfRule type="beginsWith" dxfId="8583" priority="3085" stopIfTrue="1" operator="beginsWith" text="Functioning At Risk">
      <formula>LEFT(C17,LEN("Functioning At Risk"))="Functioning At Risk"</formula>
    </cfRule>
    <cfRule type="beginsWith" dxfId="8582" priority="3086" stopIfTrue="1" operator="beginsWith" text="Not Functioning">
      <formula>LEFT(C17,LEN("Not Functioning"))="Not Functioning"</formula>
    </cfRule>
    <cfRule type="containsText" dxfId="8581" priority="3087" operator="containsText" text="Functioning">
      <formula>NOT(ISERROR(SEARCH("Functioning",C17)))</formula>
    </cfRule>
  </conditionalFormatting>
  <conditionalFormatting sqref="C26">
    <cfRule type="beginsWith" dxfId="8580" priority="3082" stopIfTrue="1" operator="beginsWith" text="Functioning At Risk">
      <formula>LEFT(C26,LEN("Functioning At Risk"))="Functioning At Risk"</formula>
    </cfRule>
    <cfRule type="beginsWith" dxfId="8579" priority="3083" stopIfTrue="1" operator="beginsWith" text="Not Functioning">
      <formula>LEFT(C26,LEN("Not Functioning"))="Not Functioning"</formula>
    </cfRule>
    <cfRule type="containsText" dxfId="8578" priority="3084" operator="containsText" text="Functioning">
      <formula>NOT(ISERROR(SEARCH("Functioning",C26)))</formula>
    </cfRule>
  </conditionalFormatting>
  <conditionalFormatting sqref="C27">
    <cfRule type="beginsWith" dxfId="8577" priority="3079" stopIfTrue="1" operator="beginsWith" text="Functioning At Risk">
      <formula>LEFT(C27,LEN("Functioning At Risk"))="Functioning At Risk"</formula>
    </cfRule>
    <cfRule type="beginsWith" dxfId="8576" priority="3080" stopIfTrue="1" operator="beginsWith" text="Not Functioning">
      <formula>LEFT(C27,LEN("Not Functioning"))="Not Functioning"</formula>
    </cfRule>
    <cfRule type="containsText" dxfId="8575" priority="3081" operator="containsText" text="Functioning">
      <formula>NOT(ISERROR(SEARCH("Functioning",C27)))</formula>
    </cfRule>
  </conditionalFormatting>
  <conditionalFormatting sqref="C38">
    <cfRule type="beginsWith" dxfId="8574" priority="3073" stopIfTrue="1" operator="beginsWith" text="Functioning At Risk">
      <formula>LEFT(C38,LEN("Functioning At Risk"))="Functioning At Risk"</formula>
    </cfRule>
    <cfRule type="beginsWith" dxfId="8573" priority="3074" stopIfTrue="1" operator="beginsWith" text="Not Functioning">
      <formula>LEFT(C38,LEN("Not Functioning"))="Not Functioning"</formula>
    </cfRule>
    <cfRule type="containsText" dxfId="8572" priority="3075" operator="containsText" text="Functioning">
      <formula>NOT(ISERROR(SEARCH("Functioning",C38)))</formula>
    </cfRule>
  </conditionalFormatting>
  <conditionalFormatting sqref="C37">
    <cfRule type="beginsWith" dxfId="8571" priority="3076" stopIfTrue="1" operator="beginsWith" text="Functioning At Risk">
      <formula>LEFT(C37,LEN("Functioning At Risk"))="Functioning At Risk"</formula>
    </cfRule>
    <cfRule type="beginsWith" dxfId="8570" priority="3077" stopIfTrue="1" operator="beginsWith" text="Not Functioning">
      <formula>LEFT(C37,LEN("Not Functioning"))="Not Functioning"</formula>
    </cfRule>
    <cfRule type="containsText" dxfId="8569" priority="3078" operator="containsText" text="Functioning">
      <formula>NOT(ISERROR(SEARCH("Functioning",C37)))</formula>
    </cfRule>
  </conditionalFormatting>
  <conditionalFormatting sqref="C35">
    <cfRule type="beginsWith" dxfId="8568" priority="3070" stopIfTrue="1" operator="beginsWith" text="Functioning At Risk">
      <formula>LEFT(C35,LEN("Functioning At Risk"))="Functioning At Risk"</formula>
    </cfRule>
    <cfRule type="beginsWith" dxfId="8567" priority="3071" stopIfTrue="1" operator="beginsWith" text="Not Functioning">
      <formula>LEFT(C35,LEN("Not Functioning"))="Not Functioning"</formula>
    </cfRule>
    <cfRule type="containsText" dxfId="8566" priority="3072" operator="containsText" text="Functioning">
      <formula>NOT(ISERROR(SEARCH("Functioning",C35)))</formula>
    </cfRule>
  </conditionalFormatting>
  <conditionalFormatting sqref="C21:C22">
    <cfRule type="beginsWith" dxfId="8565" priority="3067" stopIfTrue="1" operator="beginsWith" text="Functioning At Risk">
      <formula>LEFT(C21,LEN("Functioning At Risk"))="Functioning At Risk"</formula>
    </cfRule>
    <cfRule type="beginsWith" dxfId="8564" priority="3068" stopIfTrue="1" operator="beginsWith" text="Not Functioning">
      <formula>LEFT(C21,LEN("Not Functioning"))="Not Functioning"</formula>
    </cfRule>
    <cfRule type="containsText" dxfId="8563" priority="3069" operator="containsText" text="Functioning">
      <formula>NOT(ISERROR(SEARCH("Functioning",C21)))</formula>
    </cfRule>
  </conditionalFormatting>
  <conditionalFormatting sqref="E24">
    <cfRule type="beginsWith" dxfId="8562" priority="2620" stopIfTrue="1" operator="beginsWith" text="Functioning At Risk">
      <formula>LEFT(E24,LEN("Functioning At Risk"))="Functioning At Risk"</formula>
    </cfRule>
    <cfRule type="beginsWith" dxfId="8561" priority="2621" stopIfTrue="1" operator="beginsWith" text="Not Functioning">
      <formula>LEFT(E24,LEN("Not Functioning"))="Not Functioning"</formula>
    </cfRule>
    <cfRule type="containsText" dxfId="8560" priority="2622" operator="containsText" text="Functioning">
      <formula>NOT(ISERROR(SEARCH("Functioning",E24)))</formula>
    </cfRule>
  </conditionalFormatting>
  <conditionalFormatting sqref="E26">
    <cfRule type="beginsWith" dxfId="8559" priority="2614" stopIfTrue="1" operator="beginsWith" text="Functioning At Risk">
      <formula>LEFT(E26,LEN("Functioning At Risk"))="Functioning At Risk"</formula>
    </cfRule>
    <cfRule type="beginsWith" dxfId="8558" priority="2615" stopIfTrue="1" operator="beginsWith" text="Not Functioning">
      <formula>LEFT(E26,LEN("Not Functioning"))="Not Functioning"</formula>
    </cfRule>
    <cfRule type="containsText" dxfId="8557" priority="2616" operator="containsText" text="Functioning">
      <formula>NOT(ISERROR(SEARCH("Functioning",E26)))</formula>
    </cfRule>
  </conditionalFormatting>
  <conditionalFormatting sqref="E13:E15">
    <cfRule type="beginsWith" dxfId="8556" priority="2413" stopIfTrue="1" operator="beginsWith" text="Functioning At Risk">
      <formula>LEFT(E13,LEN("Functioning At Risk"))="Functioning At Risk"</formula>
    </cfRule>
    <cfRule type="beginsWith" dxfId="8555" priority="2414" stopIfTrue="1" operator="beginsWith" text="Not Functioning">
      <formula>LEFT(E13,LEN("Not Functioning"))="Not Functioning"</formula>
    </cfRule>
    <cfRule type="containsText" dxfId="8554" priority="2415" operator="containsText" text="Functioning">
      <formula>NOT(ISERROR(SEARCH("Functioning",E13)))</formula>
    </cfRule>
  </conditionalFormatting>
  <conditionalFormatting sqref="E17:E18">
    <cfRule type="beginsWith" dxfId="8553" priority="2410" stopIfTrue="1" operator="beginsWith" text="Functioning At Risk">
      <formula>LEFT(E17,LEN("Functioning At Risk"))="Functioning At Risk"</formula>
    </cfRule>
    <cfRule type="beginsWith" dxfId="8552" priority="2411" stopIfTrue="1" operator="beginsWith" text="Not Functioning">
      <formula>LEFT(E17,LEN("Not Functioning"))="Not Functioning"</formula>
    </cfRule>
    <cfRule type="containsText" dxfId="8551" priority="2412" operator="containsText" text="Functioning">
      <formula>NOT(ISERROR(SEARCH("Functioning",E17)))</formula>
    </cfRule>
  </conditionalFormatting>
  <conditionalFormatting sqref="E25">
    <cfRule type="beginsWith" dxfId="8550" priority="2389" stopIfTrue="1" operator="beginsWith" text="Functioning At Risk">
      <formula>LEFT(E25,LEN("Functioning At Risk"))="Functioning At Risk"</formula>
    </cfRule>
    <cfRule type="beginsWith" dxfId="8549" priority="2390" stopIfTrue="1" operator="beginsWith" text="Not Functioning">
      <formula>LEFT(E25,LEN("Not Functioning"))="Not Functioning"</formula>
    </cfRule>
    <cfRule type="containsText" dxfId="8548" priority="2391" operator="containsText" text="Functioning">
      <formula>NOT(ISERROR(SEARCH("Functioning",E25)))</formula>
    </cfRule>
  </conditionalFormatting>
  <conditionalFormatting sqref="A41:C41 E41:K41 D69:D70">
    <cfRule type="beginsWith" dxfId="8547" priority="2263" stopIfTrue="1" operator="beginsWith" text="Functioning At Risk">
      <formula>LEFT(A41,LEN("Functioning At Risk"))="Functioning At Risk"</formula>
    </cfRule>
    <cfRule type="beginsWith" dxfId="8546" priority="2264" stopIfTrue="1" operator="beginsWith" text="Not Functioning">
      <formula>LEFT(A41,LEN("Not Functioning"))="Not Functioning"</formula>
    </cfRule>
    <cfRule type="containsText" dxfId="8545" priority="2265" operator="containsText" text="Functioning">
      <formula>NOT(ISERROR(SEARCH("Functioning",A41)))</formula>
    </cfRule>
  </conditionalFormatting>
  <conditionalFormatting sqref="I72:I76 B70:B71 D60 B63 A44:B44 A72:B74 H46:I47 H44:I44 H42:K43 A46:B46 A75:A76 D52:D54 B67:B68 A47 D72:D75 D44:D47 D63:D67">
    <cfRule type="beginsWith" dxfId="8544" priority="2260" stopIfTrue="1" operator="beginsWith" text="Functioning At Risk">
      <formula>LEFT(A42,LEN("Functioning At Risk"))="Functioning At Risk"</formula>
    </cfRule>
    <cfRule type="beginsWith" dxfId="8543" priority="2261" stopIfTrue="1" operator="beginsWith" text="Not Functioning">
      <formula>LEFT(A42,LEN("Not Functioning"))="Not Functioning"</formula>
    </cfRule>
    <cfRule type="containsText" dxfId="8542" priority="2262" operator="containsText" text="Functioning">
      <formula>NOT(ISERROR(SEARCH("Functioning",A42)))</formula>
    </cfRule>
  </conditionalFormatting>
  <conditionalFormatting sqref="D55">
    <cfRule type="beginsWith" dxfId="8541" priority="2254" stopIfTrue="1" operator="beginsWith" text="Functioning At Risk">
      <formula>LEFT(D55,LEN("Functioning At Risk"))="Functioning At Risk"</formula>
    </cfRule>
    <cfRule type="beginsWith" dxfId="8540" priority="2255" stopIfTrue="1" operator="beginsWith" text="Not Functioning">
      <formula>LEFT(D55,LEN("Not Functioning"))="Not Functioning"</formula>
    </cfRule>
    <cfRule type="containsText" dxfId="8539" priority="2256" operator="containsText" text="Functioning">
      <formula>NOT(ISERROR(SEARCH("Functioning",D55)))</formula>
    </cfRule>
  </conditionalFormatting>
  <conditionalFormatting sqref="D61">
    <cfRule type="beginsWith" dxfId="8538" priority="2251" stopIfTrue="1" operator="beginsWith" text="Functioning At Risk">
      <formula>LEFT(D61,LEN("Functioning At Risk"))="Functioning At Risk"</formula>
    </cfRule>
    <cfRule type="beginsWith" dxfId="8537" priority="2252" stopIfTrue="1" operator="beginsWith" text="Not Functioning">
      <formula>LEFT(D61,LEN("Not Functioning"))="Not Functioning"</formula>
    </cfRule>
    <cfRule type="containsText" dxfId="8536" priority="2253" operator="containsText" text="Functioning">
      <formula>NOT(ISERROR(SEARCH("Functioning",D61)))</formula>
    </cfRule>
  </conditionalFormatting>
  <conditionalFormatting sqref="D62">
    <cfRule type="beginsWith" dxfId="8535" priority="2248" stopIfTrue="1" operator="beginsWith" text="Functioning At Risk">
      <formula>LEFT(D62,LEN("Functioning At Risk"))="Functioning At Risk"</formula>
    </cfRule>
    <cfRule type="beginsWith" dxfId="8534" priority="2249" stopIfTrue="1" operator="beginsWith" text="Not Functioning">
      <formula>LEFT(D62,LEN("Not Functioning"))="Not Functioning"</formula>
    </cfRule>
    <cfRule type="containsText" dxfId="8533" priority="2250" operator="containsText" text="Functioning">
      <formula>NOT(ISERROR(SEARCH("Functioning",D62)))</formula>
    </cfRule>
  </conditionalFormatting>
  <conditionalFormatting sqref="D56:D59">
    <cfRule type="beginsWith" dxfId="8532" priority="2245" stopIfTrue="1" operator="beginsWith" text="Functioning At Risk">
      <formula>LEFT(D56,LEN("Functioning At Risk"))="Functioning At Risk"</formula>
    </cfRule>
    <cfRule type="beginsWith" dxfId="8531" priority="2246" stopIfTrue="1" operator="beginsWith" text="Not Functioning">
      <formula>LEFT(D56,LEN("Not Functioning"))="Not Functioning"</formula>
    </cfRule>
    <cfRule type="containsText" dxfId="8530" priority="2247" operator="containsText" text="Functioning">
      <formula>NOT(ISERROR(SEARCH("Functioning",D56)))</formula>
    </cfRule>
  </conditionalFormatting>
  <conditionalFormatting sqref="A68">
    <cfRule type="beginsWith" dxfId="8529" priority="2242" stopIfTrue="1" operator="beginsWith" text="Functioning At Risk">
      <formula>LEFT(A68,LEN("Functioning At Risk"))="Functioning At Risk"</formula>
    </cfRule>
    <cfRule type="beginsWith" dxfId="8528" priority="2243" stopIfTrue="1" operator="beginsWith" text="Not Functioning">
      <formula>LEFT(A68,LEN("Not Functioning"))="Not Functioning"</formula>
    </cfRule>
    <cfRule type="containsText" dxfId="8527" priority="2244" operator="containsText" text="Functioning">
      <formula>NOT(ISERROR(SEARCH("Functioning",A68)))</formula>
    </cfRule>
  </conditionalFormatting>
  <conditionalFormatting sqref="H68">
    <cfRule type="beginsWith" dxfId="8526" priority="2239" stopIfTrue="1" operator="beginsWith" text="Functioning At Risk">
      <formula>LEFT(H68,LEN("Functioning At Risk"))="Functioning At Risk"</formula>
    </cfRule>
    <cfRule type="beginsWith" dxfId="8525" priority="2240" stopIfTrue="1" operator="beginsWith" text="Not Functioning">
      <formula>LEFT(H68,LEN("Not Functioning"))="Not Functioning"</formula>
    </cfRule>
    <cfRule type="containsText" dxfId="8524" priority="2241" operator="containsText" text="Functioning">
      <formula>NOT(ISERROR(SEARCH("Functioning",H68)))</formula>
    </cfRule>
  </conditionalFormatting>
  <conditionalFormatting sqref="I68">
    <cfRule type="beginsWith" dxfId="8523" priority="2236" stopIfTrue="1" operator="beginsWith" text="Functioning At Risk">
      <formula>LEFT(I68,LEN("Functioning At Risk"))="Functioning At Risk"</formula>
    </cfRule>
    <cfRule type="beginsWith" dxfId="8522" priority="2237" stopIfTrue="1" operator="beginsWith" text="Not Functioning">
      <formula>LEFT(I68,LEN("Not Functioning"))="Not Functioning"</formula>
    </cfRule>
    <cfRule type="containsText" dxfId="8521" priority="2238" operator="containsText" text="Functioning">
      <formula>NOT(ISERROR(SEARCH("Functioning",I68)))</formula>
    </cfRule>
  </conditionalFormatting>
  <conditionalFormatting sqref="D76">
    <cfRule type="beginsWith" dxfId="8520" priority="2233" stopIfTrue="1" operator="beginsWith" text="Functioning At Risk">
      <formula>LEFT(D76,LEN("Functioning At Risk"))="Functioning At Risk"</formula>
    </cfRule>
    <cfRule type="beginsWith" dxfId="8519" priority="2234" stopIfTrue="1" operator="beginsWith" text="Not Functioning">
      <formula>LEFT(D76,LEN("Not Functioning"))="Not Functioning"</formula>
    </cfRule>
    <cfRule type="containsText" dxfId="8518" priority="2235" operator="containsText" text="Functioning">
      <formula>NOT(ISERROR(SEARCH("Functioning",D76)))</formula>
    </cfRule>
  </conditionalFormatting>
  <conditionalFormatting sqref="D77">
    <cfRule type="beginsWith" dxfId="8517" priority="2230" stopIfTrue="1" operator="beginsWith" text="Functioning At Risk">
      <formula>LEFT(D77,LEN("Functioning At Risk"))="Functioning At Risk"</formula>
    </cfRule>
    <cfRule type="beginsWith" dxfId="8516" priority="2231" stopIfTrue="1" operator="beginsWith" text="Not Functioning">
      <formula>LEFT(D77,LEN("Not Functioning"))="Not Functioning"</formula>
    </cfRule>
    <cfRule type="containsText" dxfId="8515" priority="2232" operator="containsText" text="Functioning">
      <formula>NOT(ISERROR(SEARCH("Functioning",D77)))</formula>
    </cfRule>
  </conditionalFormatting>
  <conditionalFormatting sqref="B76">
    <cfRule type="beginsWith" dxfId="8514" priority="2227" stopIfTrue="1" operator="beginsWith" text="Functioning At Risk">
      <formula>LEFT(B76,LEN("Functioning At Risk"))="Functioning At Risk"</formula>
    </cfRule>
    <cfRule type="beginsWith" dxfId="8513" priority="2228" stopIfTrue="1" operator="beginsWith" text="Not Functioning">
      <formula>LEFT(B76,LEN("Not Functioning"))="Not Functioning"</formula>
    </cfRule>
    <cfRule type="containsText" dxfId="8512" priority="2229" operator="containsText" text="Functioning">
      <formula>NOT(ISERROR(SEARCH("Functioning",B76)))</formula>
    </cfRule>
  </conditionalFormatting>
  <conditionalFormatting sqref="B52">
    <cfRule type="beginsWith" dxfId="8511" priority="2221" stopIfTrue="1" operator="beginsWith" text="Functioning At Risk">
      <formula>LEFT(B52,LEN("Functioning At Risk"))="Functioning At Risk"</formula>
    </cfRule>
    <cfRule type="beginsWith" dxfId="8510" priority="2222" stopIfTrue="1" operator="beginsWith" text="Not Functioning">
      <formula>LEFT(B52,LEN("Not Functioning"))="Not Functioning"</formula>
    </cfRule>
    <cfRule type="containsText" dxfId="8509" priority="2223" operator="containsText" text="Functioning">
      <formula>NOT(ISERROR(SEARCH("Functioning",B52)))</formula>
    </cfRule>
  </conditionalFormatting>
  <conditionalFormatting sqref="C60:C61">
    <cfRule type="beginsWith" dxfId="8508" priority="2158" stopIfTrue="1" operator="beginsWith" text="Functioning At Risk">
      <formula>LEFT(C60,LEN("Functioning At Risk"))="Functioning At Risk"</formula>
    </cfRule>
    <cfRule type="beginsWith" dxfId="8507" priority="2159" stopIfTrue="1" operator="beginsWith" text="Not Functioning">
      <formula>LEFT(C60,LEN("Not Functioning"))="Not Functioning"</formula>
    </cfRule>
    <cfRule type="containsText" dxfId="8506" priority="2160" operator="containsText" text="Functioning">
      <formula>NOT(ISERROR(SEARCH("Functioning",C60)))</formula>
    </cfRule>
  </conditionalFormatting>
  <conditionalFormatting sqref="E76 E44:E45 E68">
    <cfRule type="beginsWith" dxfId="8505" priority="2209" stopIfTrue="1" operator="beginsWith" text="Functioning At Risk">
      <formula>LEFT(E44,LEN("Functioning At Risk"))="Functioning At Risk"</formula>
    </cfRule>
    <cfRule type="beginsWith" dxfId="8504" priority="2210" stopIfTrue="1" operator="beginsWith" text="Not Functioning">
      <formula>LEFT(E44,LEN("Not Functioning"))="Not Functioning"</formula>
    </cfRule>
    <cfRule type="containsText" dxfId="8503" priority="2211" operator="containsText" text="Functioning">
      <formula>NOT(ISERROR(SEARCH("Functioning",E44)))</formula>
    </cfRule>
  </conditionalFormatting>
  <conditionalFormatting sqref="E77">
    <cfRule type="beginsWith" dxfId="8502" priority="2206" stopIfTrue="1" operator="beginsWith" text="Functioning At Risk">
      <formula>LEFT(E77,LEN("Functioning At Risk"))="Functioning At Risk"</formula>
    </cfRule>
    <cfRule type="beginsWith" dxfId="8501" priority="2207" stopIfTrue="1" operator="beginsWith" text="Not Functioning">
      <formula>LEFT(E77,LEN("Not Functioning"))="Not Functioning"</formula>
    </cfRule>
    <cfRule type="containsText" dxfId="8500" priority="2208" operator="containsText" text="Functioning">
      <formula>NOT(ISERROR(SEARCH("Functioning",E77)))</formula>
    </cfRule>
  </conditionalFormatting>
  <conditionalFormatting sqref="E68">
    <cfRule type="expression" dxfId="8499" priority="2201">
      <formula>B1048527="Level 4 - Physicochemical"</formula>
    </cfRule>
    <cfRule type="expression" dxfId="8498" priority="2205">
      <formula>B1048527="Level 5 - Biology"</formula>
    </cfRule>
  </conditionalFormatting>
  <conditionalFormatting sqref="E70">
    <cfRule type="expression" dxfId="8497" priority="2200">
      <formula>B1048527="Level 4 - Physicochemical"</formula>
    </cfRule>
    <cfRule type="expression" dxfId="8496" priority="2204">
      <formula>B1048527="Level 5 - Biology"</formula>
    </cfRule>
  </conditionalFormatting>
  <conditionalFormatting sqref="E71">
    <cfRule type="expression" dxfId="8495" priority="2199">
      <formula>B1048527="Level 4 - Physicochemical"</formula>
    </cfRule>
    <cfRule type="expression" dxfId="8494" priority="2203">
      <formula>B1048527="Level 5 - Biology"</formula>
    </cfRule>
  </conditionalFormatting>
  <conditionalFormatting sqref="E77">
    <cfRule type="expression" dxfId="8493" priority="2202">
      <formula>B1048527="Level 5 - Biology"</formula>
    </cfRule>
  </conditionalFormatting>
  <conditionalFormatting sqref="E69">
    <cfRule type="expression" dxfId="8492" priority="2215">
      <formula>B1048528="Level 4 - Physicochemical"</formula>
    </cfRule>
    <cfRule type="expression" dxfId="8491" priority="2216">
      <formula>B1048528="Level 5 - Biology"</formula>
    </cfRule>
  </conditionalFormatting>
  <conditionalFormatting sqref="E76">
    <cfRule type="expression" dxfId="8490" priority="2217">
      <formula>B1048529="Level 5 - Biology"</formula>
    </cfRule>
  </conditionalFormatting>
  <conditionalFormatting sqref="E66:E67">
    <cfRule type="beginsWith" dxfId="8489" priority="2193" stopIfTrue="1" operator="beginsWith" text="Functioning At Risk">
      <formula>LEFT(E66,LEN("Functioning At Risk"))="Functioning At Risk"</formula>
    </cfRule>
    <cfRule type="beginsWith" dxfId="8488" priority="2194" stopIfTrue="1" operator="beginsWith" text="Not Functioning">
      <formula>LEFT(E66,LEN("Not Functioning"))="Not Functioning"</formula>
    </cfRule>
    <cfRule type="containsText" dxfId="8487" priority="2195" operator="containsText" text="Functioning">
      <formula>NOT(ISERROR(SEARCH("Functioning",E66)))</formula>
    </cfRule>
  </conditionalFormatting>
  <conditionalFormatting sqref="E75">
    <cfRule type="expression" dxfId="8486" priority="2191">
      <formula>B1048457="Level 5 - Biology"</formula>
    </cfRule>
  </conditionalFormatting>
  <conditionalFormatting sqref="E72:E75">
    <cfRule type="beginsWith" dxfId="8485" priority="2188" stopIfTrue="1" operator="beginsWith" text="Functioning At Risk">
      <formula>LEFT(E72,LEN("Functioning At Risk"))="Functioning At Risk"</formula>
    </cfRule>
    <cfRule type="beginsWith" dxfId="8484" priority="2189" stopIfTrue="1" operator="beginsWith" text="Not Functioning">
      <formula>LEFT(E72,LEN("Not Functioning"))="Not Functioning"</formula>
    </cfRule>
    <cfRule type="containsText" dxfId="8483" priority="2190" operator="containsText" text="Functioning">
      <formula>NOT(ISERROR(SEARCH("Functioning",E72)))</formula>
    </cfRule>
  </conditionalFormatting>
  <conditionalFormatting sqref="E189:E191">
    <cfRule type="expression" dxfId="8482" priority="2192">
      <formula>B1="Level 5 - Biology"</formula>
    </cfRule>
  </conditionalFormatting>
  <conditionalFormatting sqref="C52:C54 C69:C70 C63:C64 C75 C67 C44:C47 C72:C73">
    <cfRule type="beginsWith" dxfId="8481" priority="2185" stopIfTrue="1" operator="beginsWith" text="Functioning At Risk">
      <formula>LEFT(C44,LEN("Functioning At Risk"))="Functioning At Risk"</formula>
    </cfRule>
    <cfRule type="beginsWith" dxfId="8480" priority="2186" stopIfTrue="1" operator="beginsWith" text="Not Functioning">
      <formula>LEFT(C44,LEN("Not Functioning"))="Not Functioning"</formula>
    </cfRule>
    <cfRule type="containsText" dxfId="8479" priority="2187" operator="containsText" text="Functioning">
      <formula>NOT(ISERROR(SEARCH("Functioning",C44)))</formula>
    </cfRule>
  </conditionalFormatting>
  <conditionalFormatting sqref="C55">
    <cfRule type="beginsWith" dxfId="8478" priority="2182" stopIfTrue="1" operator="beginsWith" text="Functioning At Risk">
      <formula>LEFT(C55,LEN("Functioning At Risk"))="Functioning At Risk"</formula>
    </cfRule>
    <cfRule type="beginsWith" dxfId="8477" priority="2183" stopIfTrue="1" operator="beginsWith" text="Not Functioning">
      <formula>LEFT(C55,LEN("Not Functioning"))="Not Functioning"</formula>
    </cfRule>
    <cfRule type="containsText" dxfId="8476" priority="2184" operator="containsText" text="Functioning">
      <formula>NOT(ISERROR(SEARCH("Functioning",C55)))</formula>
    </cfRule>
  </conditionalFormatting>
  <conditionalFormatting sqref="C62">
    <cfRule type="beginsWith" dxfId="8475" priority="2179" stopIfTrue="1" operator="beginsWith" text="Functioning At Risk">
      <formula>LEFT(C62,LEN("Functioning At Risk"))="Functioning At Risk"</formula>
    </cfRule>
    <cfRule type="beginsWith" dxfId="8474" priority="2180" stopIfTrue="1" operator="beginsWith" text="Not Functioning">
      <formula>LEFT(C62,LEN("Not Functioning"))="Not Functioning"</formula>
    </cfRule>
    <cfRule type="containsText" dxfId="8473" priority="2181" operator="containsText" text="Functioning">
      <formula>NOT(ISERROR(SEARCH("Functioning",C62)))</formula>
    </cfRule>
  </conditionalFormatting>
  <conditionalFormatting sqref="C56:C59">
    <cfRule type="beginsWith" dxfId="8472" priority="2176" stopIfTrue="1" operator="beginsWith" text="Functioning At Risk">
      <formula>LEFT(C56,LEN("Functioning At Risk"))="Functioning At Risk"</formula>
    </cfRule>
    <cfRule type="beginsWith" dxfId="8471" priority="2177" stopIfTrue="1" operator="beginsWith" text="Not Functioning">
      <formula>LEFT(C56,LEN("Not Functioning"))="Not Functioning"</formula>
    </cfRule>
    <cfRule type="containsText" dxfId="8470" priority="2178" operator="containsText" text="Functioning">
      <formula>NOT(ISERROR(SEARCH("Functioning",C56)))</formula>
    </cfRule>
  </conditionalFormatting>
  <conditionalFormatting sqref="C65">
    <cfRule type="beginsWith" dxfId="8469" priority="2173" stopIfTrue="1" operator="beginsWith" text="Functioning At Risk">
      <formula>LEFT(C65,LEN("Functioning At Risk"))="Functioning At Risk"</formula>
    </cfRule>
    <cfRule type="beginsWith" dxfId="8468" priority="2174" stopIfTrue="1" operator="beginsWith" text="Not Functioning">
      <formula>LEFT(C65,LEN("Not Functioning"))="Not Functioning"</formula>
    </cfRule>
    <cfRule type="containsText" dxfId="8467" priority="2175" operator="containsText" text="Functioning">
      <formula>NOT(ISERROR(SEARCH("Functioning",C65)))</formula>
    </cfRule>
  </conditionalFormatting>
  <conditionalFormatting sqref="C66">
    <cfRule type="beginsWith" dxfId="8466" priority="2170" stopIfTrue="1" operator="beginsWith" text="Functioning At Risk">
      <formula>LEFT(C66,LEN("Functioning At Risk"))="Functioning At Risk"</formula>
    </cfRule>
    <cfRule type="beginsWith" dxfId="8465" priority="2171" stopIfTrue="1" operator="beginsWith" text="Not Functioning">
      <formula>LEFT(C66,LEN("Not Functioning"))="Not Functioning"</formula>
    </cfRule>
    <cfRule type="containsText" dxfId="8464" priority="2172" operator="containsText" text="Functioning">
      <formula>NOT(ISERROR(SEARCH("Functioning",C66)))</formula>
    </cfRule>
  </conditionalFormatting>
  <conditionalFormatting sqref="C77">
    <cfRule type="beginsWith" dxfId="8463" priority="2164" stopIfTrue="1" operator="beginsWith" text="Functioning At Risk">
      <formula>LEFT(C77,LEN("Functioning At Risk"))="Functioning At Risk"</formula>
    </cfRule>
    <cfRule type="beginsWith" dxfId="8462" priority="2165" stopIfTrue="1" operator="beginsWith" text="Not Functioning">
      <formula>LEFT(C77,LEN("Not Functioning"))="Not Functioning"</formula>
    </cfRule>
    <cfRule type="containsText" dxfId="8461" priority="2166" operator="containsText" text="Functioning">
      <formula>NOT(ISERROR(SEARCH("Functioning",C77)))</formula>
    </cfRule>
  </conditionalFormatting>
  <conditionalFormatting sqref="C76">
    <cfRule type="beginsWith" dxfId="8460" priority="2167" stopIfTrue="1" operator="beginsWith" text="Functioning At Risk">
      <formula>LEFT(C76,LEN("Functioning At Risk"))="Functioning At Risk"</formula>
    </cfRule>
    <cfRule type="beginsWith" dxfId="8459" priority="2168" stopIfTrue="1" operator="beginsWith" text="Not Functioning">
      <formula>LEFT(C76,LEN("Not Functioning"))="Not Functioning"</formula>
    </cfRule>
    <cfRule type="containsText" dxfId="8458" priority="2169" operator="containsText" text="Functioning">
      <formula>NOT(ISERROR(SEARCH("Functioning",C76)))</formula>
    </cfRule>
  </conditionalFormatting>
  <conditionalFormatting sqref="C74">
    <cfRule type="beginsWith" dxfId="8457" priority="2161" stopIfTrue="1" operator="beginsWith" text="Functioning At Risk">
      <formula>LEFT(C74,LEN("Functioning At Risk"))="Functioning At Risk"</formula>
    </cfRule>
    <cfRule type="beginsWith" dxfId="8456" priority="2162" stopIfTrue="1" operator="beginsWith" text="Not Functioning">
      <formula>LEFT(C74,LEN("Not Functioning"))="Not Functioning"</formula>
    </cfRule>
    <cfRule type="containsText" dxfId="8455" priority="2163" operator="containsText" text="Functioning">
      <formula>NOT(ISERROR(SEARCH("Functioning",C74)))</formula>
    </cfRule>
  </conditionalFormatting>
  <conditionalFormatting sqref="E63">
    <cfRule type="beginsWith" dxfId="8454" priority="2143" stopIfTrue="1" operator="beginsWith" text="Functioning At Risk">
      <formula>LEFT(E63,LEN("Functioning At Risk"))="Functioning At Risk"</formula>
    </cfRule>
    <cfRule type="beginsWith" dxfId="8453" priority="2144" stopIfTrue="1" operator="beginsWith" text="Not Functioning">
      <formula>LEFT(E63,LEN("Not Functioning"))="Not Functioning"</formula>
    </cfRule>
    <cfRule type="containsText" dxfId="8452" priority="2145" operator="containsText" text="Functioning">
      <formula>NOT(ISERROR(SEARCH("Functioning",E63)))</formula>
    </cfRule>
  </conditionalFormatting>
  <conditionalFormatting sqref="E65">
    <cfRule type="beginsWith" dxfId="8451" priority="2140" stopIfTrue="1" operator="beginsWith" text="Functioning At Risk">
      <formula>LEFT(E65,LEN("Functioning At Risk"))="Functioning At Risk"</formula>
    </cfRule>
    <cfRule type="beginsWith" dxfId="8450" priority="2141" stopIfTrue="1" operator="beginsWith" text="Not Functioning">
      <formula>LEFT(E65,LEN("Not Functioning"))="Not Functioning"</formula>
    </cfRule>
    <cfRule type="containsText" dxfId="8449" priority="2142" operator="containsText" text="Functioning">
      <formula>NOT(ISERROR(SEARCH("Functioning",E65)))</formula>
    </cfRule>
  </conditionalFormatting>
  <conditionalFormatting sqref="E52:E54">
    <cfRule type="beginsWith" dxfId="8448" priority="2137" stopIfTrue="1" operator="beginsWith" text="Functioning At Risk">
      <formula>LEFT(E52,LEN("Functioning At Risk"))="Functioning At Risk"</formula>
    </cfRule>
    <cfRule type="beginsWith" dxfId="8447" priority="2138" stopIfTrue="1" operator="beginsWith" text="Not Functioning">
      <formula>LEFT(E52,LEN("Not Functioning"))="Not Functioning"</formula>
    </cfRule>
    <cfRule type="containsText" dxfId="8446" priority="2139" operator="containsText" text="Functioning">
      <formula>NOT(ISERROR(SEARCH("Functioning",E52)))</formula>
    </cfRule>
  </conditionalFormatting>
  <conditionalFormatting sqref="E56:E57">
    <cfRule type="beginsWith" dxfId="8445" priority="2134" stopIfTrue="1" operator="beginsWith" text="Functioning At Risk">
      <formula>LEFT(E56,LEN("Functioning At Risk"))="Functioning At Risk"</formula>
    </cfRule>
    <cfRule type="beginsWith" dxfId="8444" priority="2135" stopIfTrue="1" operator="beginsWith" text="Not Functioning">
      <formula>LEFT(E56,LEN("Not Functioning"))="Not Functioning"</formula>
    </cfRule>
    <cfRule type="containsText" dxfId="8443" priority="2136" operator="containsText" text="Functioning">
      <formula>NOT(ISERROR(SEARCH("Functioning",E56)))</formula>
    </cfRule>
  </conditionalFormatting>
  <conditionalFormatting sqref="E61">
    <cfRule type="beginsWith" dxfId="8442" priority="2128" stopIfTrue="1" operator="beginsWith" text="Functioning At Risk">
      <formula>LEFT(E61,LEN("Functioning At Risk"))="Functioning At Risk"</formula>
    </cfRule>
    <cfRule type="beginsWith" dxfId="8441" priority="2129" stopIfTrue="1" operator="beginsWith" text="Not Functioning">
      <formula>LEFT(E61,LEN("Not Functioning"))="Not Functioning"</formula>
    </cfRule>
    <cfRule type="containsText" dxfId="8440" priority="2130" operator="containsText" text="Functioning">
      <formula>NOT(ISERROR(SEARCH("Functioning",E61)))</formula>
    </cfRule>
  </conditionalFormatting>
  <conditionalFormatting sqref="E64">
    <cfRule type="beginsWith" dxfId="8439" priority="2119" stopIfTrue="1" operator="beginsWith" text="Functioning At Risk">
      <formula>LEFT(E64,LEN("Functioning At Risk"))="Functioning At Risk"</formula>
    </cfRule>
    <cfRule type="beginsWith" dxfId="8438" priority="2120" stopIfTrue="1" operator="beginsWith" text="Not Functioning">
      <formula>LEFT(E64,LEN("Not Functioning"))="Not Functioning"</formula>
    </cfRule>
    <cfRule type="containsText" dxfId="8437" priority="2121" operator="containsText" text="Functioning">
      <formula>NOT(ISERROR(SEARCH("Functioning",E64)))</formula>
    </cfRule>
  </conditionalFormatting>
  <conditionalFormatting sqref="A80:C80 E80:K80 D108:D109">
    <cfRule type="beginsWith" dxfId="8436" priority="2113" stopIfTrue="1" operator="beginsWith" text="Functioning At Risk">
      <formula>LEFT(A80,LEN("Functioning At Risk"))="Functioning At Risk"</formula>
    </cfRule>
    <cfRule type="beginsWith" dxfId="8435" priority="2114" stopIfTrue="1" operator="beginsWith" text="Not Functioning">
      <formula>LEFT(A80,LEN("Not Functioning"))="Not Functioning"</formula>
    </cfRule>
    <cfRule type="containsText" dxfId="8434" priority="2115" operator="containsText" text="Functioning">
      <formula>NOT(ISERROR(SEARCH("Functioning",A80)))</formula>
    </cfRule>
  </conditionalFormatting>
  <conditionalFormatting sqref="I111:I115 B109:B110 D99 B102 A83:B83 A111:B113 H85:I86 H83:I83 H81:K82 A85:B85 A114:A115 D91:D93 B106:B107 A86 D111:D114 D83:D86 D102:D106">
    <cfRule type="beginsWith" dxfId="8433" priority="2110" stopIfTrue="1" operator="beginsWith" text="Functioning At Risk">
      <formula>LEFT(A81,LEN("Functioning At Risk"))="Functioning At Risk"</formula>
    </cfRule>
    <cfRule type="beginsWith" dxfId="8432" priority="2111" stopIfTrue="1" operator="beginsWith" text="Not Functioning">
      <formula>LEFT(A81,LEN("Not Functioning"))="Not Functioning"</formula>
    </cfRule>
    <cfRule type="containsText" dxfId="8431" priority="2112" operator="containsText" text="Functioning">
      <formula>NOT(ISERROR(SEARCH("Functioning",A81)))</formula>
    </cfRule>
  </conditionalFormatting>
  <conditionalFormatting sqref="D94">
    <cfRule type="beginsWith" dxfId="8430" priority="2104" stopIfTrue="1" operator="beginsWith" text="Functioning At Risk">
      <formula>LEFT(D94,LEN("Functioning At Risk"))="Functioning At Risk"</formula>
    </cfRule>
    <cfRule type="beginsWith" dxfId="8429" priority="2105" stopIfTrue="1" operator="beginsWith" text="Not Functioning">
      <formula>LEFT(D94,LEN("Not Functioning"))="Not Functioning"</formula>
    </cfRule>
    <cfRule type="containsText" dxfId="8428" priority="2106" operator="containsText" text="Functioning">
      <formula>NOT(ISERROR(SEARCH("Functioning",D94)))</formula>
    </cfRule>
  </conditionalFormatting>
  <conditionalFormatting sqref="D100">
    <cfRule type="beginsWith" dxfId="8427" priority="2101" stopIfTrue="1" operator="beginsWith" text="Functioning At Risk">
      <formula>LEFT(D100,LEN("Functioning At Risk"))="Functioning At Risk"</formula>
    </cfRule>
    <cfRule type="beginsWith" dxfId="8426" priority="2102" stopIfTrue="1" operator="beginsWith" text="Not Functioning">
      <formula>LEFT(D100,LEN("Not Functioning"))="Not Functioning"</formula>
    </cfRule>
    <cfRule type="containsText" dxfId="8425" priority="2103" operator="containsText" text="Functioning">
      <formula>NOT(ISERROR(SEARCH("Functioning",D100)))</formula>
    </cfRule>
  </conditionalFormatting>
  <conditionalFormatting sqref="D101">
    <cfRule type="beginsWith" dxfId="8424" priority="2098" stopIfTrue="1" operator="beginsWith" text="Functioning At Risk">
      <formula>LEFT(D101,LEN("Functioning At Risk"))="Functioning At Risk"</formula>
    </cfRule>
    <cfRule type="beginsWith" dxfId="8423" priority="2099" stopIfTrue="1" operator="beginsWith" text="Not Functioning">
      <formula>LEFT(D101,LEN("Not Functioning"))="Not Functioning"</formula>
    </cfRule>
    <cfRule type="containsText" dxfId="8422" priority="2100" operator="containsText" text="Functioning">
      <formula>NOT(ISERROR(SEARCH("Functioning",D101)))</formula>
    </cfRule>
  </conditionalFormatting>
  <conditionalFormatting sqref="D95:D98">
    <cfRule type="beginsWith" dxfId="8421" priority="2095" stopIfTrue="1" operator="beginsWith" text="Functioning At Risk">
      <formula>LEFT(D95,LEN("Functioning At Risk"))="Functioning At Risk"</formula>
    </cfRule>
    <cfRule type="beginsWith" dxfId="8420" priority="2096" stopIfTrue="1" operator="beginsWith" text="Not Functioning">
      <formula>LEFT(D95,LEN("Not Functioning"))="Not Functioning"</formula>
    </cfRule>
    <cfRule type="containsText" dxfId="8419" priority="2097" operator="containsText" text="Functioning">
      <formula>NOT(ISERROR(SEARCH("Functioning",D95)))</formula>
    </cfRule>
  </conditionalFormatting>
  <conditionalFormatting sqref="A107">
    <cfRule type="beginsWith" dxfId="8418" priority="2092" stopIfTrue="1" operator="beginsWith" text="Functioning At Risk">
      <formula>LEFT(A107,LEN("Functioning At Risk"))="Functioning At Risk"</formula>
    </cfRule>
    <cfRule type="beginsWith" dxfId="8417" priority="2093" stopIfTrue="1" operator="beginsWith" text="Not Functioning">
      <formula>LEFT(A107,LEN("Not Functioning"))="Not Functioning"</formula>
    </cfRule>
    <cfRule type="containsText" dxfId="8416" priority="2094" operator="containsText" text="Functioning">
      <formula>NOT(ISERROR(SEARCH("Functioning",A107)))</formula>
    </cfRule>
  </conditionalFormatting>
  <conditionalFormatting sqref="H107">
    <cfRule type="beginsWith" dxfId="8415" priority="2089" stopIfTrue="1" operator="beginsWith" text="Functioning At Risk">
      <formula>LEFT(H107,LEN("Functioning At Risk"))="Functioning At Risk"</formula>
    </cfRule>
    <cfRule type="beginsWith" dxfId="8414" priority="2090" stopIfTrue="1" operator="beginsWith" text="Not Functioning">
      <formula>LEFT(H107,LEN("Not Functioning"))="Not Functioning"</formula>
    </cfRule>
    <cfRule type="containsText" dxfId="8413" priority="2091" operator="containsText" text="Functioning">
      <formula>NOT(ISERROR(SEARCH("Functioning",H107)))</formula>
    </cfRule>
  </conditionalFormatting>
  <conditionalFormatting sqref="I107">
    <cfRule type="beginsWith" dxfId="8412" priority="2086" stopIfTrue="1" operator="beginsWith" text="Functioning At Risk">
      <formula>LEFT(I107,LEN("Functioning At Risk"))="Functioning At Risk"</formula>
    </cfRule>
    <cfRule type="beginsWith" dxfId="8411" priority="2087" stopIfTrue="1" operator="beginsWith" text="Not Functioning">
      <formula>LEFT(I107,LEN("Not Functioning"))="Not Functioning"</formula>
    </cfRule>
    <cfRule type="containsText" dxfId="8410" priority="2088" operator="containsText" text="Functioning">
      <formula>NOT(ISERROR(SEARCH("Functioning",I107)))</formula>
    </cfRule>
  </conditionalFormatting>
  <conditionalFormatting sqref="D115">
    <cfRule type="beginsWith" dxfId="8409" priority="2083" stopIfTrue="1" operator="beginsWith" text="Functioning At Risk">
      <formula>LEFT(D115,LEN("Functioning At Risk"))="Functioning At Risk"</formula>
    </cfRule>
    <cfRule type="beginsWith" dxfId="8408" priority="2084" stopIfTrue="1" operator="beginsWith" text="Not Functioning">
      <formula>LEFT(D115,LEN("Not Functioning"))="Not Functioning"</formula>
    </cfRule>
    <cfRule type="containsText" dxfId="8407" priority="2085" operator="containsText" text="Functioning">
      <formula>NOT(ISERROR(SEARCH("Functioning",D115)))</formula>
    </cfRule>
  </conditionalFormatting>
  <conditionalFormatting sqref="D116">
    <cfRule type="beginsWith" dxfId="8406" priority="2080" stopIfTrue="1" operator="beginsWith" text="Functioning At Risk">
      <formula>LEFT(D116,LEN("Functioning At Risk"))="Functioning At Risk"</formula>
    </cfRule>
    <cfRule type="beginsWith" dxfId="8405" priority="2081" stopIfTrue="1" operator="beginsWith" text="Not Functioning">
      <formula>LEFT(D116,LEN("Not Functioning"))="Not Functioning"</formula>
    </cfRule>
    <cfRule type="containsText" dxfId="8404" priority="2082" operator="containsText" text="Functioning">
      <formula>NOT(ISERROR(SEARCH("Functioning",D116)))</formula>
    </cfRule>
  </conditionalFormatting>
  <conditionalFormatting sqref="B115">
    <cfRule type="beginsWith" dxfId="8403" priority="2077" stopIfTrue="1" operator="beginsWith" text="Functioning At Risk">
      <formula>LEFT(B115,LEN("Functioning At Risk"))="Functioning At Risk"</formula>
    </cfRule>
    <cfRule type="beginsWith" dxfId="8402" priority="2078" stopIfTrue="1" operator="beginsWith" text="Not Functioning">
      <formula>LEFT(B115,LEN("Not Functioning"))="Not Functioning"</formula>
    </cfRule>
    <cfRule type="containsText" dxfId="8401" priority="2079" operator="containsText" text="Functioning">
      <formula>NOT(ISERROR(SEARCH("Functioning",B115)))</formula>
    </cfRule>
  </conditionalFormatting>
  <conditionalFormatting sqref="B91">
    <cfRule type="beginsWith" dxfId="8400" priority="2071" stopIfTrue="1" operator="beginsWith" text="Functioning At Risk">
      <formula>LEFT(B91,LEN("Functioning At Risk"))="Functioning At Risk"</formula>
    </cfRule>
    <cfRule type="beginsWith" dxfId="8399" priority="2072" stopIfTrue="1" operator="beginsWith" text="Not Functioning">
      <formula>LEFT(B91,LEN("Not Functioning"))="Not Functioning"</formula>
    </cfRule>
    <cfRule type="containsText" dxfId="8398" priority="2073" operator="containsText" text="Functioning">
      <formula>NOT(ISERROR(SEARCH("Functioning",B91)))</formula>
    </cfRule>
  </conditionalFormatting>
  <conditionalFormatting sqref="E115 E83:E84 E107">
    <cfRule type="beginsWith" dxfId="8397" priority="2059" stopIfTrue="1" operator="beginsWith" text="Functioning At Risk">
      <formula>LEFT(E83,LEN("Functioning At Risk"))="Functioning At Risk"</formula>
    </cfRule>
    <cfRule type="beginsWith" dxfId="8396" priority="2060" stopIfTrue="1" operator="beginsWith" text="Not Functioning">
      <formula>LEFT(E83,LEN("Not Functioning"))="Not Functioning"</formula>
    </cfRule>
    <cfRule type="containsText" dxfId="8395" priority="2061" operator="containsText" text="Functioning">
      <formula>NOT(ISERROR(SEARCH("Functioning",E83)))</formula>
    </cfRule>
  </conditionalFormatting>
  <conditionalFormatting sqref="E116">
    <cfRule type="beginsWith" dxfId="8394" priority="2056" stopIfTrue="1" operator="beginsWith" text="Functioning At Risk">
      <formula>LEFT(E116,LEN("Functioning At Risk"))="Functioning At Risk"</formula>
    </cfRule>
    <cfRule type="beginsWith" dxfId="8393" priority="2057" stopIfTrue="1" operator="beginsWith" text="Not Functioning">
      <formula>LEFT(E116,LEN("Not Functioning"))="Not Functioning"</formula>
    </cfRule>
    <cfRule type="containsText" dxfId="8392" priority="2058" operator="containsText" text="Functioning">
      <formula>NOT(ISERROR(SEARCH("Functioning",E116)))</formula>
    </cfRule>
  </conditionalFormatting>
  <conditionalFormatting sqref="E105:E106">
    <cfRule type="beginsWith" dxfId="8391" priority="2043" stopIfTrue="1" operator="beginsWith" text="Functioning At Risk">
      <formula>LEFT(E105,LEN("Functioning At Risk"))="Functioning At Risk"</formula>
    </cfRule>
    <cfRule type="beginsWith" dxfId="8390" priority="2044" stopIfTrue="1" operator="beginsWith" text="Not Functioning">
      <formula>LEFT(E105,LEN("Not Functioning"))="Not Functioning"</formula>
    </cfRule>
    <cfRule type="containsText" dxfId="8389" priority="2045" operator="containsText" text="Functioning">
      <formula>NOT(ISERROR(SEARCH("Functioning",E105)))</formula>
    </cfRule>
  </conditionalFormatting>
  <conditionalFormatting sqref="E114">
    <cfRule type="expression" dxfId="8388" priority="2041">
      <formula>B1048496="Level 5 - Biology"</formula>
    </cfRule>
  </conditionalFormatting>
  <conditionalFormatting sqref="E111:E114">
    <cfRule type="beginsWith" dxfId="8387" priority="2038" stopIfTrue="1" operator="beginsWith" text="Functioning At Risk">
      <formula>LEFT(E111,LEN("Functioning At Risk"))="Functioning At Risk"</formula>
    </cfRule>
    <cfRule type="beginsWith" dxfId="8386" priority="2039" stopIfTrue="1" operator="beginsWith" text="Not Functioning">
      <formula>LEFT(E111,LEN("Not Functioning"))="Not Functioning"</formula>
    </cfRule>
    <cfRule type="containsText" dxfId="8385" priority="2040" operator="containsText" text="Functioning">
      <formula>NOT(ISERROR(SEARCH("Functioning",E111)))</formula>
    </cfRule>
  </conditionalFormatting>
  <conditionalFormatting sqref="E111:E113">
    <cfRule type="expression" dxfId="8384" priority="2042">
      <formula>B1048495="Level 5 - Biology"</formula>
    </cfRule>
  </conditionalFormatting>
  <conditionalFormatting sqref="C91:C93 C108:C109 C102:C103 C114 C106 C83:C86 C111:C112">
    <cfRule type="beginsWith" dxfId="8383" priority="2035" stopIfTrue="1" operator="beginsWith" text="Functioning At Risk">
      <formula>LEFT(C83,LEN("Functioning At Risk"))="Functioning At Risk"</formula>
    </cfRule>
    <cfRule type="beginsWith" dxfId="8382" priority="2036" stopIfTrue="1" operator="beginsWith" text="Not Functioning">
      <formula>LEFT(C83,LEN("Not Functioning"))="Not Functioning"</formula>
    </cfRule>
    <cfRule type="containsText" dxfId="8381" priority="2037" operator="containsText" text="Functioning">
      <formula>NOT(ISERROR(SEARCH("Functioning",C83)))</formula>
    </cfRule>
  </conditionalFormatting>
  <conditionalFormatting sqref="C94">
    <cfRule type="beginsWith" dxfId="8380" priority="2032" stopIfTrue="1" operator="beginsWith" text="Functioning At Risk">
      <formula>LEFT(C94,LEN("Functioning At Risk"))="Functioning At Risk"</formula>
    </cfRule>
    <cfRule type="beginsWith" dxfId="8379" priority="2033" stopIfTrue="1" operator="beginsWith" text="Not Functioning">
      <formula>LEFT(C94,LEN("Not Functioning"))="Not Functioning"</formula>
    </cfRule>
    <cfRule type="containsText" dxfId="8378" priority="2034" operator="containsText" text="Functioning">
      <formula>NOT(ISERROR(SEARCH("Functioning",C94)))</formula>
    </cfRule>
  </conditionalFormatting>
  <conditionalFormatting sqref="C101">
    <cfRule type="beginsWith" dxfId="8377" priority="2029" stopIfTrue="1" operator="beginsWith" text="Functioning At Risk">
      <formula>LEFT(C101,LEN("Functioning At Risk"))="Functioning At Risk"</formula>
    </cfRule>
    <cfRule type="beginsWith" dxfId="8376" priority="2030" stopIfTrue="1" operator="beginsWith" text="Not Functioning">
      <formula>LEFT(C101,LEN("Not Functioning"))="Not Functioning"</formula>
    </cfRule>
    <cfRule type="containsText" dxfId="8375" priority="2031" operator="containsText" text="Functioning">
      <formula>NOT(ISERROR(SEARCH("Functioning",C101)))</formula>
    </cfRule>
  </conditionalFormatting>
  <conditionalFormatting sqref="C95:C98">
    <cfRule type="beginsWith" dxfId="8374" priority="2026" stopIfTrue="1" operator="beginsWith" text="Functioning At Risk">
      <formula>LEFT(C95,LEN("Functioning At Risk"))="Functioning At Risk"</formula>
    </cfRule>
    <cfRule type="beginsWith" dxfId="8373" priority="2027" stopIfTrue="1" operator="beginsWith" text="Not Functioning">
      <formula>LEFT(C95,LEN("Not Functioning"))="Not Functioning"</formula>
    </cfRule>
    <cfRule type="containsText" dxfId="8372" priority="2028" operator="containsText" text="Functioning">
      <formula>NOT(ISERROR(SEARCH("Functioning",C95)))</formula>
    </cfRule>
  </conditionalFormatting>
  <conditionalFormatting sqref="C104">
    <cfRule type="beginsWith" dxfId="8371" priority="2023" stopIfTrue="1" operator="beginsWith" text="Functioning At Risk">
      <formula>LEFT(C104,LEN("Functioning At Risk"))="Functioning At Risk"</formula>
    </cfRule>
    <cfRule type="beginsWith" dxfId="8370" priority="2024" stopIfTrue="1" operator="beginsWith" text="Not Functioning">
      <formula>LEFT(C104,LEN("Not Functioning"))="Not Functioning"</formula>
    </cfRule>
    <cfRule type="containsText" dxfId="8369" priority="2025" operator="containsText" text="Functioning">
      <formula>NOT(ISERROR(SEARCH("Functioning",C104)))</formula>
    </cfRule>
  </conditionalFormatting>
  <conditionalFormatting sqref="C105">
    <cfRule type="beginsWith" dxfId="8368" priority="2020" stopIfTrue="1" operator="beginsWith" text="Functioning At Risk">
      <formula>LEFT(C105,LEN("Functioning At Risk"))="Functioning At Risk"</formula>
    </cfRule>
    <cfRule type="beginsWith" dxfId="8367" priority="2021" stopIfTrue="1" operator="beginsWith" text="Not Functioning">
      <formula>LEFT(C105,LEN("Not Functioning"))="Not Functioning"</formula>
    </cfRule>
    <cfRule type="containsText" dxfId="8366" priority="2022" operator="containsText" text="Functioning">
      <formula>NOT(ISERROR(SEARCH("Functioning",C105)))</formula>
    </cfRule>
  </conditionalFormatting>
  <conditionalFormatting sqref="C116">
    <cfRule type="beginsWith" dxfId="8365" priority="2014" stopIfTrue="1" operator="beginsWith" text="Functioning At Risk">
      <formula>LEFT(C116,LEN("Functioning At Risk"))="Functioning At Risk"</formula>
    </cfRule>
    <cfRule type="beginsWith" dxfId="8364" priority="2015" stopIfTrue="1" operator="beginsWith" text="Not Functioning">
      <formula>LEFT(C116,LEN("Not Functioning"))="Not Functioning"</formula>
    </cfRule>
    <cfRule type="containsText" dxfId="8363" priority="2016" operator="containsText" text="Functioning">
      <formula>NOT(ISERROR(SEARCH("Functioning",C116)))</formula>
    </cfRule>
  </conditionalFormatting>
  <conditionalFormatting sqref="C115">
    <cfRule type="beginsWith" dxfId="8362" priority="2017" stopIfTrue="1" operator="beginsWith" text="Functioning At Risk">
      <formula>LEFT(C115,LEN("Functioning At Risk"))="Functioning At Risk"</formula>
    </cfRule>
    <cfRule type="beginsWith" dxfId="8361" priority="2018" stopIfTrue="1" operator="beginsWith" text="Not Functioning">
      <formula>LEFT(C115,LEN("Not Functioning"))="Not Functioning"</formula>
    </cfRule>
    <cfRule type="containsText" dxfId="8360" priority="2019" operator="containsText" text="Functioning">
      <formula>NOT(ISERROR(SEARCH("Functioning",C115)))</formula>
    </cfRule>
  </conditionalFormatting>
  <conditionalFormatting sqref="C113">
    <cfRule type="beginsWith" dxfId="8359" priority="2011" stopIfTrue="1" operator="beginsWith" text="Functioning At Risk">
      <formula>LEFT(C113,LEN("Functioning At Risk"))="Functioning At Risk"</formula>
    </cfRule>
    <cfRule type="beginsWith" dxfId="8358" priority="2012" stopIfTrue="1" operator="beginsWith" text="Not Functioning">
      <formula>LEFT(C113,LEN("Not Functioning"))="Not Functioning"</formula>
    </cfRule>
    <cfRule type="containsText" dxfId="8357" priority="2013" operator="containsText" text="Functioning">
      <formula>NOT(ISERROR(SEARCH("Functioning",C113)))</formula>
    </cfRule>
  </conditionalFormatting>
  <conditionalFormatting sqref="C99:C100">
    <cfRule type="beginsWith" dxfId="8356" priority="2008" stopIfTrue="1" operator="beginsWith" text="Functioning At Risk">
      <formula>LEFT(C99,LEN("Functioning At Risk"))="Functioning At Risk"</formula>
    </cfRule>
    <cfRule type="beginsWith" dxfId="8355" priority="2009" stopIfTrue="1" operator="beginsWith" text="Not Functioning">
      <formula>LEFT(C99,LEN("Not Functioning"))="Not Functioning"</formula>
    </cfRule>
    <cfRule type="containsText" dxfId="8354" priority="2010" operator="containsText" text="Functioning">
      <formula>NOT(ISERROR(SEARCH("Functioning",C99)))</formula>
    </cfRule>
  </conditionalFormatting>
  <conditionalFormatting sqref="E102">
    <cfRule type="beginsWith" dxfId="8353" priority="1993" stopIfTrue="1" operator="beginsWith" text="Functioning At Risk">
      <formula>LEFT(E102,LEN("Functioning At Risk"))="Functioning At Risk"</formula>
    </cfRule>
    <cfRule type="beginsWith" dxfId="8352" priority="1994" stopIfTrue="1" operator="beginsWith" text="Not Functioning">
      <formula>LEFT(E102,LEN("Not Functioning"))="Not Functioning"</formula>
    </cfRule>
    <cfRule type="containsText" dxfId="8351" priority="1995" operator="containsText" text="Functioning">
      <formula>NOT(ISERROR(SEARCH("Functioning",E102)))</formula>
    </cfRule>
  </conditionalFormatting>
  <conditionalFormatting sqref="E104">
    <cfRule type="beginsWith" dxfId="8350" priority="1990" stopIfTrue="1" operator="beginsWith" text="Functioning At Risk">
      <formula>LEFT(E104,LEN("Functioning At Risk"))="Functioning At Risk"</formula>
    </cfRule>
    <cfRule type="beginsWith" dxfId="8349" priority="1991" stopIfTrue="1" operator="beginsWith" text="Not Functioning">
      <formula>LEFT(E104,LEN("Not Functioning"))="Not Functioning"</formula>
    </cfRule>
    <cfRule type="containsText" dxfId="8348" priority="1992" operator="containsText" text="Functioning">
      <formula>NOT(ISERROR(SEARCH("Functioning",E104)))</formula>
    </cfRule>
  </conditionalFormatting>
  <conditionalFormatting sqref="E91:E93">
    <cfRule type="beginsWith" dxfId="8347" priority="1987" stopIfTrue="1" operator="beginsWith" text="Functioning At Risk">
      <formula>LEFT(E91,LEN("Functioning At Risk"))="Functioning At Risk"</formula>
    </cfRule>
    <cfRule type="beginsWith" dxfId="8346" priority="1988" stopIfTrue="1" operator="beginsWith" text="Not Functioning">
      <formula>LEFT(E91,LEN("Not Functioning"))="Not Functioning"</formula>
    </cfRule>
    <cfRule type="containsText" dxfId="8345" priority="1989" operator="containsText" text="Functioning">
      <formula>NOT(ISERROR(SEARCH("Functioning",E91)))</formula>
    </cfRule>
  </conditionalFormatting>
  <conditionalFormatting sqref="E95:E98">
    <cfRule type="beginsWith" dxfId="8344" priority="1984" stopIfTrue="1" operator="beginsWith" text="Functioning At Risk">
      <formula>LEFT(E95,LEN("Functioning At Risk"))="Functioning At Risk"</formula>
    </cfRule>
    <cfRule type="beginsWith" dxfId="8343" priority="1985" stopIfTrue="1" operator="beginsWith" text="Not Functioning">
      <formula>LEFT(E95,LEN("Not Functioning"))="Not Functioning"</formula>
    </cfRule>
    <cfRule type="containsText" dxfId="8342" priority="1986" operator="containsText" text="Functioning">
      <formula>NOT(ISERROR(SEARCH("Functioning",E95)))</formula>
    </cfRule>
  </conditionalFormatting>
  <conditionalFormatting sqref="E103">
    <cfRule type="beginsWith" dxfId="8341" priority="1969" stopIfTrue="1" operator="beginsWith" text="Functioning At Risk">
      <formula>LEFT(E103,LEN("Functioning At Risk"))="Functioning At Risk"</formula>
    </cfRule>
    <cfRule type="beginsWith" dxfId="8340" priority="1970" stopIfTrue="1" operator="beginsWith" text="Not Functioning">
      <formula>LEFT(E103,LEN("Not Functioning"))="Not Functioning"</formula>
    </cfRule>
    <cfRule type="containsText" dxfId="8339" priority="1971" operator="containsText" text="Functioning">
      <formula>NOT(ISERROR(SEARCH("Functioning",E103)))</formula>
    </cfRule>
  </conditionalFormatting>
  <conditionalFormatting sqref="A119:C119 E119:K119 D147:D148">
    <cfRule type="beginsWith" dxfId="8338" priority="1963" stopIfTrue="1" operator="beginsWith" text="Functioning At Risk">
      <formula>LEFT(A119,LEN("Functioning At Risk"))="Functioning At Risk"</formula>
    </cfRule>
    <cfRule type="beginsWith" dxfId="8337" priority="1964" stopIfTrue="1" operator="beginsWith" text="Not Functioning">
      <formula>LEFT(A119,LEN("Not Functioning"))="Not Functioning"</formula>
    </cfRule>
    <cfRule type="containsText" dxfId="8336" priority="1965" operator="containsText" text="Functioning">
      <formula>NOT(ISERROR(SEARCH("Functioning",A119)))</formula>
    </cfRule>
  </conditionalFormatting>
  <conditionalFormatting sqref="I150:I154 B148:B149 D138 B141 A122:B122 A150:B152 H124:I125 H122:I122 H120:K121 A124:B124 A153:A154 D130:D132 B145:B146 A125 D150:D153 D122:D125 D141:D145">
    <cfRule type="beginsWith" dxfId="8335" priority="1960" stopIfTrue="1" operator="beginsWith" text="Functioning At Risk">
      <formula>LEFT(A120,LEN("Functioning At Risk"))="Functioning At Risk"</formula>
    </cfRule>
    <cfRule type="beginsWith" dxfId="8334" priority="1961" stopIfTrue="1" operator="beginsWith" text="Not Functioning">
      <formula>LEFT(A120,LEN("Not Functioning"))="Not Functioning"</formula>
    </cfRule>
    <cfRule type="containsText" dxfId="8333" priority="1962" operator="containsText" text="Functioning">
      <formula>NOT(ISERROR(SEARCH("Functioning",A120)))</formula>
    </cfRule>
  </conditionalFormatting>
  <conditionalFormatting sqref="D133">
    <cfRule type="beginsWith" dxfId="8332" priority="1954" stopIfTrue="1" operator="beginsWith" text="Functioning At Risk">
      <formula>LEFT(D133,LEN("Functioning At Risk"))="Functioning At Risk"</formula>
    </cfRule>
    <cfRule type="beginsWith" dxfId="8331" priority="1955" stopIfTrue="1" operator="beginsWith" text="Not Functioning">
      <formula>LEFT(D133,LEN("Not Functioning"))="Not Functioning"</formula>
    </cfRule>
    <cfRule type="containsText" dxfId="8330" priority="1956" operator="containsText" text="Functioning">
      <formula>NOT(ISERROR(SEARCH("Functioning",D133)))</formula>
    </cfRule>
  </conditionalFormatting>
  <conditionalFormatting sqref="D139">
    <cfRule type="beginsWith" dxfId="8329" priority="1951" stopIfTrue="1" operator="beginsWith" text="Functioning At Risk">
      <formula>LEFT(D139,LEN("Functioning At Risk"))="Functioning At Risk"</formula>
    </cfRule>
    <cfRule type="beginsWith" dxfId="8328" priority="1952" stopIfTrue="1" operator="beginsWith" text="Not Functioning">
      <formula>LEFT(D139,LEN("Not Functioning"))="Not Functioning"</formula>
    </cfRule>
    <cfRule type="containsText" dxfId="8327" priority="1953" operator="containsText" text="Functioning">
      <formula>NOT(ISERROR(SEARCH("Functioning",D139)))</formula>
    </cfRule>
  </conditionalFormatting>
  <conditionalFormatting sqref="D140">
    <cfRule type="beginsWith" dxfId="8326" priority="1948" stopIfTrue="1" operator="beginsWith" text="Functioning At Risk">
      <formula>LEFT(D140,LEN("Functioning At Risk"))="Functioning At Risk"</formula>
    </cfRule>
    <cfRule type="beginsWith" dxfId="8325" priority="1949" stopIfTrue="1" operator="beginsWith" text="Not Functioning">
      <formula>LEFT(D140,LEN("Not Functioning"))="Not Functioning"</formula>
    </cfRule>
    <cfRule type="containsText" dxfId="8324" priority="1950" operator="containsText" text="Functioning">
      <formula>NOT(ISERROR(SEARCH("Functioning",D140)))</formula>
    </cfRule>
  </conditionalFormatting>
  <conditionalFormatting sqref="D134:D137">
    <cfRule type="beginsWith" dxfId="8323" priority="1945" stopIfTrue="1" operator="beginsWith" text="Functioning At Risk">
      <formula>LEFT(D134,LEN("Functioning At Risk"))="Functioning At Risk"</formula>
    </cfRule>
    <cfRule type="beginsWith" dxfId="8322" priority="1946" stopIfTrue="1" operator="beginsWith" text="Not Functioning">
      <formula>LEFT(D134,LEN("Not Functioning"))="Not Functioning"</formula>
    </cfRule>
    <cfRule type="containsText" dxfId="8321" priority="1947" operator="containsText" text="Functioning">
      <formula>NOT(ISERROR(SEARCH("Functioning",D134)))</formula>
    </cfRule>
  </conditionalFormatting>
  <conditionalFormatting sqref="A146">
    <cfRule type="beginsWith" dxfId="8320" priority="1942" stopIfTrue="1" operator="beginsWith" text="Functioning At Risk">
      <formula>LEFT(A146,LEN("Functioning At Risk"))="Functioning At Risk"</formula>
    </cfRule>
    <cfRule type="beginsWith" dxfId="8319" priority="1943" stopIfTrue="1" operator="beginsWith" text="Not Functioning">
      <formula>LEFT(A146,LEN("Not Functioning"))="Not Functioning"</formula>
    </cfRule>
    <cfRule type="containsText" dxfId="8318" priority="1944" operator="containsText" text="Functioning">
      <formula>NOT(ISERROR(SEARCH("Functioning",A146)))</formula>
    </cfRule>
  </conditionalFormatting>
  <conditionalFormatting sqref="H146">
    <cfRule type="beginsWith" dxfId="8317" priority="1939" stopIfTrue="1" operator="beginsWith" text="Functioning At Risk">
      <formula>LEFT(H146,LEN("Functioning At Risk"))="Functioning At Risk"</formula>
    </cfRule>
    <cfRule type="beginsWith" dxfId="8316" priority="1940" stopIfTrue="1" operator="beginsWith" text="Not Functioning">
      <formula>LEFT(H146,LEN("Not Functioning"))="Not Functioning"</formula>
    </cfRule>
    <cfRule type="containsText" dxfId="8315" priority="1941" operator="containsText" text="Functioning">
      <formula>NOT(ISERROR(SEARCH("Functioning",H146)))</formula>
    </cfRule>
  </conditionalFormatting>
  <conditionalFormatting sqref="I146">
    <cfRule type="beginsWith" dxfId="8314" priority="1936" stopIfTrue="1" operator="beginsWith" text="Functioning At Risk">
      <formula>LEFT(I146,LEN("Functioning At Risk"))="Functioning At Risk"</formula>
    </cfRule>
    <cfRule type="beginsWith" dxfId="8313" priority="1937" stopIfTrue="1" operator="beginsWith" text="Not Functioning">
      <formula>LEFT(I146,LEN("Not Functioning"))="Not Functioning"</formula>
    </cfRule>
    <cfRule type="containsText" dxfId="8312" priority="1938" operator="containsText" text="Functioning">
      <formula>NOT(ISERROR(SEARCH("Functioning",I146)))</formula>
    </cfRule>
  </conditionalFormatting>
  <conditionalFormatting sqref="D154">
    <cfRule type="beginsWith" dxfId="8311" priority="1933" stopIfTrue="1" operator="beginsWith" text="Functioning At Risk">
      <formula>LEFT(D154,LEN("Functioning At Risk"))="Functioning At Risk"</formula>
    </cfRule>
    <cfRule type="beginsWith" dxfId="8310" priority="1934" stopIfTrue="1" operator="beginsWith" text="Not Functioning">
      <formula>LEFT(D154,LEN("Not Functioning"))="Not Functioning"</formula>
    </cfRule>
    <cfRule type="containsText" dxfId="8309" priority="1935" operator="containsText" text="Functioning">
      <formula>NOT(ISERROR(SEARCH("Functioning",D154)))</formula>
    </cfRule>
  </conditionalFormatting>
  <conditionalFormatting sqref="D155">
    <cfRule type="beginsWith" dxfId="8308" priority="1930" stopIfTrue="1" operator="beginsWith" text="Functioning At Risk">
      <formula>LEFT(D155,LEN("Functioning At Risk"))="Functioning At Risk"</formula>
    </cfRule>
    <cfRule type="beginsWith" dxfId="8307" priority="1931" stopIfTrue="1" operator="beginsWith" text="Not Functioning">
      <formula>LEFT(D155,LEN("Not Functioning"))="Not Functioning"</formula>
    </cfRule>
    <cfRule type="containsText" dxfId="8306" priority="1932" operator="containsText" text="Functioning">
      <formula>NOT(ISERROR(SEARCH("Functioning",D155)))</formula>
    </cfRule>
  </conditionalFormatting>
  <conditionalFormatting sqref="B154">
    <cfRule type="beginsWith" dxfId="8305" priority="1927" stopIfTrue="1" operator="beginsWith" text="Functioning At Risk">
      <formula>LEFT(B154,LEN("Functioning At Risk"))="Functioning At Risk"</formula>
    </cfRule>
    <cfRule type="beginsWith" dxfId="8304" priority="1928" stopIfTrue="1" operator="beginsWith" text="Not Functioning">
      <formula>LEFT(B154,LEN("Not Functioning"))="Not Functioning"</formula>
    </cfRule>
    <cfRule type="containsText" dxfId="8303" priority="1929" operator="containsText" text="Functioning">
      <formula>NOT(ISERROR(SEARCH("Functioning",B154)))</formula>
    </cfRule>
  </conditionalFormatting>
  <conditionalFormatting sqref="B130">
    <cfRule type="beginsWith" dxfId="8302" priority="1921" stopIfTrue="1" operator="beginsWith" text="Functioning At Risk">
      <formula>LEFT(B130,LEN("Functioning At Risk"))="Functioning At Risk"</formula>
    </cfRule>
    <cfRule type="beginsWith" dxfId="8301" priority="1922" stopIfTrue="1" operator="beginsWith" text="Not Functioning">
      <formula>LEFT(B130,LEN("Not Functioning"))="Not Functioning"</formula>
    </cfRule>
    <cfRule type="containsText" dxfId="8300" priority="1923" operator="containsText" text="Functioning">
      <formula>NOT(ISERROR(SEARCH("Functioning",B130)))</formula>
    </cfRule>
  </conditionalFormatting>
  <conditionalFormatting sqref="E154 E122:E123 E146">
    <cfRule type="beginsWith" dxfId="8299" priority="1909" stopIfTrue="1" operator="beginsWith" text="Functioning At Risk">
      <formula>LEFT(E122,LEN("Functioning At Risk"))="Functioning At Risk"</formula>
    </cfRule>
    <cfRule type="beginsWith" dxfId="8298" priority="1910" stopIfTrue="1" operator="beginsWith" text="Not Functioning">
      <formula>LEFT(E122,LEN("Not Functioning"))="Not Functioning"</formula>
    </cfRule>
    <cfRule type="containsText" dxfId="8297" priority="1911" operator="containsText" text="Functioning">
      <formula>NOT(ISERROR(SEARCH("Functioning",E122)))</formula>
    </cfRule>
  </conditionalFormatting>
  <conditionalFormatting sqref="E155">
    <cfRule type="beginsWith" dxfId="8296" priority="1906" stopIfTrue="1" operator="beginsWith" text="Functioning At Risk">
      <formula>LEFT(E155,LEN("Functioning At Risk"))="Functioning At Risk"</formula>
    </cfRule>
    <cfRule type="beginsWith" dxfId="8295" priority="1907" stopIfTrue="1" operator="beginsWith" text="Not Functioning">
      <formula>LEFT(E155,LEN("Not Functioning"))="Not Functioning"</formula>
    </cfRule>
    <cfRule type="containsText" dxfId="8294" priority="1908" operator="containsText" text="Functioning">
      <formula>NOT(ISERROR(SEARCH("Functioning",E155)))</formula>
    </cfRule>
  </conditionalFormatting>
  <conditionalFormatting sqref="E146">
    <cfRule type="expression" dxfId="8293" priority="1901">
      <formula>B29="Level 4 - Physicochemical"</formula>
    </cfRule>
    <cfRule type="expression" dxfId="8292" priority="1905">
      <formula>B29="Level 5 - Biology"</formula>
    </cfRule>
  </conditionalFormatting>
  <conditionalFormatting sqref="E148">
    <cfRule type="expression" dxfId="8291" priority="1900">
      <formula>B29="Level 4 - Physicochemical"</formula>
    </cfRule>
    <cfRule type="expression" dxfId="8290" priority="1904">
      <formula>B29="Level 5 - Biology"</formula>
    </cfRule>
  </conditionalFormatting>
  <conditionalFormatting sqref="E149">
    <cfRule type="expression" dxfId="8289" priority="1899">
      <formula>B29="Level 4 - Physicochemical"</formula>
    </cfRule>
    <cfRule type="expression" dxfId="8288" priority="1903">
      <formula>B29="Level 5 - Biology"</formula>
    </cfRule>
  </conditionalFormatting>
  <conditionalFormatting sqref="E155">
    <cfRule type="expression" dxfId="8287" priority="1902">
      <formula>B29="Level 5 - Biology"</formula>
    </cfRule>
  </conditionalFormatting>
  <conditionalFormatting sqref="E147">
    <cfRule type="expression" dxfId="8286" priority="1915">
      <formula>B30="Level 4 - Physicochemical"</formula>
    </cfRule>
    <cfRule type="expression" dxfId="8285" priority="1916">
      <formula>B30="Level 5 - Biology"</formula>
    </cfRule>
  </conditionalFormatting>
  <conditionalFormatting sqref="E154">
    <cfRule type="expression" dxfId="8284" priority="1917">
      <formula>B31="Level 5 - Biology"</formula>
    </cfRule>
  </conditionalFormatting>
  <conditionalFormatting sqref="E144:E145">
    <cfRule type="beginsWith" dxfId="8283" priority="1893" stopIfTrue="1" operator="beginsWith" text="Functioning At Risk">
      <formula>LEFT(E144,LEN("Functioning At Risk"))="Functioning At Risk"</formula>
    </cfRule>
    <cfRule type="beginsWith" dxfId="8282" priority="1894" stopIfTrue="1" operator="beginsWith" text="Not Functioning">
      <formula>LEFT(E144,LEN("Not Functioning"))="Not Functioning"</formula>
    </cfRule>
    <cfRule type="containsText" dxfId="8281" priority="1895" operator="containsText" text="Functioning">
      <formula>NOT(ISERROR(SEARCH("Functioning",E144)))</formula>
    </cfRule>
  </conditionalFormatting>
  <conditionalFormatting sqref="E153">
    <cfRule type="expression" dxfId="8280" priority="1891">
      <formula>B1048535="Level 5 - Biology"</formula>
    </cfRule>
  </conditionalFormatting>
  <conditionalFormatting sqref="E150:E153">
    <cfRule type="beginsWith" dxfId="8279" priority="1888" stopIfTrue="1" operator="beginsWith" text="Functioning At Risk">
      <formula>LEFT(E150,LEN("Functioning At Risk"))="Functioning At Risk"</formula>
    </cfRule>
    <cfRule type="beginsWith" dxfId="8278" priority="1889" stopIfTrue="1" operator="beginsWith" text="Not Functioning">
      <formula>LEFT(E150,LEN("Not Functioning"))="Not Functioning"</formula>
    </cfRule>
    <cfRule type="containsText" dxfId="8277" priority="1890" operator="containsText" text="Functioning">
      <formula>NOT(ISERROR(SEARCH("Functioning",E150)))</formula>
    </cfRule>
  </conditionalFormatting>
  <conditionalFormatting sqref="E150:E152">
    <cfRule type="expression" dxfId="8276" priority="1892">
      <formula>B1048534="Level 5 - Biology"</formula>
    </cfRule>
  </conditionalFormatting>
  <conditionalFormatting sqref="C130:C132 C147:C148 C141:C142 C153 C145 C122:C125 C150:C151">
    <cfRule type="beginsWith" dxfId="8275" priority="1885" stopIfTrue="1" operator="beginsWith" text="Functioning At Risk">
      <formula>LEFT(C122,LEN("Functioning At Risk"))="Functioning At Risk"</formula>
    </cfRule>
    <cfRule type="beginsWith" dxfId="8274" priority="1886" stopIfTrue="1" operator="beginsWith" text="Not Functioning">
      <formula>LEFT(C122,LEN("Not Functioning"))="Not Functioning"</formula>
    </cfRule>
    <cfRule type="containsText" dxfId="8273" priority="1887" operator="containsText" text="Functioning">
      <formula>NOT(ISERROR(SEARCH("Functioning",C122)))</formula>
    </cfRule>
  </conditionalFormatting>
  <conditionalFormatting sqref="C133">
    <cfRule type="beginsWith" dxfId="8272" priority="1882" stopIfTrue="1" operator="beginsWith" text="Functioning At Risk">
      <formula>LEFT(C133,LEN("Functioning At Risk"))="Functioning At Risk"</formula>
    </cfRule>
    <cfRule type="beginsWith" dxfId="8271" priority="1883" stopIfTrue="1" operator="beginsWith" text="Not Functioning">
      <formula>LEFT(C133,LEN("Not Functioning"))="Not Functioning"</formula>
    </cfRule>
    <cfRule type="containsText" dxfId="8270" priority="1884" operator="containsText" text="Functioning">
      <formula>NOT(ISERROR(SEARCH("Functioning",C133)))</formula>
    </cfRule>
  </conditionalFormatting>
  <conditionalFormatting sqref="C140">
    <cfRule type="beginsWith" dxfId="8269" priority="1879" stopIfTrue="1" operator="beginsWith" text="Functioning At Risk">
      <formula>LEFT(C140,LEN("Functioning At Risk"))="Functioning At Risk"</formula>
    </cfRule>
    <cfRule type="beginsWith" dxfId="8268" priority="1880" stopIfTrue="1" operator="beginsWith" text="Not Functioning">
      <formula>LEFT(C140,LEN("Not Functioning"))="Not Functioning"</formula>
    </cfRule>
    <cfRule type="containsText" dxfId="8267" priority="1881" operator="containsText" text="Functioning">
      <formula>NOT(ISERROR(SEARCH("Functioning",C140)))</formula>
    </cfRule>
  </conditionalFormatting>
  <conditionalFormatting sqref="C134:C137">
    <cfRule type="beginsWith" dxfId="8266" priority="1876" stopIfTrue="1" operator="beginsWith" text="Functioning At Risk">
      <formula>LEFT(C134,LEN("Functioning At Risk"))="Functioning At Risk"</formula>
    </cfRule>
    <cfRule type="beginsWith" dxfId="8265" priority="1877" stopIfTrue="1" operator="beginsWith" text="Not Functioning">
      <formula>LEFT(C134,LEN("Not Functioning"))="Not Functioning"</formula>
    </cfRule>
    <cfRule type="containsText" dxfId="8264" priority="1878" operator="containsText" text="Functioning">
      <formula>NOT(ISERROR(SEARCH("Functioning",C134)))</formula>
    </cfRule>
  </conditionalFormatting>
  <conditionalFormatting sqref="C143">
    <cfRule type="beginsWith" dxfId="8263" priority="1873" stopIfTrue="1" operator="beginsWith" text="Functioning At Risk">
      <formula>LEFT(C143,LEN("Functioning At Risk"))="Functioning At Risk"</formula>
    </cfRule>
    <cfRule type="beginsWith" dxfId="8262" priority="1874" stopIfTrue="1" operator="beginsWith" text="Not Functioning">
      <formula>LEFT(C143,LEN("Not Functioning"))="Not Functioning"</formula>
    </cfRule>
    <cfRule type="containsText" dxfId="8261" priority="1875" operator="containsText" text="Functioning">
      <formula>NOT(ISERROR(SEARCH("Functioning",C143)))</formula>
    </cfRule>
  </conditionalFormatting>
  <conditionalFormatting sqref="C144">
    <cfRule type="beginsWith" dxfId="8260" priority="1870" stopIfTrue="1" operator="beginsWith" text="Functioning At Risk">
      <formula>LEFT(C144,LEN("Functioning At Risk"))="Functioning At Risk"</formula>
    </cfRule>
    <cfRule type="beginsWith" dxfId="8259" priority="1871" stopIfTrue="1" operator="beginsWith" text="Not Functioning">
      <formula>LEFT(C144,LEN("Not Functioning"))="Not Functioning"</formula>
    </cfRule>
    <cfRule type="containsText" dxfId="8258" priority="1872" operator="containsText" text="Functioning">
      <formula>NOT(ISERROR(SEARCH("Functioning",C144)))</formula>
    </cfRule>
  </conditionalFormatting>
  <conditionalFormatting sqref="C155">
    <cfRule type="beginsWith" dxfId="8257" priority="1864" stopIfTrue="1" operator="beginsWith" text="Functioning At Risk">
      <formula>LEFT(C155,LEN("Functioning At Risk"))="Functioning At Risk"</formula>
    </cfRule>
    <cfRule type="beginsWith" dxfId="8256" priority="1865" stopIfTrue="1" operator="beginsWith" text="Not Functioning">
      <formula>LEFT(C155,LEN("Not Functioning"))="Not Functioning"</formula>
    </cfRule>
    <cfRule type="containsText" dxfId="8255" priority="1866" operator="containsText" text="Functioning">
      <formula>NOT(ISERROR(SEARCH("Functioning",C155)))</formula>
    </cfRule>
  </conditionalFormatting>
  <conditionalFormatting sqref="C154">
    <cfRule type="beginsWith" dxfId="8254" priority="1867" stopIfTrue="1" operator="beginsWith" text="Functioning At Risk">
      <formula>LEFT(C154,LEN("Functioning At Risk"))="Functioning At Risk"</formula>
    </cfRule>
    <cfRule type="beginsWith" dxfId="8253" priority="1868" stopIfTrue="1" operator="beginsWith" text="Not Functioning">
      <formula>LEFT(C154,LEN("Not Functioning"))="Not Functioning"</formula>
    </cfRule>
    <cfRule type="containsText" dxfId="8252" priority="1869" operator="containsText" text="Functioning">
      <formula>NOT(ISERROR(SEARCH("Functioning",C154)))</formula>
    </cfRule>
  </conditionalFormatting>
  <conditionalFormatting sqref="C152">
    <cfRule type="beginsWith" dxfId="8251" priority="1861" stopIfTrue="1" operator="beginsWith" text="Functioning At Risk">
      <formula>LEFT(C152,LEN("Functioning At Risk"))="Functioning At Risk"</formula>
    </cfRule>
    <cfRule type="beginsWith" dxfId="8250" priority="1862" stopIfTrue="1" operator="beginsWith" text="Not Functioning">
      <formula>LEFT(C152,LEN("Not Functioning"))="Not Functioning"</formula>
    </cfRule>
    <cfRule type="containsText" dxfId="8249" priority="1863" operator="containsText" text="Functioning">
      <formula>NOT(ISERROR(SEARCH("Functioning",C152)))</formula>
    </cfRule>
  </conditionalFormatting>
  <conditionalFormatting sqref="C138:C139">
    <cfRule type="beginsWith" dxfId="8248" priority="1858" stopIfTrue="1" operator="beginsWith" text="Functioning At Risk">
      <formula>LEFT(C138,LEN("Functioning At Risk"))="Functioning At Risk"</formula>
    </cfRule>
    <cfRule type="beginsWith" dxfId="8247" priority="1859" stopIfTrue="1" operator="beginsWith" text="Not Functioning">
      <formula>LEFT(C138,LEN("Not Functioning"))="Not Functioning"</formula>
    </cfRule>
    <cfRule type="containsText" dxfId="8246" priority="1860" operator="containsText" text="Functioning">
      <formula>NOT(ISERROR(SEARCH("Functioning",C138)))</formula>
    </cfRule>
  </conditionalFormatting>
  <conditionalFormatting sqref="E141">
    <cfRule type="beginsWith" dxfId="8245" priority="1843" stopIfTrue="1" operator="beginsWith" text="Functioning At Risk">
      <formula>LEFT(E141,LEN("Functioning At Risk"))="Functioning At Risk"</formula>
    </cfRule>
    <cfRule type="beginsWith" dxfId="8244" priority="1844" stopIfTrue="1" operator="beginsWith" text="Not Functioning">
      <formula>LEFT(E141,LEN("Not Functioning"))="Not Functioning"</formula>
    </cfRule>
    <cfRule type="containsText" dxfId="8243" priority="1845" operator="containsText" text="Functioning">
      <formula>NOT(ISERROR(SEARCH("Functioning",E141)))</formula>
    </cfRule>
  </conditionalFormatting>
  <conditionalFormatting sqref="E143">
    <cfRule type="beginsWith" dxfId="8242" priority="1840" stopIfTrue="1" operator="beginsWith" text="Functioning At Risk">
      <formula>LEFT(E143,LEN("Functioning At Risk"))="Functioning At Risk"</formula>
    </cfRule>
    <cfRule type="beginsWith" dxfId="8241" priority="1841" stopIfTrue="1" operator="beginsWith" text="Not Functioning">
      <formula>LEFT(E143,LEN("Not Functioning"))="Not Functioning"</formula>
    </cfRule>
    <cfRule type="containsText" dxfId="8240" priority="1842" operator="containsText" text="Functioning">
      <formula>NOT(ISERROR(SEARCH("Functioning",E143)))</formula>
    </cfRule>
  </conditionalFormatting>
  <conditionalFormatting sqref="E130:E132">
    <cfRule type="beginsWith" dxfId="8239" priority="1837" stopIfTrue="1" operator="beginsWith" text="Functioning At Risk">
      <formula>LEFT(E130,LEN("Functioning At Risk"))="Functioning At Risk"</formula>
    </cfRule>
    <cfRule type="beginsWith" dxfId="8238" priority="1838" stopIfTrue="1" operator="beginsWith" text="Not Functioning">
      <formula>LEFT(E130,LEN("Not Functioning"))="Not Functioning"</formula>
    </cfRule>
    <cfRule type="containsText" dxfId="8237" priority="1839" operator="containsText" text="Functioning">
      <formula>NOT(ISERROR(SEARCH("Functioning",E130)))</formula>
    </cfRule>
  </conditionalFormatting>
  <conditionalFormatting sqref="E134:E137">
    <cfRule type="beginsWith" dxfId="8236" priority="1834" stopIfTrue="1" operator="beginsWith" text="Functioning At Risk">
      <formula>LEFT(E134,LEN("Functioning At Risk"))="Functioning At Risk"</formula>
    </cfRule>
    <cfRule type="beginsWith" dxfId="8235" priority="1835" stopIfTrue="1" operator="beginsWith" text="Not Functioning">
      <formula>LEFT(E134,LEN("Not Functioning"))="Not Functioning"</formula>
    </cfRule>
    <cfRule type="containsText" dxfId="8234" priority="1836" operator="containsText" text="Functioning">
      <formula>NOT(ISERROR(SEARCH("Functioning",E134)))</formula>
    </cfRule>
  </conditionalFormatting>
  <conditionalFormatting sqref="E142">
    <cfRule type="beginsWith" dxfId="8233" priority="1819" stopIfTrue="1" operator="beginsWith" text="Functioning At Risk">
      <formula>LEFT(E142,LEN("Functioning At Risk"))="Functioning At Risk"</formula>
    </cfRule>
    <cfRule type="beginsWith" dxfId="8232" priority="1820" stopIfTrue="1" operator="beginsWith" text="Not Functioning">
      <formula>LEFT(E142,LEN("Not Functioning"))="Not Functioning"</formula>
    </cfRule>
    <cfRule type="containsText" dxfId="8231" priority="1821" operator="containsText" text="Functioning">
      <formula>NOT(ISERROR(SEARCH("Functioning",E142)))</formula>
    </cfRule>
  </conditionalFormatting>
  <conditionalFormatting sqref="A158:C158 E158:K158 D186:D187">
    <cfRule type="beginsWith" dxfId="8230" priority="1813" stopIfTrue="1" operator="beginsWith" text="Functioning At Risk">
      <formula>LEFT(A158,LEN("Functioning At Risk"))="Functioning At Risk"</formula>
    </cfRule>
    <cfRule type="beginsWith" dxfId="8229" priority="1814" stopIfTrue="1" operator="beginsWith" text="Not Functioning">
      <formula>LEFT(A158,LEN("Not Functioning"))="Not Functioning"</formula>
    </cfRule>
    <cfRule type="containsText" dxfId="8228" priority="1815" operator="containsText" text="Functioning">
      <formula>NOT(ISERROR(SEARCH("Functioning",A158)))</formula>
    </cfRule>
  </conditionalFormatting>
  <conditionalFormatting sqref="I189:I193 B187:B188 D177 B180 A161:B161 A189:B191 H163:I164 H161:I161 H159:K160 A163:B163 A192:A193 D169:D171 B184:B185 A164 D189:D192 D161:D164 D180:D184">
    <cfRule type="beginsWith" dxfId="8227" priority="1810" stopIfTrue="1" operator="beginsWith" text="Functioning At Risk">
      <formula>LEFT(A159,LEN("Functioning At Risk"))="Functioning At Risk"</formula>
    </cfRule>
    <cfRule type="beginsWith" dxfId="8226" priority="1811" stopIfTrue="1" operator="beginsWith" text="Not Functioning">
      <formula>LEFT(A159,LEN("Not Functioning"))="Not Functioning"</formula>
    </cfRule>
    <cfRule type="containsText" dxfId="8225" priority="1812" operator="containsText" text="Functioning">
      <formula>NOT(ISERROR(SEARCH("Functioning",A159)))</formula>
    </cfRule>
  </conditionalFormatting>
  <conditionalFormatting sqref="D172">
    <cfRule type="beginsWith" dxfId="8224" priority="1804" stopIfTrue="1" operator="beginsWith" text="Functioning At Risk">
      <formula>LEFT(D172,LEN("Functioning At Risk"))="Functioning At Risk"</formula>
    </cfRule>
    <cfRule type="beginsWith" dxfId="8223" priority="1805" stopIfTrue="1" operator="beginsWith" text="Not Functioning">
      <formula>LEFT(D172,LEN("Not Functioning"))="Not Functioning"</formula>
    </cfRule>
    <cfRule type="containsText" dxfId="8222" priority="1806" operator="containsText" text="Functioning">
      <formula>NOT(ISERROR(SEARCH("Functioning",D172)))</formula>
    </cfRule>
  </conditionalFormatting>
  <conditionalFormatting sqref="D178">
    <cfRule type="beginsWith" dxfId="8221" priority="1801" stopIfTrue="1" operator="beginsWith" text="Functioning At Risk">
      <formula>LEFT(D178,LEN("Functioning At Risk"))="Functioning At Risk"</formula>
    </cfRule>
    <cfRule type="beginsWith" dxfId="8220" priority="1802" stopIfTrue="1" operator="beginsWith" text="Not Functioning">
      <formula>LEFT(D178,LEN("Not Functioning"))="Not Functioning"</formula>
    </cfRule>
    <cfRule type="containsText" dxfId="8219" priority="1803" operator="containsText" text="Functioning">
      <formula>NOT(ISERROR(SEARCH("Functioning",D178)))</formula>
    </cfRule>
  </conditionalFormatting>
  <conditionalFormatting sqref="D179">
    <cfRule type="beginsWith" dxfId="8218" priority="1798" stopIfTrue="1" operator="beginsWith" text="Functioning At Risk">
      <formula>LEFT(D179,LEN("Functioning At Risk"))="Functioning At Risk"</formula>
    </cfRule>
    <cfRule type="beginsWith" dxfId="8217" priority="1799" stopIfTrue="1" operator="beginsWith" text="Not Functioning">
      <formula>LEFT(D179,LEN("Not Functioning"))="Not Functioning"</formula>
    </cfRule>
    <cfRule type="containsText" dxfId="8216" priority="1800" operator="containsText" text="Functioning">
      <formula>NOT(ISERROR(SEARCH("Functioning",D179)))</formula>
    </cfRule>
  </conditionalFormatting>
  <conditionalFormatting sqref="D173:D176">
    <cfRule type="beginsWith" dxfId="8215" priority="1795" stopIfTrue="1" operator="beginsWith" text="Functioning At Risk">
      <formula>LEFT(D173,LEN("Functioning At Risk"))="Functioning At Risk"</formula>
    </cfRule>
    <cfRule type="beginsWith" dxfId="8214" priority="1796" stopIfTrue="1" operator="beginsWith" text="Not Functioning">
      <formula>LEFT(D173,LEN("Not Functioning"))="Not Functioning"</formula>
    </cfRule>
    <cfRule type="containsText" dxfId="8213" priority="1797" operator="containsText" text="Functioning">
      <formula>NOT(ISERROR(SEARCH("Functioning",D173)))</formula>
    </cfRule>
  </conditionalFormatting>
  <conditionalFormatting sqref="A185">
    <cfRule type="beginsWith" dxfId="8212" priority="1792" stopIfTrue="1" operator="beginsWith" text="Functioning At Risk">
      <formula>LEFT(A185,LEN("Functioning At Risk"))="Functioning At Risk"</formula>
    </cfRule>
    <cfRule type="beginsWith" dxfId="8211" priority="1793" stopIfTrue="1" operator="beginsWith" text="Not Functioning">
      <formula>LEFT(A185,LEN("Not Functioning"))="Not Functioning"</formula>
    </cfRule>
    <cfRule type="containsText" dxfId="8210" priority="1794" operator="containsText" text="Functioning">
      <formula>NOT(ISERROR(SEARCH("Functioning",A185)))</formula>
    </cfRule>
  </conditionalFormatting>
  <conditionalFormatting sqref="H185">
    <cfRule type="beginsWith" dxfId="8209" priority="1789" stopIfTrue="1" operator="beginsWith" text="Functioning At Risk">
      <formula>LEFT(H185,LEN("Functioning At Risk"))="Functioning At Risk"</formula>
    </cfRule>
    <cfRule type="beginsWith" dxfId="8208" priority="1790" stopIfTrue="1" operator="beginsWith" text="Not Functioning">
      <formula>LEFT(H185,LEN("Not Functioning"))="Not Functioning"</formula>
    </cfRule>
    <cfRule type="containsText" dxfId="8207" priority="1791" operator="containsText" text="Functioning">
      <formula>NOT(ISERROR(SEARCH("Functioning",H185)))</formula>
    </cfRule>
  </conditionalFormatting>
  <conditionalFormatting sqref="I185">
    <cfRule type="beginsWith" dxfId="8206" priority="1786" stopIfTrue="1" operator="beginsWith" text="Functioning At Risk">
      <formula>LEFT(I185,LEN("Functioning At Risk"))="Functioning At Risk"</formula>
    </cfRule>
    <cfRule type="beginsWith" dxfId="8205" priority="1787" stopIfTrue="1" operator="beginsWith" text="Not Functioning">
      <formula>LEFT(I185,LEN("Not Functioning"))="Not Functioning"</formula>
    </cfRule>
    <cfRule type="containsText" dxfId="8204" priority="1788" operator="containsText" text="Functioning">
      <formula>NOT(ISERROR(SEARCH("Functioning",I185)))</formula>
    </cfRule>
  </conditionalFormatting>
  <conditionalFormatting sqref="D193">
    <cfRule type="beginsWith" dxfId="8203" priority="1783" stopIfTrue="1" operator="beginsWith" text="Functioning At Risk">
      <formula>LEFT(D193,LEN("Functioning At Risk"))="Functioning At Risk"</formula>
    </cfRule>
    <cfRule type="beginsWith" dxfId="8202" priority="1784" stopIfTrue="1" operator="beginsWith" text="Not Functioning">
      <formula>LEFT(D193,LEN("Not Functioning"))="Not Functioning"</formula>
    </cfRule>
    <cfRule type="containsText" dxfId="8201" priority="1785" operator="containsText" text="Functioning">
      <formula>NOT(ISERROR(SEARCH("Functioning",D193)))</formula>
    </cfRule>
  </conditionalFormatting>
  <conditionalFormatting sqref="D194">
    <cfRule type="beginsWith" dxfId="8200" priority="1780" stopIfTrue="1" operator="beginsWith" text="Functioning At Risk">
      <formula>LEFT(D194,LEN("Functioning At Risk"))="Functioning At Risk"</formula>
    </cfRule>
    <cfRule type="beginsWith" dxfId="8199" priority="1781" stopIfTrue="1" operator="beginsWith" text="Not Functioning">
      <formula>LEFT(D194,LEN("Not Functioning"))="Not Functioning"</formula>
    </cfRule>
    <cfRule type="containsText" dxfId="8198" priority="1782" operator="containsText" text="Functioning">
      <formula>NOT(ISERROR(SEARCH("Functioning",D194)))</formula>
    </cfRule>
  </conditionalFormatting>
  <conditionalFormatting sqref="B193">
    <cfRule type="beginsWith" dxfId="8197" priority="1777" stopIfTrue="1" operator="beginsWith" text="Functioning At Risk">
      <formula>LEFT(B193,LEN("Functioning At Risk"))="Functioning At Risk"</formula>
    </cfRule>
    <cfRule type="beginsWith" dxfId="8196" priority="1778" stopIfTrue="1" operator="beginsWith" text="Not Functioning">
      <formula>LEFT(B193,LEN("Not Functioning"))="Not Functioning"</formula>
    </cfRule>
    <cfRule type="containsText" dxfId="8195" priority="1779" operator="containsText" text="Functioning">
      <formula>NOT(ISERROR(SEARCH("Functioning",B193)))</formula>
    </cfRule>
  </conditionalFormatting>
  <conditionalFormatting sqref="B169">
    <cfRule type="beginsWith" dxfId="8194" priority="1771" stopIfTrue="1" operator="beginsWith" text="Functioning At Risk">
      <formula>LEFT(B169,LEN("Functioning At Risk"))="Functioning At Risk"</formula>
    </cfRule>
    <cfRule type="beginsWith" dxfId="8193" priority="1772" stopIfTrue="1" operator="beginsWith" text="Not Functioning">
      <formula>LEFT(B169,LEN("Not Functioning"))="Not Functioning"</formula>
    </cfRule>
    <cfRule type="containsText" dxfId="8192" priority="1773" operator="containsText" text="Functioning">
      <formula>NOT(ISERROR(SEARCH("Functioning",B169)))</formula>
    </cfRule>
  </conditionalFormatting>
  <conditionalFormatting sqref="D217">
    <cfRule type="beginsWith" dxfId="8191" priority="1651" stopIfTrue="1" operator="beginsWith" text="Functioning At Risk">
      <formula>LEFT(D217,LEN("Functioning At Risk"))="Functioning At Risk"</formula>
    </cfRule>
    <cfRule type="beginsWith" dxfId="8190" priority="1652" stopIfTrue="1" operator="beginsWith" text="Not Functioning">
      <formula>LEFT(D217,LEN("Not Functioning"))="Not Functioning"</formula>
    </cfRule>
    <cfRule type="containsText" dxfId="8189" priority="1653" operator="containsText" text="Functioning">
      <formula>NOT(ISERROR(SEARCH("Functioning",D217)))</formula>
    </cfRule>
  </conditionalFormatting>
  <conditionalFormatting sqref="E193 E161:E162 E185">
    <cfRule type="beginsWith" dxfId="8188" priority="1759" stopIfTrue="1" operator="beginsWith" text="Functioning At Risk">
      <formula>LEFT(E161,LEN("Functioning At Risk"))="Functioning At Risk"</formula>
    </cfRule>
    <cfRule type="beginsWith" dxfId="8187" priority="1760" stopIfTrue="1" operator="beginsWith" text="Not Functioning">
      <formula>LEFT(E161,LEN("Not Functioning"))="Not Functioning"</formula>
    </cfRule>
    <cfRule type="containsText" dxfId="8186" priority="1761" operator="containsText" text="Functioning">
      <formula>NOT(ISERROR(SEARCH("Functioning",E161)))</formula>
    </cfRule>
  </conditionalFormatting>
  <conditionalFormatting sqref="E194">
    <cfRule type="beginsWith" dxfId="8185" priority="1756" stopIfTrue="1" operator="beginsWith" text="Functioning At Risk">
      <formula>LEFT(E194,LEN("Functioning At Risk"))="Functioning At Risk"</formula>
    </cfRule>
    <cfRule type="beginsWith" dxfId="8184" priority="1757" stopIfTrue="1" operator="beginsWith" text="Not Functioning">
      <formula>LEFT(E194,LEN("Not Functioning"))="Not Functioning"</formula>
    </cfRule>
    <cfRule type="containsText" dxfId="8183" priority="1758" operator="containsText" text="Functioning">
      <formula>NOT(ISERROR(SEARCH("Functioning",E194)))</formula>
    </cfRule>
  </conditionalFormatting>
  <conditionalFormatting sqref="E185">
    <cfRule type="expression" dxfId="8182" priority="1751">
      <formula>B68="Level 4 - Physicochemical"</formula>
    </cfRule>
    <cfRule type="expression" dxfId="8181" priority="1755">
      <formula>B68="Level 5 - Biology"</formula>
    </cfRule>
  </conditionalFormatting>
  <conditionalFormatting sqref="E187">
    <cfRule type="expression" dxfId="8180" priority="1750">
      <formula>B68="Level 4 - Physicochemical"</formula>
    </cfRule>
    <cfRule type="expression" dxfId="8179" priority="1754">
      <formula>B68="Level 5 - Biology"</formula>
    </cfRule>
  </conditionalFormatting>
  <conditionalFormatting sqref="E188">
    <cfRule type="expression" dxfId="8178" priority="1749">
      <formula>B68="Level 4 - Physicochemical"</formula>
    </cfRule>
    <cfRule type="expression" dxfId="8177" priority="1753">
      <formula>B68="Level 5 - Biology"</formula>
    </cfRule>
  </conditionalFormatting>
  <conditionalFormatting sqref="E194">
    <cfRule type="expression" dxfId="8176" priority="1752">
      <formula>B68="Level 5 - Biology"</formula>
    </cfRule>
  </conditionalFormatting>
  <conditionalFormatting sqref="E186">
    <cfRule type="expression" dxfId="8175" priority="1765">
      <formula>B69="Level 4 - Physicochemical"</formula>
    </cfRule>
    <cfRule type="expression" dxfId="8174" priority="1766">
      <formula>B69="Level 5 - Biology"</formula>
    </cfRule>
  </conditionalFormatting>
  <conditionalFormatting sqref="E193">
    <cfRule type="expression" dxfId="8173" priority="1767">
      <formula>B70="Level 5 - Biology"</formula>
    </cfRule>
  </conditionalFormatting>
  <conditionalFormatting sqref="E183:E184">
    <cfRule type="beginsWith" dxfId="8172" priority="1743" stopIfTrue="1" operator="beginsWith" text="Functioning At Risk">
      <formula>LEFT(E183,LEN("Functioning At Risk"))="Functioning At Risk"</formula>
    </cfRule>
    <cfRule type="beginsWith" dxfId="8171" priority="1744" stopIfTrue="1" operator="beginsWith" text="Not Functioning">
      <formula>LEFT(E183,LEN("Not Functioning"))="Not Functioning"</formula>
    </cfRule>
    <cfRule type="containsText" dxfId="8170" priority="1745" operator="containsText" text="Functioning">
      <formula>NOT(ISERROR(SEARCH("Functioning",E183)))</formula>
    </cfRule>
  </conditionalFormatting>
  <conditionalFormatting sqref="E189:E192">
    <cfRule type="beginsWith" dxfId="8169" priority="1738" stopIfTrue="1" operator="beginsWith" text="Functioning At Risk">
      <formula>LEFT(E189,LEN("Functioning At Risk"))="Functioning At Risk"</formula>
    </cfRule>
    <cfRule type="beginsWith" dxfId="8168" priority="1739" stopIfTrue="1" operator="beginsWith" text="Not Functioning">
      <formula>LEFT(E189,LEN("Not Functioning"))="Not Functioning"</formula>
    </cfRule>
    <cfRule type="containsText" dxfId="8167" priority="1740" operator="containsText" text="Functioning">
      <formula>NOT(ISERROR(SEARCH("Functioning",E189)))</formula>
    </cfRule>
  </conditionalFormatting>
  <conditionalFormatting sqref="C169:C171 C186:C187 C180:C181 C192 C184 C161:C164 C189:C190">
    <cfRule type="beginsWith" dxfId="8166" priority="1735" stopIfTrue="1" operator="beginsWith" text="Functioning At Risk">
      <formula>LEFT(C161,LEN("Functioning At Risk"))="Functioning At Risk"</formula>
    </cfRule>
    <cfRule type="beginsWith" dxfId="8165" priority="1736" stopIfTrue="1" operator="beginsWith" text="Not Functioning">
      <formula>LEFT(C161,LEN("Not Functioning"))="Not Functioning"</formula>
    </cfRule>
    <cfRule type="containsText" dxfId="8164" priority="1737" operator="containsText" text="Functioning">
      <formula>NOT(ISERROR(SEARCH("Functioning",C161)))</formula>
    </cfRule>
  </conditionalFormatting>
  <conditionalFormatting sqref="C172">
    <cfRule type="beginsWith" dxfId="8163" priority="1732" stopIfTrue="1" operator="beginsWith" text="Functioning At Risk">
      <formula>LEFT(C172,LEN("Functioning At Risk"))="Functioning At Risk"</formula>
    </cfRule>
    <cfRule type="beginsWith" dxfId="8162" priority="1733" stopIfTrue="1" operator="beginsWith" text="Not Functioning">
      <formula>LEFT(C172,LEN("Not Functioning"))="Not Functioning"</formula>
    </cfRule>
    <cfRule type="containsText" dxfId="8161" priority="1734" operator="containsText" text="Functioning">
      <formula>NOT(ISERROR(SEARCH("Functioning",C172)))</formula>
    </cfRule>
  </conditionalFormatting>
  <conditionalFormatting sqref="C179">
    <cfRule type="beginsWith" dxfId="8160" priority="1729" stopIfTrue="1" operator="beginsWith" text="Functioning At Risk">
      <formula>LEFT(C179,LEN("Functioning At Risk"))="Functioning At Risk"</formula>
    </cfRule>
    <cfRule type="beginsWith" dxfId="8159" priority="1730" stopIfTrue="1" operator="beginsWith" text="Not Functioning">
      <formula>LEFT(C179,LEN("Not Functioning"))="Not Functioning"</formula>
    </cfRule>
    <cfRule type="containsText" dxfId="8158" priority="1731" operator="containsText" text="Functioning">
      <formula>NOT(ISERROR(SEARCH("Functioning",C179)))</formula>
    </cfRule>
  </conditionalFormatting>
  <conditionalFormatting sqref="C173:C176">
    <cfRule type="beginsWith" dxfId="8157" priority="1726" stopIfTrue="1" operator="beginsWith" text="Functioning At Risk">
      <formula>LEFT(C173,LEN("Functioning At Risk"))="Functioning At Risk"</formula>
    </cfRule>
    <cfRule type="beginsWith" dxfId="8156" priority="1727" stopIfTrue="1" operator="beginsWith" text="Not Functioning">
      <formula>LEFT(C173,LEN("Not Functioning"))="Not Functioning"</formula>
    </cfRule>
    <cfRule type="containsText" dxfId="8155" priority="1728" operator="containsText" text="Functioning">
      <formula>NOT(ISERROR(SEARCH("Functioning",C173)))</formula>
    </cfRule>
  </conditionalFormatting>
  <conditionalFormatting sqref="C182">
    <cfRule type="beginsWith" dxfId="8154" priority="1723" stopIfTrue="1" operator="beginsWith" text="Functioning At Risk">
      <formula>LEFT(C182,LEN("Functioning At Risk"))="Functioning At Risk"</formula>
    </cfRule>
    <cfRule type="beginsWith" dxfId="8153" priority="1724" stopIfTrue="1" operator="beginsWith" text="Not Functioning">
      <formula>LEFT(C182,LEN("Not Functioning"))="Not Functioning"</formula>
    </cfRule>
    <cfRule type="containsText" dxfId="8152" priority="1725" operator="containsText" text="Functioning">
      <formula>NOT(ISERROR(SEARCH("Functioning",C182)))</formula>
    </cfRule>
  </conditionalFormatting>
  <conditionalFormatting sqref="C183">
    <cfRule type="beginsWith" dxfId="8151" priority="1720" stopIfTrue="1" operator="beginsWith" text="Functioning At Risk">
      <formula>LEFT(C183,LEN("Functioning At Risk"))="Functioning At Risk"</formula>
    </cfRule>
    <cfRule type="beginsWith" dxfId="8150" priority="1721" stopIfTrue="1" operator="beginsWith" text="Not Functioning">
      <formula>LEFT(C183,LEN("Not Functioning"))="Not Functioning"</formula>
    </cfRule>
    <cfRule type="containsText" dxfId="8149" priority="1722" operator="containsText" text="Functioning">
      <formula>NOT(ISERROR(SEARCH("Functioning",C183)))</formula>
    </cfRule>
  </conditionalFormatting>
  <conditionalFormatting sqref="C194">
    <cfRule type="beginsWith" dxfId="8148" priority="1714" stopIfTrue="1" operator="beginsWith" text="Functioning At Risk">
      <formula>LEFT(C194,LEN("Functioning At Risk"))="Functioning At Risk"</formula>
    </cfRule>
    <cfRule type="beginsWith" dxfId="8147" priority="1715" stopIfTrue="1" operator="beginsWith" text="Not Functioning">
      <formula>LEFT(C194,LEN("Not Functioning"))="Not Functioning"</formula>
    </cfRule>
    <cfRule type="containsText" dxfId="8146" priority="1716" operator="containsText" text="Functioning">
      <formula>NOT(ISERROR(SEARCH("Functioning",C194)))</formula>
    </cfRule>
  </conditionalFormatting>
  <conditionalFormatting sqref="C193">
    <cfRule type="beginsWith" dxfId="8145" priority="1717" stopIfTrue="1" operator="beginsWith" text="Functioning At Risk">
      <formula>LEFT(C193,LEN("Functioning At Risk"))="Functioning At Risk"</formula>
    </cfRule>
    <cfRule type="beginsWith" dxfId="8144" priority="1718" stopIfTrue="1" operator="beginsWith" text="Not Functioning">
      <formula>LEFT(C193,LEN("Not Functioning"))="Not Functioning"</formula>
    </cfRule>
    <cfRule type="containsText" dxfId="8143" priority="1719" operator="containsText" text="Functioning">
      <formula>NOT(ISERROR(SEARCH("Functioning",C193)))</formula>
    </cfRule>
  </conditionalFormatting>
  <conditionalFormatting sqref="C191">
    <cfRule type="beginsWith" dxfId="8142" priority="1711" stopIfTrue="1" operator="beginsWith" text="Functioning At Risk">
      <formula>LEFT(C191,LEN("Functioning At Risk"))="Functioning At Risk"</formula>
    </cfRule>
    <cfRule type="beginsWith" dxfId="8141" priority="1712" stopIfTrue="1" operator="beginsWith" text="Not Functioning">
      <formula>LEFT(C191,LEN("Not Functioning"))="Not Functioning"</formula>
    </cfRule>
    <cfRule type="containsText" dxfId="8140" priority="1713" operator="containsText" text="Functioning">
      <formula>NOT(ISERROR(SEARCH("Functioning",C191)))</formula>
    </cfRule>
  </conditionalFormatting>
  <conditionalFormatting sqref="C177:C178">
    <cfRule type="beginsWith" dxfId="8139" priority="1708" stopIfTrue="1" operator="beginsWith" text="Functioning At Risk">
      <formula>LEFT(C177,LEN("Functioning At Risk"))="Functioning At Risk"</formula>
    </cfRule>
    <cfRule type="beginsWith" dxfId="8138" priority="1709" stopIfTrue="1" operator="beginsWith" text="Not Functioning">
      <formula>LEFT(C177,LEN("Not Functioning"))="Not Functioning"</formula>
    </cfRule>
    <cfRule type="containsText" dxfId="8137" priority="1710" operator="containsText" text="Functioning">
      <formula>NOT(ISERROR(SEARCH("Functioning",C177)))</formula>
    </cfRule>
  </conditionalFormatting>
  <conditionalFormatting sqref="E180">
    <cfRule type="beginsWith" dxfId="8136" priority="1693" stopIfTrue="1" operator="beginsWith" text="Functioning At Risk">
      <formula>LEFT(E180,LEN("Functioning At Risk"))="Functioning At Risk"</formula>
    </cfRule>
    <cfRule type="beginsWith" dxfId="8135" priority="1694" stopIfTrue="1" operator="beginsWith" text="Not Functioning">
      <formula>LEFT(E180,LEN("Not Functioning"))="Not Functioning"</formula>
    </cfRule>
    <cfRule type="containsText" dxfId="8134" priority="1695" operator="containsText" text="Functioning">
      <formula>NOT(ISERROR(SEARCH("Functioning",E180)))</formula>
    </cfRule>
  </conditionalFormatting>
  <conditionalFormatting sqref="E182">
    <cfRule type="beginsWith" dxfId="8133" priority="1690" stopIfTrue="1" operator="beginsWith" text="Functioning At Risk">
      <formula>LEFT(E182,LEN("Functioning At Risk"))="Functioning At Risk"</formula>
    </cfRule>
    <cfRule type="beginsWith" dxfId="8132" priority="1691" stopIfTrue="1" operator="beginsWith" text="Not Functioning">
      <formula>LEFT(E182,LEN("Not Functioning"))="Not Functioning"</formula>
    </cfRule>
    <cfRule type="containsText" dxfId="8131" priority="1692" operator="containsText" text="Functioning">
      <formula>NOT(ISERROR(SEARCH("Functioning",E182)))</formula>
    </cfRule>
  </conditionalFormatting>
  <conditionalFormatting sqref="E169:E171">
    <cfRule type="beginsWith" dxfId="8130" priority="1687" stopIfTrue="1" operator="beginsWith" text="Functioning At Risk">
      <formula>LEFT(E169,LEN("Functioning At Risk"))="Functioning At Risk"</formula>
    </cfRule>
    <cfRule type="beginsWith" dxfId="8129" priority="1688" stopIfTrue="1" operator="beginsWith" text="Not Functioning">
      <formula>LEFT(E169,LEN("Not Functioning"))="Not Functioning"</formula>
    </cfRule>
    <cfRule type="containsText" dxfId="8128" priority="1689" operator="containsText" text="Functioning">
      <formula>NOT(ISERROR(SEARCH("Functioning",E169)))</formula>
    </cfRule>
  </conditionalFormatting>
  <conditionalFormatting sqref="E173:E176">
    <cfRule type="beginsWith" dxfId="8127" priority="1684" stopIfTrue="1" operator="beginsWith" text="Functioning At Risk">
      <formula>LEFT(E173,LEN("Functioning At Risk"))="Functioning At Risk"</formula>
    </cfRule>
    <cfRule type="beginsWith" dxfId="8126" priority="1685" stopIfTrue="1" operator="beginsWith" text="Not Functioning">
      <formula>LEFT(E173,LEN("Not Functioning"))="Not Functioning"</formula>
    </cfRule>
    <cfRule type="containsText" dxfId="8125" priority="1686" operator="containsText" text="Functioning">
      <formula>NOT(ISERROR(SEARCH("Functioning",E173)))</formula>
    </cfRule>
  </conditionalFormatting>
  <conditionalFormatting sqref="E181">
    <cfRule type="beginsWith" dxfId="8124" priority="1669" stopIfTrue="1" operator="beginsWith" text="Functioning At Risk">
      <formula>LEFT(E181,LEN("Functioning At Risk"))="Functioning At Risk"</formula>
    </cfRule>
    <cfRule type="beginsWith" dxfId="8123" priority="1670" stopIfTrue="1" operator="beginsWith" text="Not Functioning">
      <formula>LEFT(E181,LEN("Not Functioning"))="Not Functioning"</formula>
    </cfRule>
    <cfRule type="containsText" dxfId="8122" priority="1671" operator="containsText" text="Functioning">
      <formula>NOT(ISERROR(SEARCH("Functioning",E181)))</formula>
    </cfRule>
  </conditionalFormatting>
  <conditionalFormatting sqref="A197:C197 E197:K197 D225:D226">
    <cfRule type="beginsWith" dxfId="8121" priority="1663" stopIfTrue="1" operator="beginsWith" text="Functioning At Risk">
      <formula>LEFT(A197,LEN("Functioning At Risk"))="Functioning At Risk"</formula>
    </cfRule>
    <cfRule type="beginsWith" dxfId="8120" priority="1664" stopIfTrue="1" operator="beginsWith" text="Not Functioning">
      <formula>LEFT(A197,LEN("Not Functioning"))="Not Functioning"</formula>
    </cfRule>
    <cfRule type="containsText" dxfId="8119" priority="1665" operator="containsText" text="Functioning">
      <formula>NOT(ISERROR(SEARCH("Functioning",A197)))</formula>
    </cfRule>
  </conditionalFormatting>
  <conditionalFormatting sqref="I228:I232 B226:B227 D216 B219 A200:B200 A228:B230 H202:I203 H200:I200 H198:K199 A202:B202 A231:A232 D208:D210 B223:B224 A203 D228:D231 D200:D203 D219:D223">
    <cfRule type="beginsWith" dxfId="8118" priority="1660" stopIfTrue="1" operator="beginsWith" text="Functioning At Risk">
      <formula>LEFT(A198,LEN("Functioning At Risk"))="Functioning At Risk"</formula>
    </cfRule>
    <cfRule type="beginsWith" dxfId="8117" priority="1661" stopIfTrue="1" operator="beginsWith" text="Not Functioning">
      <formula>LEFT(A198,LEN("Not Functioning"))="Not Functioning"</formula>
    </cfRule>
    <cfRule type="containsText" dxfId="8116" priority="1662" operator="containsText" text="Functioning">
      <formula>NOT(ISERROR(SEARCH("Functioning",A198)))</formula>
    </cfRule>
  </conditionalFormatting>
  <conditionalFormatting sqref="E219">
    <cfRule type="beginsWith" dxfId="8115" priority="1543" stopIfTrue="1" operator="beginsWith" text="Functioning At Risk">
      <formula>LEFT(E219,LEN("Functioning At Risk"))="Functioning At Risk"</formula>
    </cfRule>
    <cfRule type="beginsWith" dxfId="8114" priority="1544" stopIfTrue="1" operator="beginsWith" text="Not Functioning">
      <formula>LEFT(E219,LEN("Not Functioning"))="Not Functioning"</formula>
    </cfRule>
    <cfRule type="containsText" dxfId="8113" priority="1545" operator="containsText" text="Functioning">
      <formula>NOT(ISERROR(SEARCH("Functioning",E219)))</formula>
    </cfRule>
  </conditionalFormatting>
  <conditionalFormatting sqref="D211">
    <cfRule type="beginsWith" dxfId="8112" priority="1654" stopIfTrue="1" operator="beginsWith" text="Functioning At Risk">
      <formula>LEFT(D211,LEN("Functioning At Risk"))="Functioning At Risk"</formula>
    </cfRule>
    <cfRule type="beginsWith" dxfId="8111" priority="1655" stopIfTrue="1" operator="beginsWith" text="Not Functioning">
      <formula>LEFT(D211,LEN("Not Functioning"))="Not Functioning"</formula>
    </cfRule>
    <cfRule type="containsText" dxfId="8110" priority="1656" operator="containsText" text="Functioning">
      <formula>NOT(ISERROR(SEARCH("Functioning",D211)))</formula>
    </cfRule>
  </conditionalFormatting>
  <conditionalFormatting sqref="D218">
    <cfRule type="beginsWith" dxfId="8109" priority="1648" stopIfTrue="1" operator="beginsWith" text="Functioning At Risk">
      <formula>LEFT(D218,LEN("Functioning At Risk"))="Functioning At Risk"</formula>
    </cfRule>
    <cfRule type="beginsWith" dxfId="8108" priority="1649" stopIfTrue="1" operator="beginsWith" text="Not Functioning">
      <formula>LEFT(D218,LEN("Not Functioning"))="Not Functioning"</formula>
    </cfRule>
    <cfRule type="containsText" dxfId="8107" priority="1650" operator="containsText" text="Functioning">
      <formula>NOT(ISERROR(SEARCH("Functioning",D218)))</formula>
    </cfRule>
  </conditionalFormatting>
  <conditionalFormatting sqref="D212:D215">
    <cfRule type="beginsWith" dxfId="8106" priority="1645" stopIfTrue="1" operator="beginsWith" text="Functioning At Risk">
      <formula>LEFT(D212,LEN("Functioning At Risk"))="Functioning At Risk"</formula>
    </cfRule>
    <cfRule type="beginsWith" dxfId="8105" priority="1646" stopIfTrue="1" operator="beginsWith" text="Not Functioning">
      <formula>LEFT(D212,LEN("Not Functioning"))="Not Functioning"</formula>
    </cfRule>
    <cfRule type="containsText" dxfId="8104" priority="1647" operator="containsText" text="Functioning">
      <formula>NOT(ISERROR(SEARCH("Functioning",D212)))</formula>
    </cfRule>
  </conditionalFormatting>
  <conditionalFormatting sqref="A224">
    <cfRule type="beginsWith" dxfId="8103" priority="1642" stopIfTrue="1" operator="beginsWith" text="Functioning At Risk">
      <formula>LEFT(A224,LEN("Functioning At Risk"))="Functioning At Risk"</formula>
    </cfRule>
    <cfRule type="beginsWith" dxfId="8102" priority="1643" stopIfTrue="1" operator="beginsWith" text="Not Functioning">
      <formula>LEFT(A224,LEN("Not Functioning"))="Not Functioning"</formula>
    </cfRule>
    <cfRule type="containsText" dxfId="8101" priority="1644" operator="containsText" text="Functioning">
      <formula>NOT(ISERROR(SEARCH("Functioning",A224)))</formula>
    </cfRule>
  </conditionalFormatting>
  <conditionalFormatting sqref="H224">
    <cfRule type="beginsWith" dxfId="8100" priority="1639" stopIfTrue="1" operator="beginsWith" text="Functioning At Risk">
      <formula>LEFT(H224,LEN("Functioning At Risk"))="Functioning At Risk"</formula>
    </cfRule>
    <cfRule type="beginsWith" dxfId="8099" priority="1640" stopIfTrue="1" operator="beginsWith" text="Not Functioning">
      <formula>LEFT(H224,LEN("Not Functioning"))="Not Functioning"</formula>
    </cfRule>
    <cfRule type="containsText" dxfId="8098" priority="1641" operator="containsText" text="Functioning">
      <formula>NOT(ISERROR(SEARCH("Functioning",H224)))</formula>
    </cfRule>
  </conditionalFormatting>
  <conditionalFormatting sqref="I224">
    <cfRule type="beginsWith" dxfId="8097" priority="1636" stopIfTrue="1" operator="beginsWith" text="Functioning At Risk">
      <formula>LEFT(I224,LEN("Functioning At Risk"))="Functioning At Risk"</formula>
    </cfRule>
    <cfRule type="beginsWith" dxfId="8096" priority="1637" stopIfTrue="1" operator="beginsWith" text="Not Functioning">
      <formula>LEFT(I224,LEN("Not Functioning"))="Not Functioning"</formula>
    </cfRule>
    <cfRule type="containsText" dxfId="8095" priority="1638" operator="containsText" text="Functioning">
      <formula>NOT(ISERROR(SEARCH("Functioning",I224)))</formula>
    </cfRule>
  </conditionalFormatting>
  <conditionalFormatting sqref="D232">
    <cfRule type="beginsWith" dxfId="8094" priority="1633" stopIfTrue="1" operator="beginsWith" text="Functioning At Risk">
      <formula>LEFT(D232,LEN("Functioning At Risk"))="Functioning At Risk"</formula>
    </cfRule>
    <cfRule type="beginsWith" dxfId="8093" priority="1634" stopIfTrue="1" operator="beginsWith" text="Not Functioning">
      <formula>LEFT(D232,LEN("Not Functioning"))="Not Functioning"</formula>
    </cfRule>
    <cfRule type="containsText" dxfId="8092" priority="1635" operator="containsText" text="Functioning">
      <formula>NOT(ISERROR(SEARCH("Functioning",D232)))</formula>
    </cfRule>
  </conditionalFormatting>
  <conditionalFormatting sqref="D233">
    <cfRule type="beginsWith" dxfId="8091" priority="1630" stopIfTrue="1" operator="beginsWith" text="Functioning At Risk">
      <formula>LEFT(D233,LEN("Functioning At Risk"))="Functioning At Risk"</formula>
    </cfRule>
    <cfRule type="beginsWith" dxfId="8090" priority="1631" stopIfTrue="1" operator="beginsWith" text="Not Functioning">
      <formula>LEFT(D233,LEN("Not Functioning"))="Not Functioning"</formula>
    </cfRule>
    <cfRule type="containsText" dxfId="8089" priority="1632" operator="containsText" text="Functioning">
      <formula>NOT(ISERROR(SEARCH("Functioning",D233)))</formula>
    </cfRule>
  </conditionalFormatting>
  <conditionalFormatting sqref="B232">
    <cfRule type="beginsWith" dxfId="8088" priority="1627" stopIfTrue="1" operator="beginsWith" text="Functioning At Risk">
      <formula>LEFT(B232,LEN("Functioning At Risk"))="Functioning At Risk"</formula>
    </cfRule>
    <cfRule type="beginsWith" dxfId="8087" priority="1628" stopIfTrue="1" operator="beginsWith" text="Not Functioning">
      <formula>LEFT(B232,LEN("Not Functioning"))="Not Functioning"</formula>
    </cfRule>
    <cfRule type="containsText" dxfId="8086" priority="1629" operator="containsText" text="Functioning">
      <formula>NOT(ISERROR(SEARCH("Functioning",B232)))</formula>
    </cfRule>
  </conditionalFormatting>
  <conditionalFormatting sqref="B208">
    <cfRule type="beginsWith" dxfId="8085" priority="1621" stopIfTrue="1" operator="beginsWith" text="Functioning At Risk">
      <formula>LEFT(B208,LEN("Functioning At Risk"))="Functioning At Risk"</formula>
    </cfRule>
    <cfRule type="beginsWith" dxfId="8084" priority="1622" stopIfTrue="1" operator="beginsWith" text="Not Functioning">
      <formula>LEFT(B208,LEN("Not Functioning"))="Not Functioning"</formula>
    </cfRule>
    <cfRule type="containsText" dxfId="8083" priority="1623" operator="containsText" text="Functioning">
      <formula>NOT(ISERROR(SEARCH("Functioning",B208)))</formula>
    </cfRule>
  </conditionalFormatting>
  <conditionalFormatting sqref="D258">
    <cfRule type="beginsWith" dxfId="8082" priority="1498" stopIfTrue="1" operator="beginsWith" text="Functioning At Risk">
      <formula>LEFT(D258,LEN("Functioning At Risk"))="Functioning At Risk"</formula>
    </cfRule>
    <cfRule type="beginsWith" dxfId="8081" priority="1499" stopIfTrue="1" operator="beginsWith" text="Not Functioning">
      <formula>LEFT(D258,LEN("Not Functioning"))="Not Functioning"</formula>
    </cfRule>
    <cfRule type="containsText" dxfId="8080" priority="1500" operator="containsText" text="Functioning">
      <formula>NOT(ISERROR(SEARCH("Functioning",D258)))</formula>
    </cfRule>
  </conditionalFormatting>
  <conditionalFormatting sqref="E232 E200:E201 E224">
    <cfRule type="beginsWith" dxfId="8079" priority="1609" stopIfTrue="1" operator="beginsWith" text="Functioning At Risk">
      <formula>LEFT(E200,LEN("Functioning At Risk"))="Functioning At Risk"</formula>
    </cfRule>
    <cfRule type="beginsWith" dxfId="8078" priority="1610" stopIfTrue="1" operator="beginsWith" text="Not Functioning">
      <formula>LEFT(E200,LEN("Not Functioning"))="Not Functioning"</formula>
    </cfRule>
    <cfRule type="containsText" dxfId="8077" priority="1611" operator="containsText" text="Functioning">
      <formula>NOT(ISERROR(SEARCH("Functioning",E200)))</formula>
    </cfRule>
  </conditionalFormatting>
  <conditionalFormatting sqref="E233">
    <cfRule type="beginsWith" dxfId="8076" priority="1606" stopIfTrue="1" operator="beginsWith" text="Functioning At Risk">
      <formula>LEFT(E233,LEN("Functioning At Risk"))="Functioning At Risk"</formula>
    </cfRule>
    <cfRule type="beginsWith" dxfId="8075" priority="1607" stopIfTrue="1" operator="beginsWith" text="Not Functioning">
      <formula>LEFT(E233,LEN("Not Functioning"))="Not Functioning"</formula>
    </cfRule>
    <cfRule type="containsText" dxfId="8074" priority="1608" operator="containsText" text="Functioning">
      <formula>NOT(ISERROR(SEARCH("Functioning",E233)))</formula>
    </cfRule>
  </conditionalFormatting>
  <conditionalFormatting sqref="E224">
    <cfRule type="expression" dxfId="8073" priority="1601">
      <formula>B107="Level 4 - Physicochemical"</formula>
    </cfRule>
    <cfRule type="expression" dxfId="8072" priority="1605">
      <formula>B107="Level 5 - Biology"</formula>
    </cfRule>
  </conditionalFormatting>
  <conditionalFormatting sqref="E226">
    <cfRule type="expression" dxfId="8071" priority="1600">
      <formula>B107="Level 4 - Physicochemical"</formula>
    </cfRule>
    <cfRule type="expression" dxfId="8070" priority="1604">
      <formula>B107="Level 5 - Biology"</formula>
    </cfRule>
  </conditionalFormatting>
  <conditionalFormatting sqref="E227">
    <cfRule type="expression" dxfId="8069" priority="1599">
      <formula>B107="Level 4 - Physicochemical"</formula>
    </cfRule>
    <cfRule type="expression" dxfId="8068" priority="1603">
      <formula>B107="Level 5 - Biology"</formula>
    </cfRule>
  </conditionalFormatting>
  <conditionalFormatting sqref="E233">
    <cfRule type="expression" dxfId="8067" priority="1602">
      <formula>B107="Level 5 - Biology"</formula>
    </cfRule>
  </conditionalFormatting>
  <conditionalFormatting sqref="E225">
    <cfRule type="expression" dxfId="8066" priority="1615">
      <formula>B108="Level 4 - Physicochemical"</formula>
    </cfRule>
    <cfRule type="expression" dxfId="8065" priority="1616">
      <formula>B108="Level 5 - Biology"</formula>
    </cfRule>
  </conditionalFormatting>
  <conditionalFormatting sqref="E232">
    <cfRule type="expression" dxfId="8064" priority="1617">
      <formula>B109="Level 5 - Biology"</formula>
    </cfRule>
  </conditionalFormatting>
  <conditionalFormatting sqref="E222:E223">
    <cfRule type="beginsWith" dxfId="8063" priority="1593" stopIfTrue="1" operator="beginsWith" text="Functioning At Risk">
      <formula>LEFT(E222,LEN("Functioning At Risk"))="Functioning At Risk"</formula>
    </cfRule>
    <cfRule type="beginsWith" dxfId="8062" priority="1594" stopIfTrue="1" operator="beginsWith" text="Not Functioning">
      <formula>LEFT(E222,LEN("Not Functioning"))="Not Functioning"</formula>
    </cfRule>
    <cfRule type="containsText" dxfId="8061" priority="1595" operator="containsText" text="Functioning">
      <formula>NOT(ISERROR(SEARCH("Functioning",E222)))</formula>
    </cfRule>
  </conditionalFormatting>
  <conditionalFormatting sqref="E231">
    <cfRule type="expression" dxfId="8060" priority="1591">
      <formula>B37="Level 5 - Biology"</formula>
    </cfRule>
  </conditionalFormatting>
  <conditionalFormatting sqref="E228:E231">
    <cfRule type="beginsWith" dxfId="8059" priority="1588" stopIfTrue="1" operator="beginsWith" text="Functioning At Risk">
      <formula>LEFT(E228,LEN("Functioning At Risk"))="Functioning At Risk"</formula>
    </cfRule>
    <cfRule type="beginsWith" dxfId="8058" priority="1589" stopIfTrue="1" operator="beginsWith" text="Not Functioning">
      <formula>LEFT(E228,LEN("Not Functioning"))="Not Functioning"</formula>
    </cfRule>
    <cfRule type="containsText" dxfId="8057" priority="1590" operator="containsText" text="Functioning">
      <formula>NOT(ISERROR(SEARCH("Functioning",E228)))</formula>
    </cfRule>
  </conditionalFormatting>
  <conditionalFormatting sqref="E228:E230">
    <cfRule type="expression" dxfId="8056" priority="1592">
      <formula>B36="Level 5 - Biology"</formula>
    </cfRule>
  </conditionalFormatting>
  <conditionalFormatting sqref="C208:C210 C225:C226 C219:C220 C231 C223 C200:C203 C228:C229">
    <cfRule type="beginsWith" dxfId="8055" priority="1585" stopIfTrue="1" operator="beginsWith" text="Functioning At Risk">
      <formula>LEFT(C200,LEN("Functioning At Risk"))="Functioning At Risk"</formula>
    </cfRule>
    <cfRule type="beginsWith" dxfId="8054" priority="1586" stopIfTrue="1" operator="beginsWith" text="Not Functioning">
      <formula>LEFT(C200,LEN("Not Functioning"))="Not Functioning"</formula>
    </cfRule>
    <cfRule type="containsText" dxfId="8053" priority="1587" operator="containsText" text="Functioning">
      <formula>NOT(ISERROR(SEARCH("Functioning",C200)))</formula>
    </cfRule>
  </conditionalFormatting>
  <conditionalFormatting sqref="C211">
    <cfRule type="beginsWith" dxfId="8052" priority="1582" stopIfTrue="1" operator="beginsWith" text="Functioning At Risk">
      <formula>LEFT(C211,LEN("Functioning At Risk"))="Functioning At Risk"</formula>
    </cfRule>
    <cfRule type="beginsWith" dxfId="8051" priority="1583" stopIfTrue="1" operator="beginsWith" text="Not Functioning">
      <formula>LEFT(C211,LEN("Not Functioning"))="Not Functioning"</formula>
    </cfRule>
    <cfRule type="containsText" dxfId="8050" priority="1584" operator="containsText" text="Functioning">
      <formula>NOT(ISERROR(SEARCH("Functioning",C211)))</formula>
    </cfRule>
  </conditionalFormatting>
  <conditionalFormatting sqref="C218">
    <cfRule type="beginsWith" dxfId="8049" priority="1579" stopIfTrue="1" operator="beginsWith" text="Functioning At Risk">
      <formula>LEFT(C218,LEN("Functioning At Risk"))="Functioning At Risk"</formula>
    </cfRule>
    <cfRule type="beginsWith" dxfId="8048" priority="1580" stopIfTrue="1" operator="beginsWith" text="Not Functioning">
      <formula>LEFT(C218,LEN("Not Functioning"))="Not Functioning"</formula>
    </cfRule>
    <cfRule type="containsText" dxfId="8047" priority="1581" operator="containsText" text="Functioning">
      <formula>NOT(ISERROR(SEARCH("Functioning",C218)))</formula>
    </cfRule>
  </conditionalFormatting>
  <conditionalFormatting sqref="C212:C215">
    <cfRule type="beginsWith" dxfId="8046" priority="1576" stopIfTrue="1" operator="beginsWith" text="Functioning At Risk">
      <formula>LEFT(C212,LEN("Functioning At Risk"))="Functioning At Risk"</formula>
    </cfRule>
    <cfRule type="beginsWith" dxfId="8045" priority="1577" stopIfTrue="1" operator="beginsWith" text="Not Functioning">
      <formula>LEFT(C212,LEN("Not Functioning"))="Not Functioning"</formula>
    </cfRule>
    <cfRule type="containsText" dxfId="8044" priority="1578" operator="containsText" text="Functioning">
      <formula>NOT(ISERROR(SEARCH("Functioning",C212)))</formula>
    </cfRule>
  </conditionalFormatting>
  <conditionalFormatting sqref="C221">
    <cfRule type="beginsWith" dxfId="8043" priority="1573" stopIfTrue="1" operator="beginsWith" text="Functioning At Risk">
      <formula>LEFT(C221,LEN("Functioning At Risk"))="Functioning At Risk"</formula>
    </cfRule>
    <cfRule type="beginsWith" dxfId="8042" priority="1574" stopIfTrue="1" operator="beginsWith" text="Not Functioning">
      <formula>LEFT(C221,LEN("Not Functioning"))="Not Functioning"</formula>
    </cfRule>
    <cfRule type="containsText" dxfId="8041" priority="1575" operator="containsText" text="Functioning">
      <formula>NOT(ISERROR(SEARCH("Functioning",C221)))</formula>
    </cfRule>
  </conditionalFormatting>
  <conditionalFormatting sqref="C222">
    <cfRule type="beginsWith" dxfId="8040" priority="1570" stopIfTrue="1" operator="beginsWith" text="Functioning At Risk">
      <formula>LEFT(C222,LEN("Functioning At Risk"))="Functioning At Risk"</formula>
    </cfRule>
    <cfRule type="beginsWith" dxfId="8039" priority="1571" stopIfTrue="1" operator="beginsWith" text="Not Functioning">
      <formula>LEFT(C222,LEN("Not Functioning"))="Not Functioning"</formula>
    </cfRule>
    <cfRule type="containsText" dxfId="8038" priority="1572" operator="containsText" text="Functioning">
      <formula>NOT(ISERROR(SEARCH("Functioning",C222)))</formula>
    </cfRule>
  </conditionalFormatting>
  <conditionalFormatting sqref="C233">
    <cfRule type="beginsWith" dxfId="8037" priority="1564" stopIfTrue="1" operator="beginsWith" text="Functioning At Risk">
      <formula>LEFT(C233,LEN("Functioning At Risk"))="Functioning At Risk"</formula>
    </cfRule>
    <cfRule type="beginsWith" dxfId="8036" priority="1565" stopIfTrue="1" operator="beginsWith" text="Not Functioning">
      <formula>LEFT(C233,LEN("Not Functioning"))="Not Functioning"</formula>
    </cfRule>
    <cfRule type="containsText" dxfId="8035" priority="1566" operator="containsText" text="Functioning">
      <formula>NOT(ISERROR(SEARCH("Functioning",C233)))</formula>
    </cfRule>
  </conditionalFormatting>
  <conditionalFormatting sqref="C232">
    <cfRule type="beginsWith" dxfId="8034" priority="1567" stopIfTrue="1" operator="beginsWith" text="Functioning At Risk">
      <formula>LEFT(C232,LEN("Functioning At Risk"))="Functioning At Risk"</formula>
    </cfRule>
    <cfRule type="beginsWith" dxfId="8033" priority="1568" stopIfTrue="1" operator="beginsWith" text="Not Functioning">
      <formula>LEFT(C232,LEN("Not Functioning"))="Not Functioning"</formula>
    </cfRule>
    <cfRule type="containsText" dxfId="8032" priority="1569" operator="containsText" text="Functioning">
      <formula>NOT(ISERROR(SEARCH("Functioning",C232)))</formula>
    </cfRule>
  </conditionalFormatting>
  <conditionalFormatting sqref="C230">
    <cfRule type="beginsWith" dxfId="8031" priority="1561" stopIfTrue="1" operator="beginsWith" text="Functioning At Risk">
      <formula>LEFT(C230,LEN("Functioning At Risk"))="Functioning At Risk"</formula>
    </cfRule>
    <cfRule type="beginsWith" dxfId="8030" priority="1562" stopIfTrue="1" operator="beginsWith" text="Not Functioning">
      <formula>LEFT(C230,LEN("Not Functioning"))="Not Functioning"</formula>
    </cfRule>
    <cfRule type="containsText" dxfId="8029" priority="1563" operator="containsText" text="Functioning">
      <formula>NOT(ISERROR(SEARCH("Functioning",C230)))</formula>
    </cfRule>
  </conditionalFormatting>
  <conditionalFormatting sqref="C216:C217">
    <cfRule type="beginsWith" dxfId="8028" priority="1558" stopIfTrue="1" operator="beginsWith" text="Functioning At Risk">
      <formula>LEFT(C216,LEN("Functioning At Risk"))="Functioning At Risk"</formula>
    </cfRule>
    <cfRule type="beginsWith" dxfId="8027" priority="1559" stopIfTrue="1" operator="beginsWith" text="Not Functioning">
      <formula>LEFT(C216,LEN("Not Functioning"))="Not Functioning"</formula>
    </cfRule>
    <cfRule type="containsText" dxfId="8026" priority="1560" operator="containsText" text="Functioning">
      <formula>NOT(ISERROR(SEARCH("Functioning",C216)))</formula>
    </cfRule>
  </conditionalFormatting>
  <conditionalFormatting sqref="E221">
    <cfRule type="beginsWith" dxfId="8025" priority="1540" stopIfTrue="1" operator="beginsWith" text="Functioning At Risk">
      <formula>LEFT(E221,LEN("Functioning At Risk"))="Functioning At Risk"</formula>
    </cfRule>
    <cfRule type="beginsWith" dxfId="8024" priority="1541" stopIfTrue="1" operator="beginsWith" text="Not Functioning">
      <formula>LEFT(E221,LEN("Not Functioning"))="Not Functioning"</formula>
    </cfRule>
    <cfRule type="containsText" dxfId="8023" priority="1542" operator="containsText" text="Functioning">
      <formula>NOT(ISERROR(SEARCH("Functioning",E221)))</formula>
    </cfRule>
  </conditionalFormatting>
  <conditionalFormatting sqref="E208:E210">
    <cfRule type="beginsWith" dxfId="8022" priority="1537" stopIfTrue="1" operator="beginsWith" text="Functioning At Risk">
      <formula>LEFT(E208,LEN("Functioning At Risk"))="Functioning At Risk"</formula>
    </cfRule>
    <cfRule type="beginsWith" dxfId="8021" priority="1538" stopIfTrue="1" operator="beginsWith" text="Not Functioning">
      <formula>LEFT(E208,LEN("Not Functioning"))="Not Functioning"</formula>
    </cfRule>
    <cfRule type="containsText" dxfId="8020" priority="1539" operator="containsText" text="Functioning">
      <formula>NOT(ISERROR(SEARCH("Functioning",E208)))</formula>
    </cfRule>
  </conditionalFormatting>
  <conditionalFormatting sqref="E212:E215">
    <cfRule type="beginsWith" dxfId="8019" priority="1534" stopIfTrue="1" operator="beginsWith" text="Functioning At Risk">
      <formula>LEFT(E212,LEN("Functioning At Risk"))="Functioning At Risk"</formula>
    </cfRule>
    <cfRule type="beginsWith" dxfId="8018" priority="1535" stopIfTrue="1" operator="beginsWith" text="Not Functioning">
      <formula>LEFT(E212,LEN("Not Functioning"))="Not Functioning"</formula>
    </cfRule>
    <cfRule type="containsText" dxfId="8017" priority="1536" operator="containsText" text="Functioning">
      <formula>NOT(ISERROR(SEARCH("Functioning",E212)))</formula>
    </cfRule>
  </conditionalFormatting>
  <conditionalFormatting sqref="E220">
    <cfRule type="beginsWith" dxfId="8016" priority="1519" stopIfTrue="1" operator="beginsWith" text="Functioning At Risk">
      <formula>LEFT(E220,LEN("Functioning At Risk"))="Functioning At Risk"</formula>
    </cfRule>
    <cfRule type="beginsWith" dxfId="8015" priority="1520" stopIfTrue="1" operator="beginsWith" text="Not Functioning">
      <formula>LEFT(E220,LEN("Not Functioning"))="Not Functioning"</formula>
    </cfRule>
    <cfRule type="containsText" dxfId="8014" priority="1521" operator="containsText" text="Functioning">
      <formula>NOT(ISERROR(SEARCH("Functioning",E220)))</formula>
    </cfRule>
  </conditionalFormatting>
  <conditionalFormatting sqref="A237:C237 E237:K237 D265:D266">
    <cfRule type="beginsWith" dxfId="8013" priority="1513" stopIfTrue="1" operator="beginsWith" text="Functioning At Risk">
      <formula>LEFT(A237,LEN("Functioning At Risk"))="Functioning At Risk"</formula>
    </cfRule>
    <cfRule type="beginsWith" dxfId="8012" priority="1514" stopIfTrue="1" operator="beginsWith" text="Not Functioning">
      <formula>LEFT(A237,LEN("Not Functioning"))="Not Functioning"</formula>
    </cfRule>
    <cfRule type="containsText" dxfId="8011" priority="1515" operator="containsText" text="Functioning">
      <formula>NOT(ISERROR(SEARCH("Functioning",A237)))</formula>
    </cfRule>
  </conditionalFormatting>
  <conditionalFormatting sqref="I268:I272 B266:B267 D256 B259 A240:B240 A268:B270 H242:I243 H240:I240 H238:K239 A242:B242 A271:A272 D248:D250 B263:B264 A243 D268:D271 D240:D243 D259:D263">
    <cfRule type="beginsWith" dxfId="8010" priority="1510" stopIfTrue="1" operator="beginsWith" text="Functioning At Risk">
      <formula>LEFT(A238,LEN("Functioning At Risk"))="Functioning At Risk"</formula>
    </cfRule>
    <cfRule type="beginsWith" dxfId="8009" priority="1511" stopIfTrue="1" operator="beginsWith" text="Not Functioning">
      <formula>LEFT(A238,LEN("Not Functioning"))="Not Functioning"</formula>
    </cfRule>
    <cfRule type="containsText" dxfId="8008" priority="1512" operator="containsText" text="Functioning">
      <formula>NOT(ISERROR(SEARCH("Functioning",A238)))</formula>
    </cfRule>
  </conditionalFormatting>
  <conditionalFormatting sqref="D251">
    <cfRule type="beginsWith" dxfId="8007" priority="1504" stopIfTrue="1" operator="beginsWith" text="Functioning At Risk">
      <formula>LEFT(D251,LEN("Functioning At Risk"))="Functioning At Risk"</formula>
    </cfRule>
    <cfRule type="beginsWith" dxfId="8006" priority="1505" stopIfTrue="1" operator="beginsWith" text="Not Functioning">
      <formula>LEFT(D251,LEN("Not Functioning"))="Not Functioning"</formula>
    </cfRule>
    <cfRule type="containsText" dxfId="8005" priority="1506" operator="containsText" text="Functioning">
      <formula>NOT(ISERROR(SEARCH("Functioning",D251)))</formula>
    </cfRule>
  </conditionalFormatting>
  <conditionalFormatting sqref="D257">
    <cfRule type="beginsWith" dxfId="8004" priority="1501" stopIfTrue="1" operator="beginsWith" text="Functioning At Risk">
      <formula>LEFT(D257,LEN("Functioning At Risk"))="Functioning At Risk"</formula>
    </cfRule>
    <cfRule type="beginsWith" dxfId="8003" priority="1502" stopIfTrue="1" operator="beginsWith" text="Not Functioning">
      <formula>LEFT(D257,LEN("Not Functioning"))="Not Functioning"</formula>
    </cfRule>
    <cfRule type="containsText" dxfId="8002" priority="1503" operator="containsText" text="Functioning">
      <formula>NOT(ISERROR(SEARCH("Functioning",D257)))</formula>
    </cfRule>
  </conditionalFormatting>
  <conditionalFormatting sqref="D252:D255">
    <cfRule type="beginsWith" dxfId="8001" priority="1495" stopIfTrue="1" operator="beginsWith" text="Functioning At Risk">
      <formula>LEFT(D252,LEN("Functioning At Risk"))="Functioning At Risk"</formula>
    </cfRule>
    <cfRule type="beginsWith" dxfId="8000" priority="1496" stopIfTrue="1" operator="beginsWith" text="Not Functioning">
      <formula>LEFT(D252,LEN("Not Functioning"))="Not Functioning"</formula>
    </cfRule>
    <cfRule type="containsText" dxfId="7999" priority="1497" operator="containsText" text="Functioning">
      <formula>NOT(ISERROR(SEARCH("Functioning",D252)))</formula>
    </cfRule>
  </conditionalFormatting>
  <conditionalFormatting sqref="A264">
    <cfRule type="beginsWith" dxfId="7998" priority="1492" stopIfTrue="1" operator="beginsWith" text="Functioning At Risk">
      <formula>LEFT(A264,LEN("Functioning At Risk"))="Functioning At Risk"</formula>
    </cfRule>
    <cfRule type="beginsWith" dxfId="7997" priority="1493" stopIfTrue="1" operator="beginsWith" text="Not Functioning">
      <formula>LEFT(A264,LEN("Not Functioning"))="Not Functioning"</formula>
    </cfRule>
    <cfRule type="containsText" dxfId="7996" priority="1494" operator="containsText" text="Functioning">
      <formula>NOT(ISERROR(SEARCH("Functioning",A264)))</formula>
    </cfRule>
  </conditionalFormatting>
  <conditionalFormatting sqref="H264">
    <cfRule type="beginsWith" dxfId="7995" priority="1489" stopIfTrue="1" operator="beginsWith" text="Functioning At Risk">
      <formula>LEFT(H264,LEN("Functioning At Risk"))="Functioning At Risk"</formula>
    </cfRule>
    <cfRule type="beginsWith" dxfId="7994" priority="1490" stopIfTrue="1" operator="beginsWith" text="Not Functioning">
      <formula>LEFT(H264,LEN("Not Functioning"))="Not Functioning"</formula>
    </cfRule>
    <cfRule type="containsText" dxfId="7993" priority="1491" operator="containsText" text="Functioning">
      <formula>NOT(ISERROR(SEARCH("Functioning",H264)))</formula>
    </cfRule>
  </conditionalFormatting>
  <conditionalFormatting sqref="I264">
    <cfRule type="beginsWith" dxfId="7992" priority="1486" stopIfTrue="1" operator="beginsWith" text="Functioning At Risk">
      <formula>LEFT(I264,LEN("Functioning At Risk"))="Functioning At Risk"</formula>
    </cfRule>
    <cfRule type="beginsWith" dxfId="7991" priority="1487" stopIfTrue="1" operator="beginsWith" text="Not Functioning">
      <formula>LEFT(I264,LEN("Not Functioning"))="Not Functioning"</formula>
    </cfRule>
    <cfRule type="containsText" dxfId="7990" priority="1488" operator="containsText" text="Functioning">
      <formula>NOT(ISERROR(SEARCH("Functioning",I264)))</formula>
    </cfRule>
  </conditionalFormatting>
  <conditionalFormatting sqref="D272">
    <cfRule type="beginsWith" dxfId="7989" priority="1483" stopIfTrue="1" operator="beginsWith" text="Functioning At Risk">
      <formula>LEFT(D272,LEN("Functioning At Risk"))="Functioning At Risk"</formula>
    </cfRule>
    <cfRule type="beginsWith" dxfId="7988" priority="1484" stopIfTrue="1" operator="beginsWith" text="Not Functioning">
      <formula>LEFT(D272,LEN("Not Functioning"))="Not Functioning"</formula>
    </cfRule>
    <cfRule type="containsText" dxfId="7987" priority="1485" operator="containsText" text="Functioning">
      <formula>NOT(ISERROR(SEARCH("Functioning",D272)))</formula>
    </cfRule>
  </conditionalFormatting>
  <conditionalFormatting sqref="D273">
    <cfRule type="beginsWith" dxfId="7986" priority="1480" stopIfTrue="1" operator="beginsWith" text="Functioning At Risk">
      <formula>LEFT(D273,LEN("Functioning At Risk"))="Functioning At Risk"</formula>
    </cfRule>
    <cfRule type="beginsWith" dxfId="7985" priority="1481" stopIfTrue="1" operator="beginsWith" text="Not Functioning">
      <formula>LEFT(D273,LEN("Not Functioning"))="Not Functioning"</formula>
    </cfRule>
    <cfRule type="containsText" dxfId="7984" priority="1482" operator="containsText" text="Functioning">
      <formula>NOT(ISERROR(SEARCH("Functioning",D273)))</formula>
    </cfRule>
  </conditionalFormatting>
  <conditionalFormatting sqref="B272">
    <cfRule type="beginsWith" dxfId="7983" priority="1477" stopIfTrue="1" operator="beginsWith" text="Functioning At Risk">
      <formula>LEFT(B272,LEN("Functioning At Risk"))="Functioning At Risk"</formula>
    </cfRule>
    <cfRule type="beginsWith" dxfId="7982" priority="1478" stopIfTrue="1" operator="beginsWith" text="Not Functioning">
      <formula>LEFT(B272,LEN("Not Functioning"))="Not Functioning"</formula>
    </cfRule>
    <cfRule type="containsText" dxfId="7981" priority="1479" operator="containsText" text="Functioning">
      <formula>NOT(ISERROR(SEARCH("Functioning",B272)))</formula>
    </cfRule>
  </conditionalFormatting>
  <conditionalFormatting sqref="B248">
    <cfRule type="beginsWith" dxfId="7980" priority="1471" stopIfTrue="1" operator="beginsWith" text="Functioning At Risk">
      <formula>LEFT(B248,LEN("Functioning At Risk"))="Functioning At Risk"</formula>
    </cfRule>
    <cfRule type="beginsWith" dxfId="7979" priority="1472" stopIfTrue="1" operator="beginsWith" text="Not Functioning">
      <formula>LEFT(B248,LEN("Not Functioning"))="Not Functioning"</formula>
    </cfRule>
    <cfRule type="containsText" dxfId="7978" priority="1473" operator="containsText" text="Functioning">
      <formula>NOT(ISERROR(SEARCH("Functioning",B248)))</formula>
    </cfRule>
  </conditionalFormatting>
  <conditionalFormatting sqref="E272 E240:E241 E264">
    <cfRule type="beginsWith" dxfId="7977" priority="1459" stopIfTrue="1" operator="beginsWith" text="Functioning At Risk">
      <formula>LEFT(E240,LEN("Functioning At Risk"))="Functioning At Risk"</formula>
    </cfRule>
    <cfRule type="beginsWith" dxfId="7976" priority="1460" stopIfTrue="1" operator="beginsWith" text="Not Functioning">
      <formula>LEFT(E240,LEN("Not Functioning"))="Not Functioning"</formula>
    </cfRule>
    <cfRule type="containsText" dxfId="7975" priority="1461" operator="containsText" text="Functioning">
      <formula>NOT(ISERROR(SEARCH("Functioning",E240)))</formula>
    </cfRule>
  </conditionalFormatting>
  <conditionalFormatting sqref="E273">
    <cfRule type="beginsWith" dxfId="7974" priority="1456" stopIfTrue="1" operator="beginsWith" text="Functioning At Risk">
      <formula>LEFT(E273,LEN("Functioning At Risk"))="Functioning At Risk"</formula>
    </cfRule>
    <cfRule type="beginsWith" dxfId="7973" priority="1457" stopIfTrue="1" operator="beginsWith" text="Not Functioning">
      <formula>LEFT(E273,LEN("Not Functioning"))="Not Functioning"</formula>
    </cfRule>
    <cfRule type="containsText" dxfId="7972" priority="1458" operator="containsText" text="Functioning">
      <formula>NOT(ISERROR(SEARCH("Functioning",E273)))</formula>
    </cfRule>
  </conditionalFormatting>
  <conditionalFormatting sqref="E264">
    <cfRule type="expression" dxfId="7971" priority="1451">
      <formula>B147="Level 4 - Physicochemical"</formula>
    </cfRule>
    <cfRule type="expression" dxfId="7970" priority="1455">
      <formula>B147="Level 5 - Biology"</formula>
    </cfRule>
  </conditionalFormatting>
  <conditionalFormatting sqref="E266">
    <cfRule type="expression" dxfId="7969" priority="1450">
      <formula>B147="Level 4 - Physicochemical"</formula>
    </cfRule>
    <cfRule type="expression" dxfId="7968" priority="1454">
      <formula>B147="Level 5 - Biology"</formula>
    </cfRule>
  </conditionalFormatting>
  <conditionalFormatting sqref="E267">
    <cfRule type="expression" dxfId="7967" priority="1449">
      <formula>B147="Level 4 - Physicochemical"</formula>
    </cfRule>
    <cfRule type="expression" dxfId="7966" priority="1453">
      <formula>B147="Level 5 - Biology"</formula>
    </cfRule>
  </conditionalFormatting>
  <conditionalFormatting sqref="E273">
    <cfRule type="expression" dxfId="7965" priority="1452">
      <formula>B147="Level 5 - Biology"</formula>
    </cfRule>
  </conditionalFormatting>
  <conditionalFormatting sqref="E265">
    <cfRule type="expression" dxfId="7964" priority="1465">
      <formula>B148="Level 4 - Physicochemical"</formula>
    </cfRule>
    <cfRule type="expression" dxfId="7963" priority="1466">
      <formula>B148="Level 5 - Biology"</formula>
    </cfRule>
  </conditionalFormatting>
  <conditionalFormatting sqref="E272">
    <cfRule type="expression" dxfId="7962" priority="1467">
      <formula>B149="Level 5 - Biology"</formula>
    </cfRule>
  </conditionalFormatting>
  <conditionalFormatting sqref="E262:E263">
    <cfRule type="beginsWith" dxfId="7961" priority="1443" stopIfTrue="1" operator="beginsWith" text="Functioning At Risk">
      <formula>LEFT(E262,LEN("Functioning At Risk"))="Functioning At Risk"</formula>
    </cfRule>
    <cfRule type="beginsWith" dxfId="7960" priority="1444" stopIfTrue="1" operator="beginsWith" text="Not Functioning">
      <formula>LEFT(E262,LEN("Not Functioning"))="Not Functioning"</formula>
    </cfRule>
    <cfRule type="containsText" dxfId="7959" priority="1445" operator="containsText" text="Functioning">
      <formula>NOT(ISERROR(SEARCH("Functioning",E262)))</formula>
    </cfRule>
  </conditionalFormatting>
  <conditionalFormatting sqref="E271">
    <cfRule type="expression" dxfId="7958" priority="1441">
      <formula>B77="Level 5 - Biology"</formula>
    </cfRule>
  </conditionalFormatting>
  <conditionalFormatting sqref="E268:E271">
    <cfRule type="beginsWith" dxfId="7957" priority="1438" stopIfTrue="1" operator="beginsWith" text="Functioning At Risk">
      <formula>LEFT(E268,LEN("Functioning At Risk"))="Functioning At Risk"</formula>
    </cfRule>
    <cfRule type="beginsWith" dxfId="7956" priority="1439" stopIfTrue="1" operator="beginsWith" text="Not Functioning">
      <formula>LEFT(E268,LEN("Not Functioning"))="Not Functioning"</formula>
    </cfRule>
    <cfRule type="containsText" dxfId="7955" priority="1440" operator="containsText" text="Functioning">
      <formula>NOT(ISERROR(SEARCH("Functioning",E268)))</formula>
    </cfRule>
  </conditionalFormatting>
  <conditionalFormatting sqref="E268:E270">
    <cfRule type="expression" dxfId="7954" priority="1442">
      <formula>B76="Level 5 - Biology"</formula>
    </cfRule>
  </conditionalFormatting>
  <conditionalFormatting sqref="C248:C250 C265:C266 C259:C260 C271 C263 C240:C243 C268:C269">
    <cfRule type="beginsWith" dxfId="7953" priority="1435" stopIfTrue="1" operator="beginsWith" text="Functioning At Risk">
      <formula>LEFT(C240,LEN("Functioning At Risk"))="Functioning At Risk"</formula>
    </cfRule>
    <cfRule type="beginsWith" dxfId="7952" priority="1436" stopIfTrue="1" operator="beginsWith" text="Not Functioning">
      <formula>LEFT(C240,LEN("Not Functioning"))="Not Functioning"</formula>
    </cfRule>
    <cfRule type="containsText" dxfId="7951" priority="1437" operator="containsText" text="Functioning">
      <formula>NOT(ISERROR(SEARCH("Functioning",C240)))</formula>
    </cfRule>
  </conditionalFormatting>
  <conditionalFormatting sqref="C251">
    <cfRule type="beginsWith" dxfId="7950" priority="1432" stopIfTrue="1" operator="beginsWith" text="Functioning At Risk">
      <formula>LEFT(C251,LEN("Functioning At Risk"))="Functioning At Risk"</formula>
    </cfRule>
    <cfRule type="beginsWith" dxfId="7949" priority="1433" stopIfTrue="1" operator="beginsWith" text="Not Functioning">
      <formula>LEFT(C251,LEN("Not Functioning"))="Not Functioning"</formula>
    </cfRule>
    <cfRule type="containsText" dxfId="7948" priority="1434" operator="containsText" text="Functioning">
      <formula>NOT(ISERROR(SEARCH("Functioning",C251)))</formula>
    </cfRule>
  </conditionalFormatting>
  <conditionalFormatting sqref="C258">
    <cfRule type="beginsWith" dxfId="7947" priority="1429" stopIfTrue="1" operator="beginsWith" text="Functioning At Risk">
      <formula>LEFT(C258,LEN("Functioning At Risk"))="Functioning At Risk"</formula>
    </cfRule>
    <cfRule type="beginsWith" dxfId="7946" priority="1430" stopIfTrue="1" operator="beginsWith" text="Not Functioning">
      <formula>LEFT(C258,LEN("Not Functioning"))="Not Functioning"</formula>
    </cfRule>
    <cfRule type="containsText" dxfId="7945" priority="1431" operator="containsText" text="Functioning">
      <formula>NOT(ISERROR(SEARCH("Functioning",C258)))</formula>
    </cfRule>
  </conditionalFormatting>
  <conditionalFormatting sqref="C252:C255">
    <cfRule type="beginsWith" dxfId="7944" priority="1426" stopIfTrue="1" operator="beginsWith" text="Functioning At Risk">
      <formula>LEFT(C252,LEN("Functioning At Risk"))="Functioning At Risk"</formula>
    </cfRule>
    <cfRule type="beginsWith" dxfId="7943" priority="1427" stopIfTrue="1" operator="beginsWith" text="Not Functioning">
      <formula>LEFT(C252,LEN("Not Functioning"))="Not Functioning"</formula>
    </cfRule>
    <cfRule type="containsText" dxfId="7942" priority="1428" operator="containsText" text="Functioning">
      <formula>NOT(ISERROR(SEARCH("Functioning",C252)))</formula>
    </cfRule>
  </conditionalFormatting>
  <conditionalFormatting sqref="C261">
    <cfRule type="beginsWith" dxfId="7941" priority="1423" stopIfTrue="1" operator="beginsWith" text="Functioning At Risk">
      <formula>LEFT(C261,LEN("Functioning At Risk"))="Functioning At Risk"</formula>
    </cfRule>
    <cfRule type="beginsWith" dxfId="7940" priority="1424" stopIfTrue="1" operator="beginsWith" text="Not Functioning">
      <formula>LEFT(C261,LEN("Not Functioning"))="Not Functioning"</formula>
    </cfRule>
    <cfRule type="containsText" dxfId="7939" priority="1425" operator="containsText" text="Functioning">
      <formula>NOT(ISERROR(SEARCH("Functioning",C261)))</formula>
    </cfRule>
  </conditionalFormatting>
  <conditionalFormatting sqref="C262">
    <cfRule type="beginsWith" dxfId="7938" priority="1420" stopIfTrue="1" operator="beginsWith" text="Functioning At Risk">
      <formula>LEFT(C262,LEN("Functioning At Risk"))="Functioning At Risk"</formula>
    </cfRule>
    <cfRule type="beginsWith" dxfId="7937" priority="1421" stopIfTrue="1" operator="beginsWith" text="Not Functioning">
      <formula>LEFT(C262,LEN("Not Functioning"))="Not Functioning"</formula>
    </cfRule>
    <cfRule type="containsText" dxfId="7936" priority="1422" operator="containsText" text="Functioning">
      <formula>NOT(ISERROR(SEARCH("Functioning",C262)))</formula>
    </cfRule>
  </conditionalFormatting>
  <conditionalFormatting sqref="C273">
    <cfRule type="beginsWith" dxfId="7935" priority="1414" stopIfTrue="1" operator="beginsWith" text="Functioning At Risk">
      <formula>LEFT(C273,LEN("Functioning At Risk"))="Functioning At Risk"</formula>
    </cfRule>
    <cfRule type="beginsWith" dxfId="7934" priority="1415" stopIfTrue="1" operator="beginsWith" text="Not Functioning">
      <formula>LEFT(C273,LEN("Not Functioning"))="Not Functioning"</formula>
    </cfRule>
    <cfRule type="containsText" dxfId="7933" priority="1416" operator="containsText" text="Functioning">
      <formula>NOT(ISERROR(SEARCH("Functioning",C273)))</formula>
    </cfRule>
  </conditionalFormatting>
  <conditionalFormatting sqref="C272">
    <cfRule type="beginsWith" dxfId="7932" priority="1417" stopIfTrue="1" operator="beginsWith" text="Functioning At Risk">
      <formula>LEFT(C272,LEN("Functioning At Risk"))="Functioning At Risk"</formula>
    </cfRule>
    <cfRule type="beginsWith" dxfId="7931" priority="1418" stopIfTrue="1" operator="beginsWith" text="Not Functioning">
      <formula>LEFT(C272,LEN("Not Functioning"))="Not Functioning"</formula>
    </cfRule>
    <cfRule type="containsText" dxfId="7930" priority="1419" operator="containsText" text="Functioning">
      <formula>NOT(ISERROR(SEARCH("Functioning",C272)))</formula>
    </cfRule>
  </conditionalFormatting>
  <conditionalFormatting sqref="C270">
    <cfRule type="beginsWith" dxfId="7929" priority="1411" stopIfTrue="1" operator="beginsWith" text="Functioning At Risk">
      <formula>LEFT(C270,LEN("Functioning At Risk"))="Functioning At Risk"</formula>
    </cfRule>
    <cfRule type="beginsWith" dxfId="7928" priority="1412" stopIfTrue="1" operator="beginsWith" text="Not Functioning">
      <formula>LEFT(C270,LEN("Not Functioning"))="Not Functioning"</formula>
    </cfRule>
    <cfRule type="containsText" dxfId="7927" priority="1413" operator="containsText" text="Functioning">
      <formula>NOT(ISERROR(SEARCH("Functioning",C270)))</formula>
    </cfRule>
  </conditionalFormatting>
  <conditionalFormatting sqref="C256:C257">
    <cfRule type="beginsWith" dxfId="7926" priority="1408" stopIfTrue="1" operator="beginsWith" text="Functioning At Risk">
      <formula>LEFT(C256,LEN("Functioning At Risk"))="Functioning At Risk"</formula>
    </cfRule>
    <cfRule type="beginsWith" dxfId="7925" priority="1409" stopIfTrue="1" operator="beginsWith" text="Not Functioning">
      <formula>LEFT(C256,LEN("Not Functioning"))="Not Functioning"</formula>
    </cfRule>
    <cfRule type="containsText" dxfId="7924" priority="1410" operator="containsText" text="Functioning">
      <formula>NOT(ISERROR(SEARCH("Functioning",C256)))</formula>
    </cfRule>
  </conditionalFormatting>
  <conditionalFormatting sqref="E259">
    <cfRule type="beginsWith" dxfId="7923" priority="1393" stopIfTrue="1" operator="beginsWith" text="Functioning At Risk">
      <formula>LEFT(E259,LEN("Functioning At Risk"))="Functioning At Risk"</formula>
    </cfRule>
    <cfRule type="beginsWith" dxfId="7922" priority="1394" stopIfTrue="1" operator="beginsWith" text="Not Functioning">
      <formula>LEFT(E259,LEN("Not Functioning"))="Not Functioning"</formula>
    </cfRule>
    <cfRule type="containsText" dxfId="7921" priority="1395" operator="containsText" text="Functioning">
      <formula>NOT(ISERROR(SEARCH("Functioning",E259)))</formula>
    </cfRule>
  </conditionalFormatting>
  <conditionalFormatting sqref="E261">
    <cfRule type="beginsWith" dxfId="7920" priority="1390" stopIfTrue="1" operator="beginsWith" text="Functioning At Risk">
      <formula>LEFT(E261,LEN("Functioning At Risk"))="Functioning At Risk"</formula>
    </cfRule>
    <cfRule type="beginsWith" dxfId="7919" priority="1391" stopIfTrue="1" operator="beginsWith" text="Not Functioning">
      <formula>LEFT(E261,LEN("Not Functioning"))="Not Functioning"</formula>
    </cfRule>
    <cfRule type="containsText" dxfId="7918" priority="1392" operator="containsText" text="Functioning">
      <formula>NOT(ISERROR(SEARCH("Functioning",E261)))</formula>
    </cfRule>
  </conditionalFormatting>
  <conditionalFormatting sqref="E248:E250">
    <cfRule type="beginsWith" dxfId="7917" priority="1387" stopIfTrue="1" operator="beginsWith" text="Functioning At Risk">
      <formula>LEFT(E248,LEN("Functioning At Risk"))="Functioning At Risk"</formula>
    </cfRule>
    <cfRule type="beginsWith" dxfId="7916" priority="1388" stopIfTrue="1" operator="beginsWith" text="Not Functioning">
      <formula>LEFT(E248,LEN("Not Functioning"))="Not Functioning"</formula>
    </cfRule>
    <cfRule type="containsText" dxfId="7915" priority="1389" operator="containsText" text="Functioning">
      <formula>NOT(ISERROR(SEARCH("Functioning",E248)))</formula>
    </cfRule>
  </conditionalFormatting>
  <conditionalFormatting sqref="E252:E255">
    <cfRule type="beginsWith" dxfId="7914" priority="1384" stopIfTrue="1" operator="beginsWith" text="Functioning At Risk">
      <formula>LEFT(E252,LEN("Functioning At Risk"))="Functioning At Risk"</formula>
    </cfRule>
    <cfRule type="beginsWith" dxfId="7913" priority="1385" stopIfTrue="1" operator="beginsWith" text="Not Functioning">
      <formula>LEFT(E252,LEN("Not Functioning"))="Not Functioning"</formula>
    </cfRule>
    <cfRule type="containsText" dxfId="7912" priority="1386" operator="containsText" text="Functioning">
      <formula>NOT(ISERROR(SEARCH("Functioning",E252)))</formula>
    </cfRule>
  </conditionalFormatting>
  <conditionalFormatting sqref="E260">
    <cfRule type="beginsWith" dxfId="7911" priority="1369" stopIfTrue="1" operator="beginsWith" text="Functioning At Risk">
      <formula>LEFT(E260,LEN("Functioning At Risk"))="Functioning At Risk"</formula>
    </cfRule>
    <cfRule type="beginsWith" dxfId="7910" priority="1370" stopIfTrue="1" operator="beginsWith" text="Not Functioning">
      <formula>LEFT(E260,LEN("Not Functioning"))="Not Functioning"</formula>
    </cfRule>
    <cfRule type="containsText" dxfId="7909" priority="1371" operator="containsText" text="Functioning">
      <formula>NOT(ISERROR(SEARCH("Functioning",E260)))</formula>
    </cfRule>
  </conditionalFormatting>
  <conditionalFormatting sqref="A277:C277 E277:K277 D305:D306">
    <cfRule type="beginsWith" dxfId="7908" priority="1363" stopIfTrue="1" operator="beginsWith" text="Functioning At Risk">
      <formula>LEFT(A277,LEN("Functioning At Risk"))="Functioning At Risk"</formula>
    </cfRule>
    <cfRule type="beginsWith" dxfId="7907" priority="1364" stopIfTrue="1" operator="beginsWith" text="Not Functioning">
      <formula>LEFT(A277,LEN("Not Functioning"))="Not Functioning"</formula>
    </cfRule>
    <cfRule type="containsText" dxfId="7906" priority="1365" operator="containsText" text="Functioning">
      <formula>NOT(ISERROR(SEARCH("Functioning",A277)))</formula>
    </cfRule>
  </conditionalFormatting>
  <conditionalFormatting sqref="I308:I312 B306:B307 D296 B299 A280:B280 A308:B310 H282:I283 H280:I280 H278:K279 A282:B282 A311:A312 D288:D290 B303:B304 A283 D308:D311 D280:D283 D299:D303">
    <cfRule type="beginsWith" dxfId="7905" priority="1360" stopIfTrue="1" operator="beginsWith" text="Functioning At Risk">
      <formula>LEFT(A278,LEN("Functioning At Risk"))="Functioning At Risk"</formula>
    </cfRule>
    <cfRule type="beginsWith" dxfId="7904" priority="1361" stopIfTrue="1" operator="beginsWith" text="Not Functioning">
      <formula>LEFT(A278,LEN("Not Functioning"))="Not Functioning"</formula>
    </cfRule>
    <cfRule type="containsText" dxfId="7903" priority="1362" operator="containsText" text="Functioning">
      <formula>NOT(ISERROR(SEARCH("Functioning",A278)))</formula>
    </cfRule>
  </conditionalFormatting>
  <conditionalFormatting sqref="D291">
    <cfRule type="beginsWith" dxfId="7902" priority="1354" stopIfTrue="1" operator="beginsWith" text="Functioning At Risk">
      <formula>LEFT(D291,LEN("Functioning At Risk"))="Functioning At Risk"</formula>
    </cfRule>
    <cfRule type="beginsWith" dxfId="7901" priority="1355" stopIfTrue="1" operator="beginsWith" text="Not Functioning">
      <formula>LEFT(D291,LEN("Not Functioning"))="Not Functioning"</formula>
    </cfRule>
    <cfRule type="containsText" dxfId="7900" priority="1356" operator="containsText" text="Functioning">
      <formula>NOT(ISERROR(SEARCH("Functioning",D291)))</formula>
    </cfRule>
  </conditionalFormatting>
  <conditionalFormatting sqref="D297">
    <cfRule type="beginsWith" dxfId="7899" priority="1351" stopIfTrue="1" operator="beginsWith" text="Functioning At Risk">
      <formula>LEFT(D297,LEN("Functioning At Risk"))="Functioning At Risk"</formula>
    </cfRule>
    <cfRule type="beginsWith" dxfId="7898" priority="1352" stopIfTrue="1" operator="beginsWith" text="Not Functioning">
      <formula>LEFT(D297,LEN("Not Functioning"))="Not Functioning"</formula>
    </cfRule>
    <cfRule type="containsText" dxfId="7897" priority="1353" operator="containsText" text="Functioning">
      <formula>NOT(ISERROR(SEARCH("Functioning",D297)))</formula>
    </cfRule>
  </conditionalFormatting>
  <conditionalFormatting sqref="D298">
    <cfRule type="beginsWith" dxfId="7896" priority="1348" stopIfTrue="1" operator="beginsWith" text="Functioning At Risk">
      <formula>LEFT(D298,LEN("Functioning At Risk"))="Functioning At Risk"</formula>
    </cfRule>
    <cfRule type="beginsWith" dxfId="7895" priority="1349" stopIfTrue="1" operator="beginsWith" text="Not Functioning">
      <formula>LEFT(D298,LEN("Not Functioning"))="Not Functioning"</formula>
    </cfRule>
    <cfRule type="containsText" dxfId="7894" priority="1350" operator="containsText" text="Functioning">
      <formula>NOT(ISERROR(SEARCH("Functioning",D298)))</formula>
    </cfRule>
  </conditionalFormatting>
  <conditionalFormatting sqref="D292:D295">
    <cfRule type="beginsWith" dxfId="7893" priority="1345" stopIfTrue="1" operator="beginsWith" text="Functioning At Risk">
      <formula>LEFT(D292,LEN("Functioning At Risk"))="Functioning At Risk"</formula>
    </cfRule>
    <cfRule type="beginsWith" dxfId="7892" priority="1346" stopIfTrue="1" operator="beginsWith" text="Not Functioning">
      <formula>LEFT(D292,LEN("Not Functioning"))="Not Functioning"</formula>
    </cfRule>
    <cfRule type="containsText" dxfId="7891" priority="1347" operator="containsText" text="Functioning">
      <formula>NOT(ISERROR(SEARCH("Functioning",D292)))</formula>
    </cfRule>
  </conditionalFormatting>
  <conditionalFormatting sqref="A304">
    <cfRule type="beginsWith" dxfId="7890" priority="1342" stopIfTrue="1" operator="beginsWith" text="Functioning At Risk">
      <formula>LEFT(A304,LEN("Functioning At Risk"))="Functioning At Risk"</formula>
    </cfRule>
    <cfRule type="beginsWith" dxfId="7889" priority="1343" stopIfTrue="1" operator="beginsWith" text="Not Functioning">
      <formula>LEFT(A304,LEN("Not Functioning"))="Not Functioning"</formula>
    </cfRule>
    <cfRule type="containsText" dxfId="7888" priority="1344" operator="containsText" text="Functioning">
      <formula>NOT(ISERROR(SEARCH("Functioning",A304)))</formula>
    </cfRule>
  </conditionalFormatting>
  <conditionalFormatting sqref="H304">
    <cfRule type="beginsWith" dxfId="7887" priority="1339" stopIfTrue="1" operator="beginsWith" text="Functioning At Risk">
      <formula>LEFT(H304,LEN("Functioning At Risk"))="Functioning At Risk"</formula>
    </cfRule>
    <cfRule type="beginsWith" dxfId="7886" priority="1340" stopIfTrue="1" operator="beginsWith" text="Not Functioning">
      <formula>LEFT(H304,LEN("Not Functioning"))="Not Functioning"</formula>
    </cfRule>
    <cfRule type="containsText" dxfId="7885" priority="1341" operator="containsText" text="Functioning">
      <formula>NOT(ISERROR(SEARCH("Functioning",H304)))</formula>
    </cfRule>
  </conditionalFormatting>
  <conditionalFormatting sqref="I304">
    <cfRule type="beginsWith" dxfId="7884" priority="1336" stopIfTrue="1" operator="beginsWith" text="Functioning At Risk">
      <formula>LEFT(I304,LEN("Functioning At Risk"))="Functioning At Risk"</formula>
    </cfRule>
    <cfRule type="beginsWith" dxfId="7883" priority="1337" stopIfTrue="1" operator="beginsWith" text="Not Functioning">
      <formula>LEFT(I304,LEN("Not Functioning"))="Not Functioning"</formula>
    </cfRule>
    <cfRule type="containsText" dxfId="7882" priority="1338" operator="containsText" text="Functioning">
      <formula>NOT(ISERROR(SEARCH("Functioning",I304)))</formula>
    </cfRule>
  </conditionalFormatting>
  <conditionalFormatting sqref="D312">
    <cfRule type="beginsWith" dxfId="7881" priority="1333" stopIfTrue="1" operator="beginsWith" text="Functioning At Risk">
      <formula>LEFT(D312,LEN("Functioning At Risk"))="Functioning At Risk"</formula>
    </cfRule>
    <cfRule type="beginsWith" dxfId="7880" priority="1334" stopIfTrue="1" operator="beginsWith" text="Not Functioning">
      <formula>LEFT(D312,LEN("Not Functioning"))="Not Functioning"</formula>
    </cfRule>
    <cfRule type="containsText" dxfId="7879" priority="1335" operator="containsText" text="Functioning">
      <formula>NOT(ISERROR(SEARCH("Functioning",D312)))</formula>
    </cfRule>
  </conditionalFormatting>
  <conditionalFormatting sqref="D313">
    <cfRule type="beginsWith" dxfId="7878" priority="1330" stopIfTrue="1" operator="beginsWith" text="Functioning At Risk">
      <formula>LEFT(D313,LEN("Functioning At Risk"))="Functioning At Risk"</formula>
    </cfRule>
    <cfRule type="beginsWith" dxfId="7877" priority="1331" stopIfTrue="1" operator="beginsWith" text="Not Functioning">
      <formula>LEFT(D313,LEN("Not Functioning"))="Not Functioning"</formula>
    </cfRule>
    <cfRule type="containsText" dxfId="7876" priority="1332" operator="containsText" text="Functioning">
      <formula>NOT(ISERROR(SEARCH("Functioning",D313)))</formula>
    </cfRule>
  </conditionalFormatting>
  <conditionalFormatting sqref="B312">
    <cfRule type="beginsWith" dxfId="7875" priority="1327" stopIfTrue="1" operator="beginsWith" text="Functioning At Risk">
      <formula>LEFT(B312,LEN("Functioning At Risk"))="Functioning At Risk"</formula>
    </cfRule>
    <cfRule type="beginsWith" dxfId="7874" priority="1328" stopIfTrue="1" operator="beginsWith" text="Not Functioning">
      <formula>LEFT(B312,LEN("Not Functioning"))="Not Functioning"</formula>
    </cfRule>
    <cfRule type="containsText" dxfId="7873" priority="1329" operator="containsText" text="Functioning">
      <formula>NOT(ISERROR(SEARCH("Functioning",B312)))</formula>
    </cfRule>
  </conditionalFormatting>
  <conditionalFormatting sqref="B288">
    <cfRule type="beginsWith" dxfId="7872" priority="1321" stopIfTrue="1" operator="beginsWith" text="Functioning At Risk">
      <formula>LEFT(B288,LEN("Functioning At Risk"))="Functioning At Risk"</formula>
    </cfRule>
    <cfRule type="beginsWith" dxfId="7871" priority="1322" stopIfTrue="1" operator="beginsWith" text="Not Functioning">
      <formula>LEFT(B288,LEN("Not Functioning"))="Not Functioning"</formula>
    </cfRule>
    <cfRule type="containsText" dxfId="7870" priority="1323" operator="containsText" text="Functioning">
      <formula>NOT(ISERROR(SEARCH("Functioning",B288)))</formula>
    </cfRule>
  </conditionalFormatting>
  <conditionalFormatting sqref="E312 E280:E281 E304">
    <cfRule type="beginsWith" dxfId="7869" priority="1309" stopIfTrue="1" operator="beginsWith" text="Functioning At Risk">
      <formula>LEFT(E280,LEN("Functioning At Risk"))="Functioning At Risk"</formula>
    </cfRule>
    <cfRule type="beginsWith" dxfId="7868" priority="1310" stopIfTrue="1" operator="beginsWith" text="Not Functioning">
      <formula>LEFT(E280,LEN("Not Functioning"))="Not Functioning"</formula>
    </cfRule>
    <cfRule type="containsText" dxfId="7867" priority="1311" operator="containsText" text="Functioning">
      <formula>NOT(ISERROR(SEARCH("Functioning",E280)))</formula>
    </cfRule>
  </conditionalFormatting>
  <conditionalFormatting sqref="E313">
    <cfRule type="beginsWith" dxfId="7866" priority="1306" stopIfTrue="1" operator="beginsWith" text="Functioning At Risk">
      <formula>LEFT(E313,LEN("Functioning At Risk"))="Functioning At Risk"</formula>
    </cfRule>
    <cfRule type="beginsWith" dxfId="7865" priority="1307" stopIfTrue="1" operator="beginsWith" text="Not Functioning">
      <formula>LEFT(E313,LEN("Not Functioning"))="Not Functioning"</formula>
    </cfRule>
    <cfRule type="containsText" dxfId="7864" priority="1308" operator="containsText" text="Functioning">
      <formula>NOT(ISERROR(SEARCH("Functioning",E313)))</formula>
    </cfRule>
  </conditionalFormatting>
  <conditionalFormatting sqref="E304">
    <cfRule type="expression" dxfId="7863" priority="1301">
      <formula>B187="Level 4 - Physicochemical"</formula>
    </cfRule>
    <cfRule type="expression" dxfId="7862" priority="1305">
      <formula>B187="Level 5 - Biology"</formula>
    </cfRule>
  </conditionalFormatting>
  <conditionalFormatting sqref="E306">
    <cfRule type="expression" dxfId="7861" priority="1300">
      <formula>B187="Level 4 - Physicochemical"</formula>
    </cfRule>
    <cfRule type="expression" dxfId="7860" priority="1304">
      <formula>B187="Level 5 - Biology"</formula>
    </cfRule>
  </conditionalFormatting>
  <conditionalFormatting sqref="E307">
    <cfRule type="expression" dxfId="7859" priority="1299">
      <formula>B187="Level 4 - Physicochemical"</formula>
    </cfRule>
    <cfRule type="expression" dxfId="7858" priority="1303">
      <formula>B187="Level 5 - Biology"</formula>
    </cfRule>
  </conditionalFormatting>
  <conditionalFormatting sqref="E313">
    <cfRule type="expression" dxfId="7857" priority="1302">
      <formula>B187="Level 5 - Biology"</formula>
    </cfRule>
  </conditionalFormatting>
  <conditionalFormatting sqref="E305">
    <cfRule type="expression" dxfId="7856" priority="1315">
      <formula>B188="Level 4 - Physicochemical"</formula>
    </cfRule>
    <cfRule type="expression" dxfId="7855" priority="1316">
      <formula>B188="Level 5 - Biology"</formula>
    </cfRule>
  </conditionalFormatting>
  <conditionalFormatting sqref="E312">
    <cfRule type="expression" dxfId="7854" priority="1317">
      <formula>B189="Level 5 - Biology"</formula>
    </cfRule>
  </conditionalFormatting>
  <conditionalFormatting sqref="E302:E303">
    <cfRule type="beginsWith" dxfId="7853" priority="1293" stopIfTrue="1" operator="beginsWith" text="Functioning At Risk">
      <formula>LEFT(E302,LEN("Functioning At Risk"))="Functioning At Risk"</formula>
    </cfRule>
    <cfRule type="beginsWith" dxfId="7852" priority="1294" stopIfTrue="1" operator="beginsWith" text="Not Functioning">
      <formula>LEFT(E302,LEN("Not Functioning"))="Not Functioning"</formula>
    </cfRule>
    <cfRule type="containsText" dxfId="7851" priority="1295" operator="containsText" text="Functioning">
      <formula>NOT(ISERROR(SEARCH("Functioning",E302)))</formula>
    </cfRule>
  </conditionalFormatting>
  <conditionalFormatting sqref="E311">
    <cfRule type="expression" dxfId="7850" priority="1291">
      <formula>B117="Level 5 - Biology"</formula>
    </cfRule>
  </conditionalFormatting>
  <conditionalFormatting sqref="E308:E311">
    <cfRule type="beginsWith" dxfId="7849" priority="1288" stopIfTrue="1" operator="beginsWith" text="Functioning At Risk">
      <formula>LEFT(E308,LEN("Functioning At Risk"))="Functioning At Risk"</formula>
    </cfRule>
    <cfRule type="beginsWith" dxfId="7848" priority="1289" stopIfTrue="1" operator="beginsWith" text="Not Functioning">
      <formula>LEFT(E308,LEN("Not Functioning"))="Not Functioning"</formula>
    </cfRule>
    <cfRule type="containsText" dxfId="7847" priority="1290" operator="containsText" text="Functioning">
      <formula>NOT(ISERROR(SEARCH("Functioning",E308)))</formula>
    </cfRule>
  </conditionalFormatting>
  <conditionalFormatting sqref="E308:E310">
    <cfRule type="expression" dxfId="7846" priority="1292">
      <formula>B116="Level 5 - Biology"</formula>
    </cfRule>
  </conditionalFormatting>
  <conditionalFormatting sqref="C288:C290 C305:C306 C299:C300 C311 C303 C280:C283 C308:C309">
    <cfRule type="beginsWith" dxfId="7845" priority="1285" stopIfTrue="1" operator="beginsWith" text="Functioning At Risk">
      <formula>LEFT(C280,LEN("Functioning At Risk"))="Functioning At Risk"</formula>
    </cfRule>
    <cfRule type="beginsWith" dxfId="7844" priority="1286" stopIfTrue="1" operator="beginsWith" text="Not Functioning">
      <formula>LEFT(C280,LEN("Not Functioning"))="Not Functioning"</formula>
    </cfRule>
    <cfRule type="containsText" dxfId="7843" priority="1287" operator="containsText" text="Functioning">
      <formula>NOT(ISERROR(SEARCH("Functioning",C280)))</formula>
    </cfRule>
  </conditionalFormatting>
  <conditionalFormatting sqref="C291">
    <cfRule type="beginsWith" dxfId="7842" priority="1282" stopIfTrue="1" operator="beginsWith" text="Functioning At Risk">
      <formula>LEFT(C291,LEN("Functioning At Risk"))="Functioning At Risk"</formula>
    </cfRule>
    <cfRule type="beginsWith" dxfId="7841" priority="1283" stopIfTrue="1" operator="beginsWith" text="Not Functioning">
      <formula>LEFT(C291,LEN("Not Functioning"))="Not Functioning"</formula>
    </cfRule>
    <cfRule type="containsText" dxfId="7840" priority="1284" operator="containsText" text="Functioning">
      <formula>NOT(ISERROR(SEARCH("Functioning",C291)))</formula>
    </cfRule>
  </conditionalFormatting>
  <conditionalFormatting sqref="C298">
    <cfRule type="beginsWith" dxfId="7839" priority="1279" stopIfTrue="1" operator="beginsWith" text="Functioning At Risk">
      <formula>LEFT(C298,LEN("Functioning At Risk"))="Functioning At Risk"</formula>
    </cfRule>
    <cfRule type="beginsWith" dxfId="7838" priority="1280" stopIfTrue="1" operator="beginsWith" text="Not Functioning">
      <formula>LEFT(C298,LEN("Not Functioning"))="Not Functioning"</formula>
    </cfRule>
    <cfRule type="containsText" dxfId="7837" priority="1281" operator="containsText" text="Functioning">
      <formula>NOT(ISERROR(SEARCH("Functioning",C298)))</formula>
    </cfRule>
  </conditionalFormatting>
  <conditionalFormatting sqref="C292:C295">
    <cfRule type="beginsWith" dxfId="7836" priority="1276" stopIfTrue="1" operator="beginsWith" text="Functioning At Risk">
      <formula>LEFT(C292,LEN("Functioning At Risk"))="Functioning At Risk"</formula>
    </cfRule>
    <cfRule type="beginsWith" dxfId="7835" priority="1277" stopIfTrue="1" operator="beginsWith" text="Not Functioning">
      <formula>LEFT(C292,LEN("Not Functioning"))="Not Functioning"</formula>
    </cfRule>
    <cfRule type="containsText" dxfId="7834" priority="1278" operator="containsText" text="Functioning">
      <formula>NOT(ISERROR(SEARCH("Functioning",C292)))</formula>
    </cfRule>
  </conditionalFormatting>
  <conditionalFormatting sqref="C301">
    <cfRule type="beginsWith" dxfId="7833" priority="1273" stopIfTrue="1" operator="beginsWith" text="Functioning At Risk">
      <formula>LEFT(C301,LEN("Functioning At Risk"))="Functioning At Risk"</formula>
    </cfRule>
    <cfRule type="beginsWith" dxfId="7832" priority="1274" stopIfTrue="1" operator="beginsWith" text="Not Functioning">
      <formula>LEFT(C301,LEN("Not Functioning"))="Not Functioning"</formula>
    </cfRule>
    <cfRule type="containsText" dxfId="7831" priority="1275" operator="containsText" text="Functioning">
      <formula>NOT(ISERROR(SEARCH("Functioning",C301)))</formula>
    </cfRule>
  </conditionalFormatting>
  <conditionalFormatting sqref="C302">
    <cfRule type="beginsWith" dxfId="7830" priority="1270" stopIfTrue="1" operator="beginsWith" text="Functioning At Risk">
      <formula>LEFT(C302,LEN("Functioning At Risk"))="Functioning At Risk"</formula>
    </cfRule>
    <cfRule type="beginsWith" dxfId="7829" priority="1271" stopIfTrue="1" operator="beginsWith" text="Not Functioning">
      <formula>LEFT(C302,LEN("Not Functioning"))="Not Functioning"</formula>
    </cfRule>
    <cfRule type="containsText" dxfId="7828" priority="1272" operator="containsText" text="Functioning">
      <formula>NOT(ISERROR(SEARCH("Functioning",C302)))</formula>
    </cfRule>
  </conditionalFormatting>
  <conditionalFormatting sqref="C313">
    <cfRule type="beginsWith" dxfId="7827" priority="1264" stopIfTrue="1" operator="beginsWith" text="Functioning At Risk">
      <formula>LEFT(C313,LEN("Functioning At Risk"))="Functioning At Risk"</formula>
    </cfRule>
    <cfRule type="beginsWith" dxfId="7826" priority="1265" stopIfTrue="1" operator="beginsWith" text="Not Functioning">
      <formula>LEFT(C313,LEN("Not Functioning"))="Not Functioning"</formula>
    </cfRule>
    <cfRule type="containsText" dxfId="7825" priority="1266" operator="containsText" text="Functioning">
      <formula>NOT(ISERROR(SEARCH("Functioning",C313)))</formula>
    </cfRule>
  </conditionalFormatting>
  <conditionalFormatting sqref="C312">
    <cfRule type="beginsWith" dxfId="7824" priority="1267" stopIfTrue="1" operator="beginsWith" text="Functioning At Risk">
      <formula>LEFT(C312,LEN("Functioning At Risk"))="Functioning At Risk"</formula>
    </cfRule>
    <cfRule type="beginsWith" dxfId="7823" priority="1268" stopIfTrue="1" operator="beginsWith" text="Not Functioning">
      <formula>LEFT(C312,LEN("Not Functioning"))="Not Functioning"</formula>
    </cfRule>
    <cfRule type="containsText" dxfId="7822" priority="1269" operator="containsText" text="Functioning">
      <formula>NOT(ISERROR(SEARCH("Functioning",C312)))</formula>
    </cfRule>
  </conditionalFormatting>
  <conditionalFormatting sqref="C310">
    <cfRule type="beginsWith" dxfId="7821" priority="1261" stopIfTrue="1" operator="beginsWith" text="Functioning At Risk">
      <formula>LEFT(C310,LEN("Functioning At Risk"))="Functioning At Risk"</formula>
    </cfRule>
    <cfRule type="beginsWith" dxfId="7820" priority="1262" stopIfTrue="1" operator="beginsWith" text="Not Functioning">
      <formula>LEFT(C310,LEN("Not Functioning"))="Not Functioning"</formula>
    </cfRule>
    <cfRule type="containsText" dxfId="7819" priority="1263" operator="containsText" text="Functioning">
      <formula>NOT(ISERROR(SEARCH("Functioning",C310)))</formula>
    </cfRule>
  </conditionalFormatting>
  <conditionalFormatting sqref="C296:C297">
    <cfRule type="beginsWith" dxfId="7818" priority="1258" stopIfTrue="1" operator="beginsWith" text="Functioning At Risk">
      <formula>LEFT(C296,LEN("Functioning At Risk"))="Functioning At Risk"</formula>
    </cfRule>
    <cfRule type="beginsWith" dxfId="7817" priority="1259" stopIfTrue="1" operator="beginsWith" text="Not Functioning">
      <formula>LEFT(C296,LEN("Not Functioning"))="Not Functioning"</formula>
    </cfRule>
    <cfRule type="containsText" dxfId="7816" priority="1260" operator="containsText" text="Functioning">
      <formula>NOT(ISERROR(SEARCH("Functioning",C296)))</formula>
    </cfRule>
  </conditionalFormatting>
  <conditionalFormatting sqref="E299">
    <cfRule type="beginsWith" dxfId="7815" priority="1243" stopIfTrue="1" operator="beginsWith" text="Functioning At Risk">
      <formula>LEFT(E299,LEN("Functioning At Risk"))="Functioning At Risk"</formula>
    </cfRule>
    <cfRule type="beginsWith" dxfId="7814" priority="1244" stopIfTrue="1" operator="beginsWith" text="Not Functioning">
      <formula>LEFT(E299,LEN("Not Functioning"))="Not Functioning"</formula>
    </cfRule>
    <cfRule type="containsText" dxfId="7813" priority="1245" operator="containsText" text="Functioning">
      <formula>NOT(ISERROR(SEARCH("Functioning",E299)))</formula>
    </cfRule>
  </conditionalFormatting>
  <conditionalFormatting sqref="E301">
    <cfRule type="beginsWith" dxfId="7812" priority="1240" stopIfTrue="1" operator="beginsWith" text="Functioning At Risk">
      <formula>LEFT(E301,LEN("Functioning At Risk"))="Functioning At Risk"</formula>
    </cfRule>
    <cfRule type="beginsWith" dxfId="7811" priority="1241" stopIfTrue="1" operator="beginsWith" text="Not Functioning">
      <formula>LEFT(E301,LEN("Not Functioning"))="Not Functioning"</formula>
    </cfRule>
    <cfRule type="containsText" dxfId="7810" priority="1242" operator="containsText" text="Functioning">
      <formula>NOT(ISERROR(SEARCH("Functioning",E301)))</formula>
    </cfRule>
  </conditionalFormatting>
  <conditionalFormatting sqref="E288:E290">
    <cfRule type="beginsWith" dxfId="7809" priority="1237" stopIfTrue="1" operator="beginsWith" text="Functioning At Risk">
      <formula>LEFT(E288,LEN("Functioning At Risk"))="Functioning At Risk"</formula>
    </cfRule>
    <cfRule type="beginsWith" dxfId="7808" priority="1238" stopIfTrue="1" operator="beginsWith" text="Not Functioning">
      <formula>LEFT(E288,LEN("Not Functioning"))="Not Functioning"</formula>
    </cfRule>
    <cfRule type="containsText" dxfId="7807" priority="1239" operator="containsText" text="Functioning">
      <formula>NOT(ISERROR(SEARCH("Functioning",E288)))</formula>
    </cfRule>
  </conditionalFormatting>
  <conditionalFormatting sqref="E292:E295">
    <cfRule type="beginsWith" dxfId="7806" priority="1234" stopIfTrue="1" operator="beginsWith" text="Functioning At Risk">
      <formula>LEFT(E292,LEN("Functioning At Risk"))="Functioning At Risk"</formula>
    </cfRule>
    <cfRule type="beginsWith" dxfId="7805" priority="1235" stopIfTrue="1" operator="beginsWith" text="Not Functioning">
      <formula>LEFT(E292,LEN("Not Functioning"))="Not Functioning"</formula>
    </cfRule>
    <cfRule type="containsText" dxfId="7804" priority="1236" operator="containsText" text="Functioning">
      <formula>NOT(ISERROR(SEARCH("Functioning",E292)))</formula>
    </cfRule>
  </conditionalFormatting>
  <conditionalFormatting sqref="E300">
    <cfRule type="beginsWith" dxfId="7803" priority="1219" stopIfTrue="1" operator="beginsWith" text="Functioning At Risk">
      <formula>LEFT(E300,LEN("Functioning At Risk"))="Functioning At Risk"</formula>
    </cfRule>
    <cfRule type="beginsWith" dxfId="7802" priority="1220" stopIfTrue="1" operator="beginsWith" text="Not Functioning">
      <formula>LEFT(E300,LEN("Not Functioning"))="Not Functioning"</formula>
    </cfRule>
    <cfRule type="containsText" dxfId="7801" priority="1221" operator="containsText" text="Functioning">
      <formula>NOT(ISERROR(SEARCH("Functioning",E300)))</formula>
    </cfRule>
  </conditionalFormatting>
  <conditionalFormatting sqref="A317:C317 E317:K317 D345:D346">
    <cfRule type="beginsWith" dxfId="7800" priority="1213" stopIfTrue="1" operator="beginsWith" text="Functioning At Risk">
      <formula>LEFT(A317,LEN("Functioning At Risk"))="Functioning At Risk"</formula>
    </cfRule>
    <cfRule type="beginsWith" dxfId="7799" priority="1214" stopIfTrue="1" operator="beginsWith" text="Not Functioning">
      <formula>LEFT(A317,LEN("Not Functioning"))="Not Functioning"</formula>
    </cfRule>
    <cfRule type="containsText" dxfId="7798" priority="1215" operator="containsText" text="Functioning">
      <formula>NOT(ISERROR(SEARCH("Functioning",A317)))</formula>
    </cfRule>
  </conditionalFormatting>
  <conditionalFormatting sqref="I348:I352 B346:B347 D336 B339 A320:B320 A348:B350 H322:I323 H320:I320 H318:K319 A322:B322 A351:A352 D328:D330 B343:B344 A323 D348:D351 D320:D323 D339:D343">
    <cfRule type="beginsWith" dxfId="7797" priority="1210" stopIfTrue="1" operator="beginsWith" text="Functioning At Risk">
      <formula>LEFT(A318,LEN("Functioning At Risk"))="Functioning At Risk"</formula>
    </cfRule>
    <cfRule type="beginsWith" dxfId="7796" priority="1211" stopIfTrue="1" operator="beginsWith" text="Not Functioning">
      <formula>LEFT(A318,LEN("Not Functioning"))="Not Functioning"</formula>
    </cfRule>
    <cfRule type="containsText" dxfId="7795" priority="1212" operator="containsText" text="Functioning">
      <formula>NOT(ISERROR(SEARCH("Functioning",A318)))</formula>
    </cfRule>
  </conditionalFormatting>
  <conditionalFormatting sqref="I384">
    <cfRule type="beginsWith" dxfId="7794" priority="1036" stopIfTrue="1" operator="beginsWith" text="Functioning At Risk">
      <formula>LEFT(I384,LEN("Functioning At Risk"))="Functioning At Risk"</formula>
    </cfRule>
    <cfRule type="beginsWith" dxfId="7793" priority="1037" stopIfTrue="1" operator="beginsWith" text="Not Functioning">
      <formula>LEFT(I384,LEN("Not Functioning"))="Not Functioning"</formula>
    </cfRule>
    <cfRule type="containsText" dxfId="7792" priority="1038" operator="containsText" text="Functioning">
      <formula>NOT(ISERROR(SEARCH("Functioning",I384)))</formula>
    </cfRule>
  </conditionalFormatting>
  <conditionalFormatting sqref="D331">
    <cfRule type="beginsWith" dxfId="7791" priority="1204" stopIfTrue="1" operator="beginsWith" text="Functioning At Risk">
      <formula>LEFT(D331,LEN("Functioning At Risk"))="Functioning At Risk"</formula>
    </cfRule>
    <cfRule type="beginsWith" dxfId="7790" priority="1205" stopIfTrue="1" operator="beginsWith" text="Not Functioning">
      <formula>LEFT(D331,LEN("Not Functioning"))="Not Functioning"</formula>
    </cfRule>
    <cfRule type="containsText" dxfId="7789" priority="1206" operator="containsText" text="Functioning">
      <formula>NOT(ISERROR(SEARCH("Functioning",D331)))</formula>
    </cfRule>
  </conditionalFormatting>
  <conditionalFormatting sqref="D337">
    <cfRule type="beginsWith" dxfId="7788" priority="1201" stopIfTrue="1" operator="beginsWith" text="Functioning At Risk">
      <formula>LEFT(D337,LEN("Functioning At Risk"))="Functioning At Risk"</formula>
    </cfRule>
    <cfRule type="beginsWith" dxfId="7787" priority="1202" stopIfTrue="1" operator="beginsWith" text="Not Functioning">
      <formula>LEFT(D337,LEN("Not Functioning"))="Not Functioning"</formula>
    </cfRule>
    <cfRule type="containsText" dxfId="7786" priority="1203" operator="containsText" text="Functioning">
      <formula>NOT(ISERROR(SEARCH("Functioning",D337)))</formula>
    </cfRule>
  </conditionalFormatting>
  <conditionalFormatting sqref="D338">
    <cfRule type="beginsWith" dxfId="7785" priority="1198" stopIfTrue="1" operator="beginsWith" text="Functioning At Risk">
      <formula>LEFT(D338,LEN("Functioning At Risk"))="Functioning At Risk"</formula>
    </cfRule>
    <cfRule type="beginsWith" dxfId="7784" priority="1199" stopIfTrue="1" operator="beginsWith" text="Not Functioning">
      <formula>LEFT(D338,LEN("Not Functioning"))="Not Functioning"</formula>
    </cfRule>
    <cfRule type="containsText" dxfId="7783" priority="1200" operator="containsText" text="Functioning">
      <formula>NOT(ISERROR(SEARCH("Functioning",D338)))</formula>
    </cfRule>
  </conditionalFormatting>
  <conditionalFormatting sqref="D332:D335">
    <cfRule type="beginsWith" dxfId="7782" priority="1195" stopIfTrue="1" operator="beginsWith" text="Functioning At Risk">
      <formula>LEFT(D332,LEN("Functioning At Risk"))="Functioning At Risk"</formula>
    </cfRule>
    <cfRule type="beginsWith" dxfId="7781" priority="1196" stopIfTrue="1" operator="beginsWith" text="Not Functioning">
      <formula>LEFT(D332,LEN("Not Functioning"))="Not Functioning"</formula>
    </cfRule>
    <cfRule type="containsText" dxfId="7780" priority="1197" operator="containsText" text="Functioning">
      <formula>NOT(ISERROR(SEARCH("Functioning",D332)))</formula>
    </cfRule>
  </conditionalFormatting>
  <conditionalFormatting sqref="A344">
    <cfRule type="beginsWith" dxfId="7779" priority="1192" stopIfTrue="1" operator="beginsWith" text="Functioning At Risk">
      <formula>LEFT(A344,LEN("Functioning At Risk"))="Functioning At Risk"</formula>
    </cfRule>
    <cfRule type="beginsWith" dxfId="7778" priority="1193" stopIfTrue="1" operator="beginsWith" text="Not Functioning">
      <formula>LEFT(A344,LEN("Not Functioning"))="Not Functioning"</formula>
    </cfRule>
    <cfRule type="containsText" dxfId="7777" priority="1194" operator="containsText" text="Functioning">
      <formula>NOT(ISERROR(SEARCH("Functioning",A344)))</formula>
    </cfRule>
  </conditionalFormatting>
  <conditionalFormatting sqref="H344">
    <cfRule type="beginsWith" dxfId="7776" priority="1189" stopIfTrue="1" operator="beginsWith" text="Functioning At Risk">
      <formula>LEFT(H344,LEN("Functioning At Risk"))="Functioning At Risk"</formula>
    </cfRule>
    <cfRule type="beginsWith" dxfId="7775" priority="1190" stopIfTrue="1" operator="beginsWith" text="Not Functioning">
      <formula>LEFT(H344,LEN("Not Functioning"))="Not Functioning"</formula>
    </cfRule>
    <cfRule type="containsText" dxfId="7774" priority="1191" operator="containsText" text="Functioning">
      <formula>NOT(ISERROR(SEARCH("Functioning",H344)))</formula>
    </cfRule>
  </conditionalFormatting>
  <conditionalFormatting sqref="I344">
    <cfRule type="beginsWith" dxfId="7773" priority="1186" stopIfTrue="1" operator="beginsWith" text="Functioning At Risk">
      <formula>LEFT(I344,LEN("Functioning At Risk"))="Functioning At Risk"</formula>
    </cfRule>
    <cfRule type="beginsWith" dxfId="7772" priority="1187" stopIfTrue="1" operator="beginsWith" text="Not Functioning">
      <formula>LEFT(I344,LEN("Not Functioning"))="Not Functioning"</formula>
    </cfRule>
    <cfRule type="containsText" dxfId="7771" priority="1188" operator="containsText" text="Functioning">
      <formula>NOT(ISERROR(SEARCH("Functioning",I344)))</formula>
    </cfRule>
  </conditionalFormatting>
  <conditionalFormatting sqref="D352">
    <cfRule type="beginsWith" dxfId="7770" priority="1183" stopIfTrue="1" operator="beginsWith" text="Functioning At Risk">
      <formula>LEFT(D352,LEN("Functioning At Risk"))="Functioning At Risk"</formula>
    </cfRule>
    <cfRule type="beginsWith" dxfId="7769" priority="1184" stopIfTrue="1" operator="beginsWith" text="Not Functioning">
      <formula>LEFT(D352,LEN("Not Functioning"))="Not Functioning"</formula>
    </cfRule>
    <cfRule type="containsText" dxfId="7768" priority="1185" operator="containsText" text="Functioning">
      <formula>NOT(ISERROR(SEARCH("Functioning",D352)))</formula>
    </cfRule>
  </conditionalFormatting>
  <conditionalFormatting sqref="D353">
    <cfRule type="beginsWith" dxfId="7767" priority="1180" stopIfTrue="1" operator="beginsWith" text="Functioning At Risk">
      <formula>LEFT(D353,LEN("Functioning At Risk"))="Functioning At Risk"</formula>
    </cfRule>
    <cfRule type="beginsWith" dxfId="7766" priority="1181" stopIfTrue="1" operator="beginsWith" text="Not Functioning">
      <formula>LEFT(D353,LEN("Not Functioning"))="Not Functioning"</formula>
    </cfRule>
    <cfRule type="containsText" dxfId="7765" priority="1182" operator="containsText" text="Functioning">
      <formula>NOT(ISERROR(SEARCH("Functioning",D353)))</formula>
    </cfRule>
  </conditionalFormatting>
  <conditionalFormatting sqref="B352">
    <cfRule type="beginsWith" dxfId="7764" priority="1177" stopIfTrue="1" operator="beginsWith" text="Functioning At Risk">
      <formula>LEFT(B352,LEN("Functioning At Risk"))="Functioning At Risk"</formula>
    </cfRule>
    <cfRule type="beginsWith" dxfId="7763" priority="1178" stopIfTrue="1" operator="beginsWith" text="Not Functioning">
      <formula>LEFT(B352,LEN("Not Functioning"))="Not Functioning"</formula>
    </cfRule>
    <cfRule type="containsText" dxfId="7762" priority="1179" operator="containsText" text="Functioning">
      <formula>NOT(ISERROR(SEARCH("Functioning",B352)))</formula>
    </cfRule>
  </conditionalFormatting>
  <conditionalFormatting sqref="B328">
    <cfRule type="beginsWith" dxfId="7761" priority="1171" stopIfTrue="1" operator="beginsWith" text="Functioning At Risk">
      <formula>LEFT(B328,LEN("Functioning At Risk"))="Functioning At Risk"</formula>
    </cfRule>
    <cfRule type="beginsWith" dxfId="7760" priority="1172" stopIfTrue="1" operator="beginsWith" text="Not Functioning">
      <formula>LEFT(B328,LEN("Not Functioning"))="Not Functioning"</formula>
    </cfRule>
    <cfRule type="containsText" dxfId="7759" priority="1173" operator="containsText" text="Functioning">
      <formula>NOT(ISERROR(SEARCH("Functioning",B328)))</formula>
    </cfRule>
  </conditionalFormatting>
  <conditionalFormatting sqref="E352 E320:E321 E344">
    <cfRule type="beginsWith" dxfId="7758" priority="1159" stopIfTrue="1" operator="beginsWith" text="Functioning At Risk">
      <formula>LEFT(E320,LEN("Functioning At Risk"))="Functioning At Risk"</formula>
    </cfRule>
    <cfRule type="beginsWith" dxfId="7757" priority="1160" stopIfTrue="1" operator="beginsWith" text="Not Functioning">
      <formula>LEFT(E320,LEN("Not Functioning"))="Not Functioning"</formula>
    </cfRule>
    <cfRule type="containsText" dxfId="7756" priority="1161" operator="containsText" text="Functioning">
      <formula>NOT(ISERROR(SEARCH("Functioning",E320)))</formula>
    </cfRule>
  </conditionalFormatting>
  <conditionalFormatting sqref="E353">
    <cfRule type="beginsWith" dxfId="7755" priority="1156" stopIfTrue="1" operator="beginsWith" text="Functioning At Risk">
      <formula>LEFT(E353,LEN("Functioning At Risk"))="Functioning At Risk"</formula>
    </cfRule>
    <cfRule type="beginsWith" dxfId="7754" priority="1157" stopIfTrue="1" operator="beginsWith" text="Not Functioning">
      <formula>LEFT(E353,LEN("Not Functioning"))="Not Functioning"</formula>
    </cfRule>
    <cfRule type="containsText" dxfId="7753" priority="1158" operator="containsText" text="Functioning">
      <formula>NOT(ISERROR(SEARCH("Functioning",E353)))</formula>
    </cfRule>
  </conditionalFormatting>
  <conditionalFormatting sqref="E344">
    <cfRule type="expression" dxfId="7752" priority="1151">
      <formula>B227="Level 4 - Physicochemical"</formula>
    </cfRule>
    <cfRule type="expression" dxfId="7751" priority="1155">
      <formula>B227="Level 5 - Biology"</formula>
    </cfRule>
  </conditionalFormatting>
  <conditionalFormatting sqref="E346">
    <cfRule type="expression" dxfId="7750" priority="1150">
      <formula>B227="Level 4 - Physicochemical"</formula>
    </cfRule>
    <cfRule type="expression" dxfId="7749" priority="1154">
      <formula>B227="Level 5 - Biology"</formula>
    </cfRule>
  </conditionalFormatting>
  <conditionalFormatting sqref="E347">
    <cfRule type="expression" dxfId="7748" priority="1149">
      <formula>B227="Level 4 - Physicochemical"</formula>
    </cfRule>
    <cfRule type="expression" dxfId="7747" priority="1153">
      <formula>B227="Level 5 - Biology"</formula>
    </cfRule>
  </conditionalFormatting>
  <conditionalFormatting sqref="E353">
    <cfRule type="expression" dxfId="7746" priority="1152">
      <formula>B227="Level 5 - Biology"</formula>
    </cfRule>
  </conditionalFormatting>
  <conditionalFormatting sqref="E345">
    <cfRule type="expression" dxfId="7745" priority="1165">
      <formula>B228="Level 4 - Physicochemical"</formula>
    </cfRule>
    <cfRule type="expression" dxfId="7744" priority="1166">
      <formula>B228="Level 5 - Biology"</formula>
    </cfRule>
  </conditionalFormatting>
  <conditionalFormatting sqref="E352">
    <cfRule type="expression" dxfId="7743" priority="1167">
      <formula>B229="Level 5 - Biology"</formula>
    </cfRule>
  </conditionalFormatting>
  <conditionalFormatting sqref="E342:E343">
    <cfRule type="beginsWith" dxfId="7742" priority="1143" stopIfTrue="1" operator="beginsWith" text="Functioning At Risk">
      <formula>LEFT(E342,LEN("Functioning At Risk"))="Functioning At Risk"</formula>
    </cfRule>
    <cfRule type="beginsWith" dxfId="7741" priority="1144" stopIfTrue="1" operator="beginsWith" text="Not Functioning">
      <formula>LEFT(E342,LEN("Not Functioning"))="Not Functioning"</formula>
    </cfRule>
    <cfRule type="containsText" dxfId="7740" priority="1145" operator="containsText" text="Functioning">
      <formula>NOT(ISERROR(SEARCH("Functioning",E342)))</formula>
    </cfRule>
  </conditionalFormatting>
  <conditionalFormatting sqref="E351">
    <cfRule type="expression" dxfId="7739" priority="1141">
      <formula>B157="Level 5 - Biology"</formula>
    </cfRule>
  </conditionalFormatting>
  <conditionalFormatting sqref="E348:E351">
    <cfRule type="beginsWith" dxfId="7738" priority="1138" stopIfTrue="1" operator="beginsWith" text="Functioning At Risk">
      <formula>LEFT(E348,LEN("Functioning At Risk"))="Functioning At Risk"</formula>
    </cfRule>
    <cfRule type="beginsWith" dxfId="7737" priority="1139" stopIfTrue="1" operator="beginsWith" text="Not Functioning">
      <formula>LEFT(E348,LEN("Not Functioning"))="Not Functioning"</formula>
    </cfRule>
    <cfRule type="containsText" dxfId="7736" priority="1140" operator="containsText" text="Functioning">
      <formula>NOT(ISERROR(SEARCH("Functioning",E348)))</formula>
    </cfRule>
  </conditionalFormatting>
  <conditionalFormatting sqref="E348:E350">
    <cfRule type="expression" dxfId="7735" priority="1142">
      <formula>B156="Level 5 - Biology"</formula>
    </cfRule>
  </conditionalFormatting>
  <conditionalFormatting sqref="C328:C330 C345:C346 C339:C340 C351 C343 C320:C323 C348:C349">
    <cfRule type="beginsWith" dxfId="7734" priority="1135" stopIfTrue="1" operator="beginsWith" text="Functioning At Risk">
      <formula>LEFT(C320,LEN("Functioning At Risk"))="Functioning At Risk"</formula>
    </cfRule>
    <cfRule type="beginsWith" dxfId="7733" priority="1136" stopIfTrue="1" operator="beginsWith" text="Not Functioning">
      <formula>LEFT(C320,LEN("Not Functioning"))="Not Functioning"</formula>
    </cfRule>
    <cfRule type="containsText" dxfId="7732" priority="1137" operator="containsText" text="Functioning">
      <formula>NOT(ISERROR(SEARCH("Functioning",C320)))</formula>
    </cfRule>
  </conditionalFormatting>
  <conditionalFormatting sqref="C331">
    <cfRule type="beginsWith" dxfId="7731" priority="1132" stopIfTrue="1" operator="beginsWith" text="Functioning At Risk">
      <formula>LEFT(C331,LEN("Functioning At Risk"))="Functioning At Risk"</formula>
    </cfRule>
    <cfRule type="beginsWith" dxfId="7730" priority="1133" stopIfTrue="1" operator="beginsWith" text="Not Functioning">
      <formula>LEFT(C331,LEN("Not Functioning"))="Not Functioning"</formula>
    </cfRule>
    <cfRule type="containsText" dxfId="7729" priority="1134" operator="containsText" text="Functioning">
      <formula>NOT(ISERROR(SEARCH("Functioning",C331)))</formula>
    </cfRule>
  </conditionalFormatting>
  <conditionalFormatting sqref="C338">
    <cfRule type="beginsWith" dxfId="7728" priority="1129" stopIfTrue="1" operator="beginsWith" text="Functioning At Risk">
      <formula>LEFT(C338,LEN("Functioning At Risk"))="Functioning At Risk"</formula>
    </cfRule>
    <cfRule type="beginsWith" dxfId="7727" priority="1130" stopIfTrue="1" operator="beginsWith" text="Not Functioning">
      <formula>LEFT(C338,LEN("Not Functioning"))="Not Functioning"</formula>
    </cfRule>
    <cfRule type="containsText" dxfId="7726" priority="1131" operator="containsText" text="Functioning">
      <formula>NOT(ISERROR(SEARCH("Functioning",C338)))</formula>
    </cfRule>
  </conditionalFormatting>
  <conditionalFormatting sqref="C332:C335">
    <cfRule type="beginsWith" dxfId="7725" priority="1126" stopIfTrue="1" operator="beginsWith" text="Functioning At Risk">
      <formula>LEFT(C332,LEN("Functioning At Risk"))="Functioning At Risk"</formula>
    </cfRule>
    <cfRule type="beginsWith" dxfId="7724" priority="1127" stopIfTrue="1" operator="beginsWith" text="Not Functioning">
      <formula>LEFT(C332,LEN("Not Functioning"))="Not Functioning"</formula>
    </cfRule>
    <cfRule type="containsText" dxfId="7723" priority="1128" operator="containsText" text="Functioning">
      <formula>NOT(ISERROR(SEARCH("Functioning",C332)))</formula>
    </cfRule>
  </conditionalFormatting>
  <conditionalFormatting sqref="C341">
    <cfRule type="beginsWith" dxfId="7722" priority="1123" stopIfTrue="1" operator="beginsWith" text="Functioning At Risk">
      <formula>LEFT(C341,LEN("Functioning At Risk"))="Functioning At Risk"</formula>
    </cfRule>
    <cfRule type="beginsWith" dxfId="7721" priority="1124" stopIfTrue="1" operator="beginsWith" text="Not Functioning">
      <formula>LEFT(C341,LEN("Not Functioning"))="Not Functioning"</formula>
    </cfRule>
    <cfRule type="containsText" dxfId="7720" priority="1125" operator="containsText" text="Functioning">
      <formula>NOT(ISERROR(SEARCH("Functioning",C341)))</formula>
    </cfRule>
  </conditionalFormatting>
  <conditionalFormatting sqref="C342">
    <cfRule type="beginsWith" dxfId="7719" priority="1120" stopIfTrue="1" operator="beginsWith" text="Functioning At Risk">
      <formula>LEFT(C342,LEN("Functioning At Risk"))="Functioning At Risk"</formula>
    </cfRule>
    <cfRule type="beginsWith" dxfId="7718" priority="1121" stopIfTrue="1" operator="beginsWith" text="Not Functioning">
      <formula>LEFT(C342,LEN("Not Functioning"))="Not Functioning"</formula>
    </cfRule>
    <cfRule type="containsText" dxfId="7717" priority="1122" operator="containsText" text="Functioning">
      <formula>NOT(ISERROR(SEARCH("Functioning",C342)))</formula>
    </cfRule>
  </conditionalFormatting>
  <conditionalFormatting sqref="C353">
    <cfRule type="beginsWith" dxfId="7716" priority="1114" stopIfTrue="1" operator="beginsWith" text="Functioning At Risk">
      <formula>LEFT(C353,LEN("Functioning At Risk"))="Functioning At Risk"</formula>
    </cfRule>
    <cfRule type="beginsWith" dxfId="7715" priority="1115" stopIfTrue="1" operator="beginsWith" text="Not Functioning">
      <formula>LEFT(C353,LEN("Not Functioning"))="Not Functioning"</formula>
    </cfRule>
    <cfRule type="containsText" dxfId="7714" priority="1116" operator="containsText" text="Functioning">
      <formula>NOT(ISERROR(SEARCH("Functioning",C353)))</formula>
    </cfRule>
  </conditionalFormatting>
  <conditionalFormatting sqref="C352">
    <cfRule type="beginsWith" dxfId="7713" priority="1117" stopIfTrue="1" operator="beginsWith" text="Functioning At Risk">
      <formula>LEFT(C352,LEN("Functioning At Risk"))="Functioning At Risk"</formula>
    </cfRule>
    <cfRule type="beginsWith" dxfId="7712" priority="1118" stopIfTrue="1" operator="beginsWith" text="Not Functioning">
      <formula>LEFT(C352,LEN("Not Functioning"))="Not Functioning"</formula>
    </cfRule>
    <cfRule type="containsText" dxfId="7711" priority="1119" operator="containsText" text="Functioning">
      <formula>NOT(ISERROR(SEARCH("Functioning",C352)))</formula>
    </cfRule>
  </conditionalFormatting>
  <conditionalFormatting sqref="C350">
    <cfRule type="beginsWith" dxfId="7710" priority="1111" stopIfTrue="1" operator="beginsWith" text="Functioning At Risk">
      <formula>LEFT(C350,LEN("Functioning At Risk"))="Functioning At Risk"</formula>
    </cfRule>
    <cfRule type="beginsWith" dxfId="7709" priority="1112" stopIfTrue="1" operator="beginsWith" text="Not Functioning">
      <formula>LEFT(C350,LEN("Not Functioning"))="Not Functioning"</formula>
    </cfRule>
    <cfRule type="containsText" dxfId="7708" priority="1113" operator="containsText" text="Functioning">
      <formula>NOT(ISERROR(SEARCH("Functioning",C350)))</formula>
    </cfRule>
  </conditionalFormatting>
  <conditionalFormatting sqref="C336:C337">
    <cfRule type="beginsWith" dxfId="7707" priority="1108" stopIfTrue="1" operator="beginsWith" text="Functioning At Risk">
      <formula>LEFT(C336,LEN("Functioning At Risk"))="Functioning At Risk"</formula>
    </cfRule>
    <cfRule type="beginsWith" dxfId="7706" priority="1109" stopIfTrue="1" operator="beginsWith" text="Not Functioning">
      <formula>LEFT(C336,LEN("Not Functioning"))="Not Functioning"</formula>
    </cfRule>
    <cfRule type="containsText" dxfId="7705" priority="1110" operator="containsText" text="Functioning">
      <formula>NOT(ISERROR(SEARCH("Functioning",C336)))</formula>
    </cfRule>
  </conditionalFormatting>
  <conditionalFormatting sqref="E339">
    <cfRule type="beginsWith" dxfId="7704" priority="1093" stopIfTrue="1" operator="beginsWith" text="Functioning At Risk">
      <formula>LEFT(E339,LEN("Functioning At Risk"))="Functioning At Risk"</formula>
    </cfRule>
    <cfRule type="beginsWith" dxfId="7703" priority="1094" stopIfTrue="1" operator="beginsWith" text="Not Functioning">
      <formula>LEFT(E339,LEN("Not Functioning"))="Not Functioning"</formula>
    </cfRule>
    <cfRule type="containsText" dxfId="7702" priority="1095" operator="containsText" text="Functioning">
      <formula>NOT(ISERROR(SEARCH("Functioning",E339)))</formula>
    </cfRule>
  </conditionalFormatting>
  <conditionalFormatting sqref="E341">
    <cfRule type="beginsWith" dxfId="7701" priority="1090" stopIfTrue="1" operator="beginsWith" text="Functioning At Risk">
      <formula>LEFT(E341,LEN("Functioning At Risk"))="Functioning At Risk"</formula>
    </cfRule>
    <cfRule type="beginsWith" dxfId="7700" priority="1091" stopIfTrue="1" operator="beginsWith" text="Not Functioning">
      <formula>LEFT(E341,LEN("Not Functioning"))="Not Functioning"</formula>
    </cfRule>
    <cfRule type="containsText" dxfId="7699" priority="1092" operator="containsText" text="Functioning">
      <formula>NOT(ISERROR(SEARCH("Functioning",E341)))</formula>
    </cfRule>
  </conditionalFormatting>
  <conditionalFormatting sqref="E328:E330">
    <cfRule type="beginsWith" dxfId="7698" priority="1087" stopIfTrue="1" operator="beginsWith" text="Functioning At Risk">
      <formula>LEFT(E328,LEN("Functioning At Risk"))="Functioning At Risk"</formula>
    </cfRule>
    <cfRule type="beginsWith" dxfId="7697" priority="1088" stopIfTrue="1" operator="beginsWith" text="Not Functioning">
      <formula>LEFT(E328,LEN("Not Functioning"))="Not Functioning"</formula>
    </cfRule>
    <cfRule type="containsText" dxfId="7696" priority="1089" operator="containsText" text="Functioning">
      <formula>NOT(ISERROR(SEARCH("Functioning",E328)))</formula>
    </cfRule>
  </conditionalFormatting>
  <conditionalFormatting sqref="E332:E335">
    <cfRule type="beginsWith" dxfId="7695" priority="1084" stopIfTrue="1" operator="beginsWith" text="Functioning At Risk">
      <formula>LEFT(E332,LEN("Functioning At Risk"))="Functioning At Risk"</formula>
    </cfRule>
    <cfRule type="beginsWith" dxfId="7694" priority="1085" stopIfTrue="1" operator="beginsWith" text="Not Functioning">
      <formula>LEFT(E332,LEN("Not Functioning"))="Not Functioning"</formula>
    </cfRule>
    <cfRule type="containsText" dxfId="7693" priority="1086" operator="containsText" text="Functioning">
      <formula>NOT(ISERROR(SEARCH("Functioning",E332)))</formula>
    </cfRule>
  </conditionalFormatting>
  <conditionalFormatting sqref="E340">
    <cfRule type="beginsWith" dxfId="7692" priority="1069" stopIfTrue="1" operator="beginsWith" text="Functioning At Risk">
      <formula>LEFT(E340,LEN("Functioning At Risk"))="Functioning At Risk"</formula>
    </cfRule>
    <cfRule type="beginsWith" dxfId="7691" priority="1070" stopIfTrue="1" operator="beginsWith" text="Not Functioning">
      <formula>LEFT(E340,LEN("Not Functioning"))="Not Functioning"</formula>
    </cfRule>
    <cfRule type="containsText" dxfId="7690" priority="1071" operator="containsText" text="Functioning">
      <formula>NOT(ISERROR(SEARCH("Functioning",E340)))</formula>
    </cfRule>
  </conditionalFormatting>
  <conditionalFormatting sqref="A357:C357 E357:K357 D385:D386">
    <cfRule type="beginsWith" dxfId="7689" priority="1063" stopIfTrue="1" operator="beginsWith" text="Functioning At Risk">
      <formula>LEFT(A357,LEN("Functioning At Risk"))="Functioning At Risk"</formula>
    </cfRule>
    <cfRule type="beginsWith" dxfId="7688" priority="1064" stopIfTrue="1" operator="beginsWith" text="Not Functioning">
      <formula>LEFT(A357,LEN("Not Functioning"))="Not Functioning"</formula>
    </cfRule>
    <cfRule type="containsText" dxfId="7687" priority="1065" operator="containsText" text="Functioning">
      <formula>NOT(ISERROR(SEARCH("Functioning",A357)))</formula>
    </cfRule>
  </conditionalFormatting>
  <conditionalFormatting sqref="I388:I392 B386:B387 D376 B379 A360:B360 A388:B390 H362:I363 H360:I360 H358:K359 A362:B362 A391:A392 D368:D370 B383:B384 A363 D388:D391 D360:D363 D379:D383">
    <cfRule type="beginsWith" dxfId="7686" priority="1060" stopIfTrue="1" operator="beginsWith" text="Functioning At Risk">
      <formula>LEFT(A358,LEN("Functioning At Risk"))="Functioning At Risk"</formula>
    </cfRule>
    <cfRule type="beginsWith" dxfId="7685" priority="1061" stopIfTrue="1" operator="beginsWith" text="Not Functioning">
      <formula>LEFT(A358,LEN("Not Functioning"))="Not Functioning"</formula>
    </cfRule>
    <cfRule type="containsText" dxfId="7684" priority="1062" operator="containsText" text="Functioning">
      <formula>NOT(ISERROR(SEARCH("Functioning",A358)))</formula>
    </cfRule>
  </conditionalFormatting>
  <conditionalFormatting sqref="D371">
    <cfRule type="beginsWith" dxfId="7683" priority="1054" stopIfTrue="1" operator="beginsWith" text="Functioning At Risk">
      <formula>LEFT(D371,LEN("Functioning At Risk"))="Functioning At Risk"</formula>
    </cfRule>
    <cfRule type="beginsWith" dxfId="7682" priority="1055" stopIfTrue="1" operator="beginsWith" text="Not Functioning">
      <formula>LEFT(D371,LEN("Not Functioning"))="Not Functioning"</formula>
    </cfRule>
    <cfRule type="containsText" dxfId="7681" priority="1056" operator="containsText" text="Functioning">
      <formula>NOT(ISERROR(SEARCH("Functioning",D371)))</formula>
    </cfRule>
  </conditionalFormatting>
  <conditionalFormatting sqref="D377">
    <cfRule type="beginsWith" dxfId="7680" priority="1051" stopIfTrue="1" operator="beginsWith" text="Functioning At Risk">
      <formula>LEFT(D377,LEN("Functioning At Risk"))="Functioning At Risk"</formula>
    </cfRule>
    <cfRule type="beginsWith" dxfId="7679" priority="1052" stopIfTrue="1" operator="beginsWith" text="Not Functioning">
      <formula>LEFT(D377,LEN("Not Functioning"))="Not Functioning"</formula>
    </cfRule>
    <cfRule type="containsText" dxfId="7678" priority="1053" operator="containsText" text="Functioning">
      <formula>NOT(ISERROR(SEARCH("Functioning",D377)))</formula>
    </cfRule>
  </conditionalFormatting>
  <conditionalFormatting sqref="D378">
    <cfRule type="beginsWith" dxfId="7677" priority="1048" stopIfTrue="1" operator="beginsWith" text="Functioning At Risk">
      <formula>LEFT(D378,LEN("Functioning At Risk"))="Functioning At Risk"</formula>
    </cfRule>
    <cfRule type="beginsWith" dxfId="7676" priority="1049" stopIfTrue="1" operator="beginsWith" text="Not Functioning">
      <formula>LEFT(D378,LEN("Not Functioning"))="Not Functioning"</formula>
    </cfRule>
    <cfRule type="containsText" dxfId="7675" priority="1050" operator="containsText" text="Functioning">
      <formula>NOT(ISERROR(SEARCH("Functioning",D378)))</formula>
    </cfRule>
  </conditionalFormatting>
  <conditionalFormatting sqref="D372:D375">
    <cfRule type="beginsWith" dxfId="7674" priority="1045" stopIfTrue="1" operator="beginsWith" text="Functioning At Risk">
      <formula>LEFT(D372,LEN("Functioning At Risk"))="Functioning At Risk"</formula>
    </cfRule>
    <cfRule type="beginsWith" dxfId="7673" priority="1046" stopIfTrue="1" operator="beginsWith" text="Not Functioning">
      <formula>LEFT(D372,LEN("Not Functioning"))="Not Functioning"</formula>
    </cfRule>
    <cfRule type="containsText" dxfId="7672" priority="1047" operator="containsText" text="Functioning">
      <formula>NOT(ISERROR(SEARCH("Functioning",D372)))</formula>
    </cfRule>
  </conditionalFormatting>
  <conditionalFormatting sqref="A384">
    <cfRule type="beginsWith" dxfId="7671" priority="1042" stopIfTrue="1" operator="beginsWith" text="Functioning At Risk">
      <formula>LEFT(A384,LEN("Functioning At Risk"))="Functioning At Risk"</formula>
    </cfRule>
    <cfRule type="beginsWith" dxfId="7670" priority="1043" stopIfTrue="1" operator="beginsWith" text="Not Functioning">
      <formula>LEFT(A384,LEN("Not Functioning"))="Not Functioning"</formula>
    </cfRule>
    <cfRule type="containsText" dxfId="7669" priority="1044" operator="containsText" text="Functioning">
      <formula>NOT(ISERROR(SEARCH("Functioning",A384)))</formula>
    </cfRule>
  </conditionalFormatting>
  <conditionalFormatting sqref="H384">
    <cfRule type="beginsWith" dxfId="7668" priority="1039" stopIfTrue="1" operator="beginsWith" text="Functioning At Risk">
      <formula>LEFT(H384,LEN("Functioning At Risk"))="Functioning At Risk"</formula>
    </cfRule>
    <cfRule type="beginsWith" dxfId="7667" priority="1040" stopIfTrue="1" operator="beginsWith" text="Not Functioning">
      <formula>LEFT(H384,LEN("Not Functioning"))="Not Functioning"</formula>
    </cfRule>
    <cfRule type="containsText" dxfId="7666" priority="1041" operator="containsText" text="Functioning">
      <formula>NOT(ISERROR(SEARCH("Functioning",H384)))</formula>
    </cfRule>
  </conditionalFormatting>
  <conditionalFormatting sqref="D392">
    <cfRule type="beginsWith" dxfId="7665" priority="1033" stopIfTrue="1" operator="beginsWith" text="Functioning At Risk">
      <formula>LEFT(D392,LEN("Functioning At Risk"))="Functioning At Risk"</formula>
    </cfRule>
    <cfRule type="beginsWith" dxfId="7664" priority="1034" stopIfTrue="1" operator="beginsWith" text="Not Functioning">
      <formula>LEFT(D392,LEN("Not Functioning"))="Not Functioning"</formula>
    </cfRule>
    <cfRule type="containsText" dxfId="7663" priority="1035" operator="containsText" text="Functioning">
      <formula>NOT(ISERROR(SEARCH("Functioning",D392)))</formula>
    </cfRule>
  </conditionalFormatting>
  <conditionalFormatting sqref="D393">
    <cfRule type="beginsWith" dxfId="7662" priority="1030" stopIfTrue="1" operator="beginsWith" text="Functioning At Risk">
      <formula>LEFT(D393,LEN("Functioning At Risk"))="Functioning At Risk"</formula>
    </cfRule>
    <cfRule type="beginsWith" dxfId="7661" priority="1031" stopIfTrue="1" operator="beginsWith" text="Not Functioning">
      <formula>LEFT(D393,LEN("Not Functioning"))="Not Functioning"</formula>
    </cfRule>
    <cfRule type="containsText" dxfId="7660" priority="1032" operator="containsText" text="Functioning">
      <formula>NOT(ISERROR(SEARCH("Functioning",D393)))</formula>
    </cfRule>
  </conditionalFormatting>
  <conditionalFormatting sqref="B392">
    <cfRule type="beginsWith" dxfId="7659" priority="1027" stopIfTrue="1" operator="beginsWith" text="Functioning At Risk">
      <formula>LEFT(B392,LEN("Functioning At Risk"))="Functioning At Risk"</formula>
    </cfRule>
    <cfRule type="beginsWith" dxfId="7658" priority="1028" stopIfTrue="1" operator="beginsWith" text="Not Functioning">
      <formula>LEFT(B392,LEN("Not Functioning"))="Not Functioning"</formula>
    </cfRule>
    <cfRule type="containsText" dxfId="7657" priority="1029" operator="containsText" text="Functioning">
      <formula>NOT(ISERROR(SEARCH("Functioning",B392)))</formula>
    </cfRule>
  </conditionalFormatting>
  <conditionalFormatting sqref="B368">
    <cfRule type="beginsWith" dxfId="7656" priority="1021" stopIfTrue="1" operator="beginsWith" text="Functioning At Risk">
      <formula>LEFT(B368,LEN("Functioning At Risk"))="Functioning At Risk"</formula>
    </cfRule>
    <cfRule type="beginsWith" dxfId="7655" priority="1022" stopIfTrue="1" operator="beginsWith" text="Not Functioning">
      <formula>LEFT(B368,LEN("Not Functioning"))="Not Functioning"</formula>
    </cfRule>
    <cfRule type="containsText" dxfId="7654" priority="1023" operator="containsText" text="Functioning">
      <formula>NOT(ISERROR(SEARCH("Functioning",B368)))</formula>
    </cfRule>
  </conditionalFormatting>
  <conditionalFormatting sqref="E392 E360:E361 E384">
    <cfRule type="beginsWith" dxfId="7653" priority="1009" stopIfTrue="1" operator="beginsWith" text="Functioning At Risk">
      <formula>LEFT(E360,LEN("Functioning At Risk"))="Functioning At Risk"</formula>
    </cfRule>
    <cfRule type="beginsWith" dxfId="7652" priority="1010" stopIfTrue="1" operator="beginsWith" text="Not Functioning">
      <formula>LEFT(E360,LEN("Not Functioning"))="Not Functioning"</formula>
    </cfRule>
    <cfRule type="containsText" dxfId="7651" priority="1011" operator="containsText" text="Functioning">
      <formula>NOT(ISERROR(SEARCH("Functioning",E360)))</formula>
    </cfRule>
  </conditionalFormatting>
  <conditionalFormatting sqref="E393">
    <cfRule type="beginsWith" dxfId="7650" priority="1006" stopIfTrue="1" operator="beginsWith" text="Functioning At Risk">
      <formula>LEFT(E393,LEN("Functioning At Risk"))="Functioning At Risk"</formula>
    </cfRule>
    <cfRule type="beginsWith" dxfId="7649" priority="1007" stopIfTrue="1" operator="beginsWith" text="Not Functioning">
      <formula>LEFT(E393,LEN("Not Functioning"))="Not Functioning"</formula>
    </cfRule>
    <cfRule type="containsText" dxfId="7648" priority="1008" operator="containsText" text="Functioning">
      <formula>NOT(ISERROR(SEARCH("Functioning",E393)))</formula>
    </cfRule>
  </conditionalFormatting>
  <conditionalFormatting sqref="E384">
    <cfRule type="expression" dxfId="7647" priority="1001">
      <formula>B267="Level 4 - Physicochemical"</formula>
    </cfRule>
    <cfRule type="expression" dxfId="7646" priority="1005">
      <formula>B267="Level 5 - Biology"</formula>
    </cfRule>
  </conditionalFormatting>
  <conditionalFormatting sqref="E386">
    <cfRule type="expression" dxfId="7645" priority="1000">
      <formula>B267="Level 4 - Physicochemical"</formula>
    </cfRule>
    <cfRule type="expression" dxfId="7644" priority="1004">
      <formula>B267="Level 5 - Biology"</formula>
    </cfRule>
  </conditionalFormatting>
  <conditionalFormatting sqref="E387">
    <cfRule type="expression" dxfId="7643" priority="999">
      <formula>B267="Level 4 - Physicochemical"</formula>
    </cfRule>
    <cfRule type="expression" dxfId="7642" priority="1003">
      <formula>B267="Level 5 - Biology"</formula>
    </cfRule>
  </conditionalFormatting>
  <conditionalFormatting sqref="E393">
    <cfRule type="expression" dxfId="7641" priority="1002">
      <formula>B267="Level 5 - Biology"</formula>
    </cfRule>
  </conditionalFormatting>
  <conditionalFormatting sqref="E385">
    <cfRule type="expression" dxfId="7640" priority="1015">
      <formula>B268="Level 4 - Physicochemical"</formula>
    </cfRule>
    <cfRule type="expression" dxfId="7639" priority="1016">
      <formula>B268="Level 5 - Biology"</formula>
    </cfRule>
  </conditionalFormatting>
  <conditionalFormatting sqref="E392">
    <cfRule type="expression" dxfId="7638" priority="1017">
      <formula>B269="Level 5 - Biology"</formula>
    </cfRule>
  </conditionalFormatting>
  <conditionalFormatting sqref="E382:E383">
    <cfRule type="beginsWith" dxfId="7637" priority="993" stopIfTrue="1" operator="beginsWith" text="Functioning At Risk">
      <formula>LEFT(E382,LEN("Functioning At Risk"))="Functioning At Risk"</formula>
    </cfRule>
    <cfRule type="beginsWith" dxfId="7636" priority="994" stopIfTrue="1" operator="beginsWith" text="Not Functioning">
      <formula>LEFT(E382,LEN("Not Functioning"))="Not Functioning"</formula>
    </cfRule>
    <cfRule type="containsText" dxfId="7635" priority="995" operator="containsText" text="Functioning">
      <formula>NOT(ISERROR(SEARCH("Functioning",E382)))</formula>
    </cfRule>
  </conditionalFormatting>
  <conditionalFormatting sqref="E391">
    <cfRule type="expression" dxfId="7634" priority="991">
      <formula>B197="Level 5 - Biology"</formula>
    </cfRule>
  </conditionalFormatting>
  <conditionalFormatting sqref="E388:E391">
    <cfRule type="beginsWith" dxfId="7633" priority="988" stopIfTrue="1" operator="beginsWith" text="Functioning At Risk">
      <formula>LEFT(E388,LEN("Functioning At Risk"))="Functioning At Risk"</formula>
    </cfRule>
    <cfRule type="beginsWith" dxfId="7632" priority="989" stopIfTrue="1" operator="beginsWith" text="Not Functioning">
      <formula>LEFT(E388,LEN("Not Functioning"))="Not Functioning"</formula>
    </cfRule>
    <cfRule type="containsText" dxfId="7631" priority="990" operator="containsText" text="Functioning">
      <formula>NOT(ISERROR(SEARCH("Functioning",E388)))</formula>
    </cfRule>
  </conditionalFormatting>
  <conditionalFormatting sqref="E388:E390">
    <cfRule type="expression" dxfId="7630" priority="992">
      <formula>B196="Level 5 - Biology"</formula>
    </cfRule>
  </conditionalFormatting>
  <conditionalFormatting sqref="C368:C370 C385:C386 C379:C380 C391 C383 C360:C363 C388:C389">
    <cfRule type="beginsWith" dxfId="7629" priority="985" stopIfTrue="1" operator="beginsWith" text="Functioning At Risk">
      <formula>LEFT(C360,LEN("Functioning At Risk"))="Functioning At Risk"</formula>
    </cfRule>
    <cfRule type="beginsWith" dxfId="7628" priority="986" stopIfTrue="1" operator="beginsWith" text="Not Functioning">
      <formula>LEFT(C360,LEN("Not Functioning"))="Not Functioning"</formula>
    </cfRule>
    <cfRule type="containsText" dxfId="7627" priority="987" operator="containsText" text="Functioning">
      <formula>NOT(ISERROR(SEARCH("Functioning",C360)))</formula>
    </cfRule>
  </conditionalFormatting>
  <conditionalFormatting sqref="C371">
    <cfRule type="beginsWith" dxfId="7626" priority="982" stopIfTrue="1" operator="beginsWith" text="Functioning At Risk">
      <formula>LEFT(C371,LEN("Functioning At Risk"))="Functioning At Risk"</formula>
    </cfRule>
    <cfRule type="beginsWith" dxfId="7625" priority="983" stopIfTrue="1" operator="beginsWith" text="Not Functioning">
      <formula>LEFT(C371,LEN("Not Functioning"))="Not Functioning"</formula>
    </cfRule>
    <cfRule type="containsText" dxfId="7624" priority="984" operator="containsText" text="Functioning">
      <formula>NOT(ISERROR(SEARCH("Functioning",C371)))</formula>
    </cfRule>
  </conditionalFormatting>
  <conditionalFormatting sqref="C378">
    <cfRule type="beginsWith" dxfId="7623" priority="979" stopIfTrue="1" operator="beginsWith" text="Functioning At Risk">
      <formula>LEFT(C378,LEN("Functioning At Risk"))="Functioning At Risk"</formula>
    </cfRule>
    <cfRule type="beginsWith" dxfId="7622" priority="980" stopIfTrue="1" operator="beginsWith" text="Not Functioning">
      <formula>LEFT(C378,LEN("Not Functioning"))="Not Functioning"</formula>
    </cfRule>
    <cfRule type="containsText" dxfId="7621" priority="981" operator="containsText" text="Functioning">
      <formula>NOT(ISERROR(SEARCH("Functioning",C378)))</formula>
    </cfRule>
  </conditionalFormatting>
  <conditionalFormatting sqref="C372:C375">
    <cfRule type="beginsWith" dxfId="7620" priority="976" stopIfTrue="1" operator="beginsWith" text="Functioning At Risk">
      <formula>LEFT(C372,LEN("Functioning At Risk"))="Functioning At Risk"</formula>
    </cfRule>
    <cfRule type="beginsWith" dxfId="7619" priority="977" stopIfTrue="1" operator="beginsWith" text="Not Functioning">
      <formula>LEFT(C372,LEN("Not Functioning"))="Not Functioning"</formula>
    </cfRule>
    <cfRule type="containsText" dxfId="7618" priority="978" operator="containsText" text="Functioning">
      <formula>NOT(ISERROR(SEARCH("Functioning",C372)))</formula>
    </cfRule>
  </conditionalFormatting>
  <conditionalFormatting sqref="C381">
    <cfRule type="beginsWith" dxfId="7617" priority="973" stopIfTrue="1" operator="beginsWith" text="Functioning At Risk">
      <formula>LEFT(C381,LEN("Functioning At Risk"))="Functioning At Risk"</formula>
    </cfRule>
    <cfRule type="beginsWith" dxfId="7616" priority="974" stopIfTrue="1" operator="beginsWith" text="Not Functioning">
      <formula>LEFT(C381,LEN("Not Functioning"))="Not Functioning"</formula>
    </cfRule>
    <cfRule type="containsText" dxfId="7615" priority="975" operator="containsText" text="Functioning">
      <formula>NOT(ISERROR(SEARCH("Functioning",C381)))</formula>
    </cfRule>
  </conditionalFormatting>
  <conditionalFormatting sqref="C382">
    <cfRule type="beginsWith" dxfId="7614" priority="970" stopIfTrue="1" operator="beginsWith" text="Functioning At Risk">
      <formula>LEFT(C382,LEN("Functioning At Risk"))="Functioning At Risk"</formula>
    </cfRule>
    <cfRule type="beginsWith" dxfId="7613" priority="971" stopIfTrue="1" operator="beginsWith" text="Not Functioning">
      <formula>LEFT(C382,LEN("Not Functioning"))="Not Functioning"</formula>
    </cfRule>
    <cfRule type="containsText" dxfId="7612" priority="972" operator="containsText" text="Functioning">
      <formula>NOT(ISERROR(SEARCH("Functioning",C382)))</formula>
    </cfRule>
  </conditionalFormatting>
  <conditionalFormatting sqref="C393">
    <cfRule type="beginsWith" dxfId="7611" priority="964" stopIfTrue="1" operator="beginsWith" text="Functioning At Risk">
      <formula>LEFT(C393,LEN("Functioning At Risk"))="Functioning At Risk"</formula>
    </cfRule>
    <cfRule type="beginsWith" dxfId="7610" priority="965" stopIfTrue="1" operator="beginsWith" text="Not Functioning">
      <formula>LEFT(C393,LEN("Not Functioning"))="Not Functioning"</formula>
    </cfRule>
    <cfRule type="containsText" dxfId="7609" priority="966" operator="containsText" text="Functioning">
      <formula>NOT(ISERROR(SEARCH("Functioning",C393)))</formula>
    </cfRule>
  </conditionalFormatting>
  <conditionalFormatting sqref="C392">
    <cfRule type="beginsWith" dxfId="7608" priority="967" stopIfTrue="1" operator="beginsWith" text="Functioning At Risk">
      <formula>LEFT(C392,LEN("Functioning At Risk"))="Functioning At Risk"</formula>
    </cfRule>
    <cfRule type="beginsWith" dxfId="7607" priority="968" stopIfTrue="1" operator="beginsWith" text="Not Functioning">
      <formula>LEFT(C392,LEN("Not Functioning"))="Not Functioning"</formula>
    </cfRule>
    <cfRule type="containsText" dxfId="7606" priority="969" operator="containsText" text="Functioning">
      <formula>NOT(ISERROR(SEARCH("Functioning",C392)))</formula>
    </cfRule>
  </conditionalFormatting>
  <conditionalFormatting sqref="C390">
    <cfRule type="beginsWith" dxfId="7605" priority="961" stopIfTrue="1" operator="beginsWith" text="Functioning At Risk">
      <formula>LEFT(C390,LEN("Functioning At Risk"))="Functioning At Risk"</formula>
    </cfRule>
    <cfRule type="beginsWith" dxfId="7604" priority="962" stopIfTrue="1" operator="beginsWith" text="Not Functioning">
      <formula>LEFT(C390,LEN("Not Functioning"))="Not Functioning"</formula>
    </cfRule>
    <cfRule type="containsText" dxfId="7603" priority="963" operator="containsText" text="Functioning">
      <formula>NOT(ISERROR(SEARCH("Functioning",C390)))</formula>
    </cfRule>
  </conditionalFormatting>
  <conditionalFormatting sqref="C376:C377">
    <cfRule type="beginsWith" dxfId="7602" priority="958" stopIfTrue="1" operator="beginsWith" text="Functioning At Risk">
      <formula>LEFT(C376,LEN("Functioning At Risk"))="Functioning At Risk"</formula>
    </cfRule>
    <cfRule type="beginsWith" dxfId="7601" priority="959" stopIfTrue="1" operator="beginsWith" text="Not Functioning">
      <formula>LEFT(C376,LEN("Not Functioning"))="Not Functioning"</formula>
    </cfRule>
    <cfRule type="containsText" dxfId="7600" priority="960" operator="containsText" text="Functioning">
      <formula>NOT(ISERROR(SEARCH("Functioning",C376)))</formula>
    </cfRule>
  </conditionalFormatting>
  <conditionalFormatting sqref="E379">
    <cfRule type="beginsWith" dxfId="7599" priority="943" stopIfTrue="1" operator="beginsWith" text="Functioning At Risk">
      <formula>LEFT(E379,LEN("Functioning At Risk"))="Functioning At Risk"</formula>
    </cfRule>
    <cfRule type="beginsWith" dxfId="7598" priority="944" stopIfTrue="1" operator="beginsWith" text="Not Functioning">
      <formula>LEFT(E379,LEN("Not Functioning"))="Not Functioning"</formula>
    </cfRule>
    <cfRule type="containsText" dxfId="7597" priority="945" operator="containsText" text="Functioning">
      <formula>NOT(ISERROR(SEARCH("Functioning",E379)))</formula>
    </cfRule>
  </conditionalFormatting>
  <conditionalFormatting sqref="E381">
    <cfRule type="beginsWith" dxfId="7596" priority="940" stopIfTrue="1" operator="beginsWith" text="Functioning At Risk">
      <formula>LEFT(E381,LEN("Functioning At Risk"))="Functioning At Risk"</formula>
    </cfRule>
    <cfRule type="beginsWith" dxfId="7595" priority="941" stopIfTrue="1" operator="beginsWith" text="Not Functioning">
      <formula>LEFT(E381,LEN("Not Functioning"))="Not Functioning"</formula>
    </cfRule>
    <cfRule type="containsText" dxfId="7594" priority="942" operator="containsText" text="Functioning">
      <formula>NOT(ISERROR(SEARCH("Functioning",E381)))</formula>
    </cfRule>
  </conditionalFormatting>
  <conditionalFormatting sqref="E368:E370">
    <cfRule type="beginsWith" dxfId="7593" priority="937" stopIfTrue="1" operator="beginsWith" text="Functioning At Risk">
      <formula>LEFT(E368,LEN("Functioning At Risk"))="Functioning At Risk"</formula>
    </cfRule>
    <cfRule type="beginsWith" dxfId="7592" priority="938" stopIfTrue="1" operator="beginsWith" text="Not Functioning">
      <formula>LEFT(E368,LEN("Not Functioning"))="Not Functioning"</formula>
    </cfRule>
    <cfRule type="containsText" dxfId="7591" priority="939" operator="containsText" text="Functioning">
      <formula>NOT(ISERROR(SEARCH("Functioning",E368)))</formula>
    </cfRule>
  </conditionalFormatting>
  <conditionalFormatting sqref="E372:E375">
    <cfRule type="beginsWith" dxfId="7590" priority="934" stopIfTrue="1" operator="beginsWith" text="Functioning At Risk">
      <formula>LEFT(E372,LEN("Functioning At Risk"))="Functioning At Risk"</formula>
    </cfRule>
    <cfRule type="beginsWith" dxfId="7589" priority="935" stopIfTrue="1" operator="beginsWith" text="Not Functioning">
      <formula>LEFT(E372,LEN("Not Functioning"))="Not Functioning"</formula>
    </cfRule>
    <cfRule type="containsText" dxfId="7588" priority="936" operator="containsText" text="Functioning">
      <formula>NOT(ISERROR(SEARCH("Functioning",E372)))</formula>
    </cfRule>
  </conditionalFormatting>
  <conditionalFormatting sqref="E380">
    <cfRule type="beginsWith" dxfId="7587" priority="919" stopIfTrue="1" operator="beginsWith" text="Functioning At Risk">
      <formula>LEFT(E380,LEN("Functioning At Risk"))="Functioning At Risk"</formula>
    </cfRule>
    <cfRule type="beginsWith" dxfId="7586" priority="920" stopIfTrue="1" operator="beginsWith" text="Not Functioning">
      <formula>LEFT(E380,LEN("Not Functioning"))="Not Functioning"</formula>
    </cfRule>
    <cfRule type="containsText" dxfId="7585" priority="921" operator="containsText" text="Functioning">
      <formula>NOT(ISERROR(SEARCH("Functioning",E380)))</formula>
    </cfRule>
  </conditionalFormatting>
  <conditionalFormatting sqref="A397:C397 E397:K397 D425:D426">
    <cfRule type="beginsWith" dxfId="7584" priority="913" stopIfTrue="1" operator="beginsWith" text="Functioning At Risk">
      <formula>LEFT(A397,LEN("Functioning At Risk"))="Functioning At Risk"</formula>
    </cfRule>
    <cfRule type="beginsWith" dxfId="7583" priority="914" stopIfTrue="1" operator="beginsWith" text="Not Functioning">
      <formula>LEFT(A397,LEN("Not Functioning"))="Not Functioning"</formula>
    </cfRule>
    <cfRule type="containsText" dxfId="7582" priority="915" operator="containsText" text="Functioning">
      <formula>NOT(ISERROR(SEARCH("Functioning",A397)))</formula>
    </cfRule>
  </conditionalFormatting>
  <conditionalFormatting sqref="I428:I432 B426:B427 D416 B419 A400:B400 A428:B430 H402:I403 H400:I400 H398:K399 A402:B402 A431:A432 D408:D410 B423:B424 A403 D428:D431 D400:D403 D419:D423">
    <cfRule type="beginsWith" dxfId="7581" priority="910" stopIfTrue="1" operator="beginsWith" text="Functioning At Risk">
      <formula>LEFT(A398,LEN("Functioning At Risk"))="Functioning At Risk"</formula>
    </cfRule>
    <cfRule type="beginsWith" dxfId="7580" priority="911" stopIfTrue="1" operator="beginsWith" text="Not Functioning">
      <formula>LEFT(A398,LEN("Not Functioning"))="Not Functioning"</formula>
    </cfRule>
    <cfRule type="containsText" dxfId="7579" priority="912" operator="containsText" text="Functioning">
      <formula>NOT(ISERROR(SEARCH("Functioning",A398)))</formula>
    </cfRule>
  </conditionalFormatting>
  <conditionalFormatting sqref="D411">
    <cfRule type="beginsWith" dxfId="7578" priority="904" stopIfTrue="1" operator="beginsWith" text="Functioning At Risk">
      <formula>LEFT(D411,LEN("Functioning At Risk"))="Functioning At Risk"</formula>
    </cfRule>
    <cfRule type="beginsWith" dxfId="7577" priority="905" stopIfTrue="1" operator="beginsWith" text="Not Functioning">
      <formula>LEFT(D411,LEN("Not Functioning"))="Not Functioning"</formula>
    </cfRule>
    <cfRule type="containsText" dxfId="7576" priority="906" operator="containsText" text="Functioning">
      <formula>NOT(ISERROR(SEARCH("Functioning",D411)))</formula>
    </cfRule>
  </conditionalFormatting>
  <conditionalFormatting sqref="D417">
    <cfRule type="beginsWith" dxfId="7575" priority="901" stopIfTrue="1" operator="beginsWith" text="Functioning At Risk">
      <formula>LEFT(D417,LEN("Functioning At Risk"))="Functioning At Risk"</formula>
    </cfRule>
    <cfRule type="beginsWith" dxfId="7574" priority="902" stopIfTrue="1" operator="beginsWith" text="Not Functioning">
      <formula>LEFT(D417,LEN("Not Functioning"))="Not Functioning"</formula>
    </cfRule>
    <cfRule type="containsText" dxfId="7573" priority="903" operator="containsText" text="Functioning">
      <formula>NOT(ISERROR(SEARCH("Functioning",D417)))</formula>
    </cfRule>
  </conditionalFormatting>
  <conditionalFormatting sqref="D418">
    <cfRule type="beginsWith" dxfId="7572" priority="898" stopIfTrue="1" operator="beginsWith" text="Functioning At Risk">
      <formula>LEFT(D418,LEN("Functioning At Risk"))="Functioning At Risk"</formula>
    </cfRule>
    <cfRule type="beginsWith" dxfId="7571" priority="899" stopIfTrue="1" operator="beginsWith" text="Not Functioning">
      <formula>LEFT(D418,LEN("Not Functioning"))="Not Functioning"</formula>
    </cfRule>
    <cfRule type="containsText" dxfId="7570" priority="900" operator="containsText" text="Functioning">
      <formula>NOT(ISERROR(SEARCH("Functioning",D418)))</formula>
    </cfRule>
  </conditionalFormatting>
  <conditionalFormatting sqref="D412:D415">
    <cfRule type="beginsWith" dxfId="7569" priority="895" stopIfTrue="1" operator="beginsWith" text="Functioning At Risk">
      <formula>LEFT(D412,LEN("Functioning At Risk"))="Functioning At Risk"</formula>
    </cfRule>
    <cfRule type="beginsWith" dxfId="7568" priority="896" stopIfTrue="1" operator="beginsWith" text="Not Functioning">
      <formula>LEFT(D412,LEN("Not Functioning"))="Not Functioning"</formula>
    </cfRule>
    <cfRule type="containsText" dxfId="7567" priority="897" operator="containsText" text="Functioning">
      <formula>NOT(ISERROR(SEARCH("Functioning",D412)))</formula>
    </cfRule>
  </conditionalFormatting>
  <conditionalFormatting sqref="A424">
    <cfRule type="beginsWith" dxfId="7566" priority="892" stopIfTrue="1" operator="beginsWith" text="Functioning At Risk">
      <formula>LEFT(A424,LEN("Functioning At Risk"))="Functioning At Risk"</formula>
    </cfRule>
    <cfRule type="beginsWith" dxfId="7565" priority="893" stopIfTrue="1" operator="beginsWith" text="Not Functioning">
      <formula>LEFT(A424,LEN("Not Functioning"))="Not Functioning"</formula>
    </cfRule>
    <cfRule type="containsText" dxfId="7564" priority="894" operator="containsText" text="Functioning">
      <formula>NOT(ISERROR(SEARCH("Functioning",A424)))</formula>
    </cfRule>
  </conditionalFormatting>
  <conditionalFormatting sqref="H424">
    <cfRule type="beginsWith" dxfId="7563" priority="889" stopIfTrue="1" operator="beginsWith" text="Functioning At Risk">
      <formula>LEFT(H424,LEN("Functioning At Risk"))="Functioning At Risk"</formula>
    </cfRule>
    <cfRule type="beginsWith" dxfId="7562" priority="890" stopIfTrue="1" operator="beginsWith" text="Not Functioning">
      <formula>LEFT(H424,LEN("Not Functioning"))="Not Functioning"</formula>
    </cfRule>
    <cfRule type="containsText" dxfId="7561" priority="891" operator="containsText" text="Functioning">
      <formula>NOT(ISERROR(SEARCH("Functioning",H424)))</formula>
    </cfRule>
  </conditionalFormatting>
  <conditionalFormatting sqref="I424">
    <cfRule type="beginsWith" dxfId="7560" priority="886" stopIfTrue="1" operator="beginsWith" text="Functioning At Risk">
      <formula>LEFT(I424,LEN("Functioning At Risk"))="Functioning At Risk"</formula>
    </cfRule>
    <cfRule type="beginsWith" dxfId="7559" priority="887" stopIfTrue="1" operator="beginsWith" text="Not Functioning">
      <formula>LEFT(I424,LEN("Not Functioning"))="Not Functioning"</formula>
    </cfRule>
    <cfRule type="containsText" dxfId="7558" priority="888" operator="containsText" text="Functioning">
      <formula>NOT(ISERROR(SEARCH("Functioning",I424)))</formula>
    </cfRule>
  </conditionalFormatting>
  <conditionalFormatting sqref="D432">
    <cfRule type="beginsWith" dxfId="7557" priority="883" stopIfTrue="1" operator="beginsWith" text="Functioning At Risk">
      <formula>LEFT(D432,LEN("Functioning At Risk"))="Functioning At Risk"</formula>
    </cfRule>
    <cfRule type="beginsWith" dxfId="7556" priority="884" stopIfTrue="1" operator="beginsWith" text="Not Functioning">
      <formula>LEFT(D432,LEN("Not Functioning"))="Not Functioning"</formula>
    </cfRule>
    <cfRule type="containsText" dxfId="7555" priority="885" operator="containsText" text="Functioning">
      <formula>NOT(ISERROR(SEARCH("Functioning",D432)))</formula>
    </cfRule>
  </conditionalFormatting>
  <conditionalFormatting sqref="D433">
    <cfRule type="beginsWith" dxfId="7554" priority="880" stopIfTrue="1" operator="beginsWith" text="Functioning At Risk">
      <formula>LEFT(D433,LEN("Functioning At Risk"))="Functioning At Risk"</formula>
    </cfRule>
    <cfRule type="beginsWith" dxfId="7553" priority="881" stopIfTrue="1" operator="beginsWith" text="Not Functioning">
      <formula>LEFT(D433,LEN("Not Functioning"))="Not Functioning"</formula>
    </cfRule>
    <cfRule type="containsText" dxfId="7552" priority="882" operator="containsText" text="Functioning">
      <formula>NOT(ISERROR(SEARCH("Functioning",D433)))</formula>
    </cfRule>
  </conditionalFormatting>
  <conditionalFormatting sqref="B432">
    <cfRule type="beginsWith" dxfId="7551" priority="877" stopIfTrue="1" operator="beginsWith" text="Functioning At Risk">
      <formula>LEFT(B432,LEN("Functioning At Risk"))="Functioning At Risk"</formula>
    </cfRule>
    <cfRule type="beginsWith" dxfId="7550" priority="878" stopIfTrue="1" operator="beginsWith" text="Not Functioning">
      <formula>LEFT(B432,LEN("Not Functioning"))="Not Functioning"</formula>
    </cfRule>
    <cfRule type="containsText" dxfId="7549" priority="879" operator="containsText" text="Functioning">
      <formula>NOT(ISERROR(SEARCH("Functioning",B432)))</formula>
    </cfRule>
  </conditionalFormatting>
  <conditionalFormatting sqref="B408">
    <cfRule type="beginsWith" dxfId="7548" priority="871" stopIfTrue="1" operator="beginsWith" text="Functioning At Risk">
      <formula>LEFT(B408,LEN("Functioning At Risk"))="Functioning At Risk"</formula>
    </cfRule>
    <cfRule type="beginsWith" dxfId="7547" priority="872" stopIfTrue="1" operator="beginsWith" text="Not Functioning">
      <formula>LEFT(B408,LEN("Not Functioning"))="Not Functioning"</formula>
    </cfRule>
    <cfRule type="containsText" dxfId="7546" priority="873" operator="containsText" text="Functioning">
      <formula>NOT(ISERROR(SEARCH("Functioning",B408)))</formula>
    </cfRule>
  </conditionalFormatting>
  <conditionalFormatting sqref="E165">
    <cfRule type="beginsWith" dxfId="7545" priority="637" stopIfTrue="1" operator="beginsWith" text="Functioning At Risk">
      <formula>LEFT(E165,LEN("Functioning At Risk"))="Functioning At Risk"</formula>
    </cfRule>
    <cfRule type="beginsWith" dxfId="7544" priority="638" stopIfTrue="1" operator="beginsWith" text="Not Functioning">
      <formula>LEFT(E165,LEN("Not Functioning"))="Not Functioning"</formula>
    </cfRule>
    <cfRule type="containsText" dxfId="7543" priority="639" operator="containsText" text="Functioning">
      <formula>NOT(ISERROR(SEARCH("Functioning",E165)))</formula>
    </cfRule>
  </conditionalFormatting>
  <conditionalFormatting sqref="E432 E400:E401 E424">
    <cfRule type="beginsWith" dxfId="7542" priority="859" stopIfTrue="1" operator="beginsWith" text="Functioning At Risk">
      <formula>LEFT(E400,LEN("Functioning At Risk"))="Functioning At Risk"</formula>
    </cfRule>
    <cfRule type="beginsWith" dxfId="7541" priority="860" stopIfTrue="1" operator="beginsWith" text="Not Functioning">
      <formula>LEFT(E400,LEN("Not Functioning"))="Not Functioning"</formula>
    </cfRule>
    <cfRule type="containsText" dxfId="7540" priority="861" operator="containsText" text="Functioning">
      <formula>NOT(ISERROR(SEARCH("Functioning",E400)))</formula>
    </cfRule>
  </conditionalFormatting>
  <conditionalFormatting sqref="E433">
    <cfRule type="beginsWith" dxfId="7539" priority="856" stopIfTrue="1" operator="beginsWith" text="Functioning At Risk">
      <formula>LEFT(E433,LEN("Functioning At Risk"))="Functioning At Risk"</formula>
    </cfRule>
    <cfRule type="beginsWith" dxfId="7538" priority="857" stopIfTrue="1" operator="beginsWith" text="Not Functioning">
      <formula>LEFT(E433,LEN("Not Functioning"))="Not Functioning"</formula>
    </cfRule>
    <cfRule type="containsText" dxfId="7537" priority="858" operator="containsText" text="Functioning">
      <formula>NOT(ISERROR(SEARCH("Functioning",E433)))</formula>
    </cfRule>
  </conditionalFormatting>
  <conditionalFormatting sqref="E424">
    <cfRule type="expression" dxfId="7536" priority="851">
      <formula>B307="Level 4 - Physicochemical"</formula>
    </cfRule>
    <cfRule type="expression" dxfId="7535" priority="855">
      <formula>B307="Level 5 - Biology"</formula>
    </cfRule>
  </conditionalFormatting>
  <conditionalFormatting sqref="E426">
    <cfRule type="expression" dxfId="7534" priority="850">
      <formula>B307="Level 4 - Physicochemical"</formula>
    </cfRule>
    <cfRule type="expression" dxfId="7533" priority="854">
      <formula>B307="Level 5 - Biology"</formula>
    </cfRule>
  </conditionalFormatting>
  <conditionalFormatting sqref="E427">
    <cfRule type="expression" dxfId="7532" priority="849">
      <formula>B307="Level 4 - Physicochemical"</formula>
    </cfRule>
    <cfRule type="expression" dxfId="7531" priority="853">
      <formula>B307="Level 5 - Biology"</formula>
    </cfRule>
  </conditionalFormatting>
  <conditionalFormatting sqref="E433">
    <cfRule type="expression" dxfId="7530" priority="852">
      <formula>B307="Level 5 - Biology"</formula>
    </cfRule>
  </conditionalFormatting>
  <conditionalFormatting sqref="E425">
    <cfRule type="expression" dxfId="7529" priority="865">
      <formula>B308="Level 4 - Physicochemical"</formula>
    </cfRule>
    <cfRule type="expression" dxfId="7528" priority="866">
      <formula>B308="Level 5 - Biology"</formula>
    </cfRule>
  </conditionalFormatting>
  <conditionalFormatting sqref="E432">
    <cfRule type="expression" dxfId="7527" priority="867">
      <formula>B309="Level 5 - Biology"</formula>
    </cfRule>
  </conditionalFormatting>
  <conditionalFormatting sqref="E422:E423">
    <cfRule type="beginsWith" dxfId="7526" priority="843" stopIfTrue="1" operator="beginsWith" text="Functioning At Risk">
      <formula>LEFT(E422,LEN("Functioning At Risk"))="Functioning At Risk"</formula>
    </cfRule>
    <cfRule type="beginsWith" dxfId="7525" priority="844" stopIfTrue="1" operator="beginsWith" text="Not Functioning">
      <formula>LEFT(E422,LEN("Not Functioning"))="Not Functioning"</formula>
    </cfRule>
    <cfRule type="containsText" dxfId="7524" priority="845" operator="containsText" text="Functioning">
      <formula>NOT(ISERROR(SEARCH("Functioning",E422)))</formula>
    </cfRule>
  </conditionalFormatting>
  <conditionalFormatting sqref="E431">
    <cfRule type="expression" dxfId="7523" priority="841">
      <formula>B237="Level 5 - Biology"</formula>
    </cfRule>
  </conditionalFormatting>
  <conditionalFormatting sqref="E428:E431">
    <cfRule type="beginsWith" dxfId="7522" priority="838" stopIfTrue="1" operator="beginsWith" text="Functioning At Risk">
      <formula>LEFT(E428,LEN("Functioning At Risk"))="Functioning At Risk"</formula>
    </cfRule>
    <cfRule type="beginsWith" dxfId="7521" priority="839" stopIfTrue="1" operator="beginsWith" text="Not Functioning">
      <formula>LEFT(E428,LEN("Not Functioning"))="Not Functioning"</formula>
    </cfRule>
    <cfRule type="containsText" dxfId="7520" priority="840" operator="containsText" text="Functioning">
      <formula>NOT(ISERROR(SEARCH("Functioning",E428)))</formula>
    </cfRule>
  </conditionalFormatting>
  <conditionalFormatting sqref="E428:E430">
    <cfRule type="expression" dxfId="7519" priority="842">
      <formula>B236="Level 5 - Biology"</formula>
    </cfRule>
  </conditionalFormatting>
  <conditionalFormatting sqref="C408:C410 C425:C426 C419:C420 C431 C423 C400:C403 C428:C429">
    <cfRule type="beginsWith" dxfId="7518" priority="835" stopIfTrue="1" operator="beginsWith" text="Functioning At Risk">
      <formula>LEFT(C400,LEN("Functioning At Risk"))="Functioning At Risk"</formula>
    </cfRule>
    <cfRule type="beginsWith" dxfId="7517" priority="836" stopIfTrue="1" operator="beginsWith" text="Not Functioning">
      <formula>LEFT(C400,LEN("Not Functioning"))="Not Functioning"</formula>
    </cfRule>
    <cfRule type="containsText" dxfId="7516" priority="837" operator="containsText" text="Functioning">
      <formula>NOT(ISERROR(SEARCH("Functioning",C400)))</formula>
    </cfRule>
  </conditionalFormatting>
  <conditionalFormatting sqref="C411">
    <cfRule type="beginsWith" dxfId="7515" priority="832" stopIfTrue="1" operator="beginsWith" text="Functioning At Risk">
      <formula>LEFT(C411,LEN("Functioning At Risk"))="Functioning At Risk"</formula>
    </cfRule>
    <cfRule type="beginsWith" dxfId="7514" priority="833" stopIfTrue="1" operator="beginsWith" text="Not Functioning">
      <formula>LEFT(C411,LEN("Not Functioning"))="Not Functioning"</formula>
    </cfRule>
    <cfRule type="containsText" dxfId="7513" priority="834" operator="containsText" text="Functioning">
      <formula>NOT(ISERROR(SEARCH("Functioning",C411)))</formula>
    </cfRule>
  </conditionalFormatting>
  <conditionalFormatting sqref="C418">
    <cfRule type="beginsWith" dxfId="7512" priority="829" stopIfTrue="1" operator="beginsWith" text="Functioning At Risk">
      <formula>LEFT(C418,LEN("Functioning At Risk"))="Functioning At Risk"</formula>
    </cfRule>
    <cfRule type="beginsWith" dxfId="7511" priority="830" stopIfTrue="1" operator="beginsWith" text="Not Functioning">
      <formula>LEFT(C418,LEN("Not Functioning"))="Not Functioning"</formula>
    </cfRule>
    <cfRule type="containsText" dxfId="7510" priority="831" operator="containsText" text="Functioning">
      <formula>NOT(ISERROR(SEARCH("Functioning",C418)))</formula>
    </cfRule>
  </conditionalFormatting>
  <conditionalFormatting sqref="C412:C415">
    <cfRule type="beginsWith" dxfId="7509" priority="826" stopIfTrue="1" operator="beginsWith" text="Functioning At Risk">
      <formula>LEFT(C412,LEN("Functioning At Risk"))="Functioning At Risk"</formula>
    </cfRule>
    <cfRule type="beginsWith" dxfId="7508" priority="827" stopIfTrue="1" operator="beginsWith" text="Not Functioning">
      <formula>LEFT(C412,LEN("Not Functioning"))="Not Functioning"</formula>
    </cfRule>
    <cfRule type="containsText" dxfId="7507" priority="828" operator="containsText" text="Functioning">
      <formula>NOT(ISERROR(SEARCH("Functioning",C412)))</formula>
    </cfRule>
  </conditionalFormatting>
  <conditionalFormatting sqref="C421">
    <cfRule type="beginsWith" dxfId="7506" priority="823" stopIfTrue="1" operator="beginsWith" text="Functioning At Risk">
      <formula>LEFT(C421,LEN("Functioning At Risk"))="Functioning At Risk"</formula>
    </cfRule>
    <cfRule type="beginsWith" dxfId="7505" priority="824" stopIfTrue="1" operator="beginsWith" text="Not Functioning">
      <formula>LEFT(C421,LEN("Not Functioning"))="Not Functioning"</formula>
    </cfRule>
    <cfRule type="containsText" dxfId="7504" priority="825" operator="containsText" text="Functioning">
      <formula>NOT(ISERROR(SEARCH("Functioning",C421)))</formula>
    </cfRule>
  </conditionalFormatting>
  <conditionalFormatting sqref="C422">
    <cfRule type="beginsWith" dxfId="7503" priority="820" stopIfTrue="1" operator="beginsWith" text="Functioning At Risk">
      <formula>LEFT(C422,LEN("Functioning At Risk"))="Functioning At Risk"</formula>
    </cfRule>
    <cfRule type="beginsWith" dxfId="7502" priority="821" stopIfTrue="1" operator="beginsWith" text="Not Functioning">
      <formula>LEFT(C422,LEN("Not Functioning"))="Not Functioning"</formula>
    </cfRule>
    <cfRule type="containsText" dxfId="7501" priority="822" operator="containsText" text="Functioning">
      <formula>NOT(ISERROR(SEARCH("Functioning",C422)))</formula>
    </cfRule>
  </conditionalFormatting>
  <conditionalFormatting sqref="C433">
    <cfRule type="beginsWith" dxfId="7500" priority="814" stopIfTrue="1" operator="beginsWith" text="Functioning At Risk">
      <formula>LEFT(C433,LEN("Functioning At Risk"))="Functioning At Risk"</formula>
    </cfRule>
    <cfRule type="beginsWith" dxfId="7499" priority="815" stopIfTrue="1" operator="beginsWith" text="Not Functioning">
      <formula>LEFT(C433,LEN("Not Functioning"))="Not Functioning"</formula>
    </cfRule>
    <cfRule type="containsText" dxfId="7498" priority="816" operator="containsText" text="Functioning">
      <formula>NOT(ISERROR(SEARCH("Functioning",C433)))</formula>
    </cfRule>
  </conditionalFormatting>
  <conditionalFormatting sqref="C432">
    <cfRule type="beginsWith" dxfId="7497" priority="817" stopIfTrue="1" operator="beginsWith" text="Functioning At Risk">
      <formula>LEFT(C432,LEN("Functioning At Risk"))="Functioning At Risk"</formula>
    </cfRule>
    <cfRule type="beginsWith" dxfId="7496" priority="818" stopIfTrue="1" operator="beginsWith" text="Not Functioning">
      <formula>LEFT(C432,LEN("Not Functioning"))="Not Functioning"</formula>
    </cfRule>
    <cfRule type="containsText" dxfId="7495" priority="819" operator="containsText" text="Functioning">
      <formula>NOT(ISERROR(SEARCH("Functioning",C432)))</formula>
    </cfRule>
  </conditionalFormatting>
  <conditionalFormatting sqref="C430">
    <cfRule type="beginsWith" dxfId="7494" priority="811" stopIfTrue="1" operator="beginsWith" text="Functioning At Risk">
      <formula>LEFT(C430,LEN("Functioning At Risk"))="Functioning At Risk"</formula>
    </cfRule>
    <cfRule type="beginsWith" dxfId="7493" priority="812" stopIfTrue="1" operator="beginsWith" text="Not Functioning">
      <formula>LEFT(C430,LEN("Not Functioning"))="Not Functioning"</formula>
    </cfRule>
    <cfRule type="containsText" dxfId="7492" priority="813" operator="containsText" text="Functioning">
      <formula>NOT(ISERROR(SEARCH("Functioning",C430)))</formula>
    </cfRule>
  </conditionalFormatting>
  <conditionalFormatting sqref="C416:C417">
    <cfRule type="beginsWith" dxfId="7491" priority="808" stopIfTrue="1" operator="beginsWith" text="Functioning At Risk">
      <formula>LEFT(C416,LEN("Functioning At Risk"))="Functioning At Risk"</formula>
    </cfRule>
    <cfRule type="beginsWith" dxfId="7490" priority="809" stopIfTrue="1" operator="beginsWith" text="Not Functioning">
      <formula>LEFT(C416,LEN("Not Functioning"))="Not Functioning"</formula>
    </cfRule>
    <cfRule type="containsText" dxfId="7489" priority="810" operator="containsText" text="Functioning">
      <formula>NOT(ISERROR(SEARCH("Functioning",C416)))</formula>
    </cfRule>
  </conditionalFormatting>
  <conditionalFormatting sqref="E419">
    <cfRule type="beginsWith" dxfId="7488" priority="793" stopIfTrue="1" operator="beginsWith" text="Functioning At Risk">
      <formula>LEFT(E419,LEN("Functioning At Risk"))="Functioning At Risk"</formula>
    </cfRule>
    <cfRule type="beginsWith" dxfId="7487" priority="794" stopIfTrue="1" operator="beginsWith" text="Not Functioning">
      <formula>LEFT(E419,LEN("Not Functioning"))="Not Functioning"</formula>
    </cfRule>
    <cfRule type="containsText" dxfId="7486" priority="795" operator="containsText" text="Functioning">
      <formula>NOT(ISERROR(SEARCH("Functioning",E419)))</formula>
    </cfRule>
  </conditionalFormatting>
  <conditionalFormatting sqref="E421">
    <cfRule type="beginsWith" dxfId="7485" priority="790" stopIfTrue="1" operator="beginsWith" text="Functioning At Risk">
      <formula>LEFT(E421,LEN("Functioning At Risk"))="Functioning At Risk"</formula>
    </cfRule>
    <cfRule type="beginsWith" dxfId="7484" priority="791" stopIfTrue="1" operator="beginsWith" text="Not Functioning">
      <formula>LEFT(E421,LEN("Not Functioning"))="Not Functioning"</formula>
    </cfRule>
    <cfRule type="containsText" dxfId="7483" priority="792" operator="containsText" text="Functioning">
      <formula>NOT(ISERROR(SEARCH("Functioning",E421)))</formula>
    </cfRule>
  </conditionalFormatting>
  <conditionalFormatting sqref="E408:E410">
    <cfRule type="beginsWith" dxfId="7482" priority="787" stopIfTrue="1" operator="beginsWith" text="Functioning At Risk">
      <formula>LEFT(E408,LEN("Functioning At Risk"))="Functioning At Risk"</formula>
    </cfRule>
    <cfRule type="beginsWith" dxfId="7481" priority="788" stopIfTrue="1" operator="beginsWith" text="Not Functioning">
      <formula>LEFT(E408,LEN("Not Functioning"))="Not Functioning"</formula>
    </cfRule>
    <cfRule type="containsText" dxfId="7480" priority="789" operator="containsText" text="Functioning">
      <formula>NOT(ISERROR(SEARCH("Functioning",E408)))</formula>
    </cfRule>
  </conditionalFormatting>
  <conditionalFormatting sqref="E412:E415">
    <cfRule type="beginsWith" dxfId="7479" priority="784" stopIfTrue="1" operator="beginsWith" text="Functioning At Risk">
      <formula>LEFT(E412,LEN("Functioning At Risk"))="Functioning At Risk"</formula>
    </cfRule>
    <cfRule type="beginsWith" dxfId="7478" priority="785" stopIfTrue="1" operator="beginsWith" text="Not Functioning">
      <formula>LEFT(E412,LEN("Not Functioning"))="Not Functioning"</formula>
    </cfRule>
    <cfRule type="containsText" dxfId="7477" priority="786" operator="containsText" text="Functioning">
      <formula>NOT(ISERROR(SEARCH("Functioning",E412)))</formula>
    </cfRule>
  </conditionalFormatting>
  <conditionalFormatting sqref="E416">
    <cfRule type="beginsWith" dxfId="7476" priority="781" stopIfTrue="1" operator="beginsWith" text="Functioning At Risk">
      <formula>LEFT(E416,LEN("Functioning At Risk"))="Functioning At Risk"</formula>
    </cfRule>
    <cfRule type="beginsWith" dxfId="7475" priority="782" stopIfTrue="1" operator="beginsWith" text="Not Functioning">
      <formula>LEFT(E416,LEN("Not Functioning"))="Not Functioning"</formula>
    </cfRule>
    <cfRule type="containsText" dxfId="7474" priority="783" operator="containsText" text="Functioning">
      <formula>NOT(ISERROR(SEARCH("Functioning",E416)))</formula>
    </cfRule>
  </conditionalFormatting>
  <conditionalFormatting sqref="E417">
    <cfRule type="beginsWith" dxfId="7473" priority="778" stopIfTrue="1" operator="beginsWith" text="Functioning At Risk">
      <formula>LEFT(E417,LEN("Functioning At Risk"))="Functioning At Risk"</formula>
    </cfRule>
    <cfRule type="beginsWith" dxfId="7472" priority="779" stopIfTrue="1" operator="beginsWith" text="Not Functioning">
      <formula>LEFT(E417,LEN("Not Functioning"))="Not Functioning"</formula>
    </cfRule>
    <cfRule type="containsText" dxfId="7471" priority="780" operator="containsText" text="Functioning">
      <formula>NOT(ISERROR(SEARCH("Functioning",E417)))</formula>
    </cfRule>
  </conditionalFormatting>
  <conditionalFormatting sqref="E420">
    <cfRule type="beginsWith" dxfId="7470" priority="769" stopIfTrue="1" operator="beginsWith" text="Functioning At Risk">
      <formula>LEFT(E420,LEN("Functioning At Risk"))="Functioning At Risk"</formula>
    </cfRule>
    <cfRule type="beginsWith" dxfId="7469" priority="770" stopIfTrue="1" operator="beginsWith" text="Not Functioning">
      <formula>LEFT(E420,LEN("Not Functioning"))="Not Functioning"</formula>
    </cfRule>
    <cfRule type="containsText" dxfId="7468" priority="771" operator="containsText" text="Functioning">
      <formula>NOT(ISERROR(SEARCH("Functioning",E420)))</formula>
    </cfRule>
  </conditionalFormatting>
  <conditionalFormatting sqref="E72:E74">
    <cfRule type="expression" dxfId="7467" priority="7856">
      <formula>B1048456="Level 5 - Biology"</formula>
    </cfRule>
  </conditionalFormatting>
  <conditionalFormatting sqref="E192">
    <cfRule type="expression" dxfId="7466" priority="7857">
      <formula>#REF!="Level 5 - Biology"</formula>
    </cfRule>
  </conditionalFormatting>
  <conditionalFormatting sqref="E115">
    <cfRule type="expression" dxfId="7465" priority="7858">
      <formula>#REF!="Level 5 - Biology"</formula>
    </cfRule>
  </conditionalFormatting>
  <conditionalFormatting sqref="E108">
    <cfRule type="expression" dxfId="7464" priority="7859">
      <formula>#REF!="Level 4 - Physicochemical"</formula>
    </cfRule>
    <cfRule type="expression" dxfId="7463" priority="7860">
      <formula>#REF!="Level 5 - Biology"</formula>
    </cfRule>
  </conditionalFormatting>
  <conditionalFormatting sqref="E107">
    <cfRule type="expression" dxfId="7462" priority="7861">
      <formula>#REF!="Level 4 - Physicochemical"</formula>
    </cfRule>
    <cfRule type="expression" dxfId="7461" priority="7862">
      <formula>#REF!="Level 5 - Biology"</formula>
    </cfRule>
  </conditionalFormatting>
  <conditionalFormatting sqref="E109">
    <cfRule type="expression" dxfId="7460" priority="7863">
      <formula>#REF!="Level 4 - Physicochemical"</formula>
    </cfRule>
    <cfRule type="expression" dxfId="7459" priority="7864">
      <formula>#REF!="Level 5 - Biology"</formula>
    </cfRule>
  </conditionalFormatting>
  <conditionalFormatting sqref="E110">
    <cfRule type="expression" dxfId="7458" priority="7865">
      <formula>#REF!="Level 4 - Physicochemical"</formula>
    </cfRule>
    <cfRule type="expression" dxfId="7457" priority="7866">
      <formula>#REF!="Level 5 - Biology"</formula>
    </cfRule>
  </conditionalFormatting>
  <conditionalFormatting sqref="E116">
    <cfRule type="expression" dxfId="7456" priority="7867">
      <formula>#REF!="Level 5 - Biology"</formula>
    </cfRule>
  </conditionalFormatting>
  <conditionalFormatting sqref="C404:D406">
    <cfRule type="beginsWith" dxfId="7455" priority="760" stopIfTrue="1" operator="beginsWith" text="Functioning At Risk">
      <formula>LEFT(C404,LEN("Functioning At Risk"))="Functioning At Risk"</formula>
    </cfRule>
    <cfRule type="beginsWith" dxfId="7454" priority="761" stopIfTrue="1" operator="beginsWith" text="Not Functioning">
      <formula>LEFT(C404,LEN("Not Functioning"))="Not Functioning"</formula>
    </cfRule>
    <cfRule type="containsText" dxfId="7453" priority="762" operator="containsText" text="Functioning">
      <formula>NOT(ISERROR(SEARCH("Functioning",C404)))</formula>
    </cfRule>
  </conditionalFormatting>
  <conditionalFormatting sqref="B404">
    <cfRule type="beginsWith" dxfId="7452" priority="757" stopIfTrue="1" operator="beginsWith" text="Functioning At Risk">
      <formula>LEFT(B404,LEN("Functioning At Risk"))="Functioning At Risk"</formula>
    </cfRule>
    <cfRule type="beginsWith" dxfId="7451" priority="758" stopIfTrue="1" operator="beginsWith" text="Not Functioning">
      <formula>LEFT(B404,LEN("Not Functioning"))="Not Functioning"</formula>
    </cfRule>
    <cfRule type="containsText" dxfId="7450" priority="759" operator="containsText" text="Functioning">
      <formula>NOT(ISERROR(SEARCH("Functioning",B404)))</formula>
    </cfRule>
  </conditionalFormatting>
  <conditionalFormatting sqref="E405">
    <cfRule type="beginsWith" dxfId="7449" priority="754" stopIfTrue="1" operator="beginsWith" text="Functioning At Risk">
      <formula>LEFT(E405,LEN("Functioning At Risk"))="Functioning At Risk"</formula>
    </cfRule>
    <cfRule type="beginsWith" dxfId="7448" priority="755" stopIfTrue="1" operator="beginsWith" text="Not Functioning">
      <formula>LEFT(E405,LEN("Not Functioning"))="Not Functioning"</formula>
    </cfRule>
    <cfRule type="containsText" dxfId="7447" priority="756" operator="containsText" text="Functioning">
      <formula>NOT(ISERROR(SEARCH("Functioning",E405)))</formula>
    </cfRule>
  </conditionalFormatting>
  <conditionalFormatting sqref="E404">
    <cfRule type="beginsWith" dxfId="7446" priority="751" stopIfTrue="1" operator="beginsWith" text="Functioning At Risk">
      <formula>LEFT(E404,LEN("Functioning At Risk"))="Functioning At Risk"</formula>
    </cfRule>
    <cfRule type="beginsWith" dxfId="7445" priority="752" stopIfTrue="1" operator="beginsWith" text="Not Functioning">
      <formula>LEFT(E404,LEN("Not Functioning"))="Not Functioning"</formula>
    </cfRule>
    <cfRule type="containsText" dxfId="7444" priority="753" operator="containsText" text="Functioning">
      <formula>NOT(ISERROR(SEARCH("Functioning",E404)))</formula>
    </cfRule>
  </conditionalFormatting>
  <conditionalFormatting sqref="E404">
    <cfRule type="expression" dxfId="7443" priority="750" stopIfTrue="1">
      <formula>ISBLANK($B$13)</formula>
    </cfRule>
  </conditionalFormatting>
  <conditionalFormatting sqref="E406:E407">
    <cfRule type="beginsWith" dxfId="7442" priority="747" stopIfTrue="1" operator="beginsWith" text="Functioning At Risk">
      <formula>LEFT(E406,LEN("Functioning At Risk"))="Functioning At Risk"</formula>
    </cfRule>
    <cfRule type="beginsWith" dxfId="7441" priority="748" stopIfTrue="1" operator="beginsWith" text="Not Functioning">
      <formula>LEFT(E406,LEN("Not Functioning"))="Not Functioning"</formula>
    </cfRule>
    <cfRule type="containsText" dxfId="7440" priority="749" operator="containsText" text="Functioning">
      <formula>NOT(ISERROR(SEARCH("Functioning",E406)))</formula>
    </cfRule>
  </conditionalFormatting>
  <conditionalFormatting sqref="C364:D366">
    <cfRule type="beginsWith" dxfId="7439" priority="741" stopIfTrue="1" operator="beginsWith" text="Functioning At Risk">
      <formula>LEFT(C364,LEN("Functioning At Risk"))="Functioning At Risk"</formula>
    </cfRule>
    <cfRule type="beginsWith" dxfId="7438" priority="742" stopIfTrue="1" operator="beginsWith" text="Not Functioning">
      <formula>LEFT(C364,LEN("Not Functioning"))="Not Functioning"</formula>
    </cfRule>
    <cfRule type="containsText" dxfId="7437" priority="743" operator="containsText" text="Functioning">
      <formula>NOT(ISERROR(SEARCH("Functioning",C364)))</formula>
    </cfRule>
  </conditionalFormatting>
  <conditionalFormatting sqref="B364">
    <cfRule type="beginsWith" dxfId="7436" priority="738" stopIfTrue="1" operator="beginsWith" text="Functioning At Risk">
      <formula>LEFT(B364,LEN("Functioning At Risk"))="Functioning At Risk"</formula>
    </cfRule>
    <cfRule type="beginsWith" dxfId="7435" priority="739" stopIfTrue="1" operator="beginsWith" text="Not Functioning">
      <formula>LEFT(B364,LEN("Not Functioning"))="Not Functioning"</formula>
    </cfRule>
    <cfRule type="containsText" dxfId="7434" priority="740" operator="containsText" text="Functioning">
      <formula>NOT(ISERROR(SEARCH("Functioning",B364)))</formula>
    </cfRule>
  </conditionalFormatting>
  <conditionalFormatting sqref="E365">
    <cfRule type="beginsWith" dxfId="7433" priority="735" stopIfTrue="1" operator="beginsWith" text="Functioning At Risk">
      <formula>LEFT(E365,LEN("Functioning At Risk"))="Functioning At Risk"</formula>
    </cfRule>
    <cfRule type="beginsWith" dxfId="7432" priority="736" stopIfTrue="1" operator="beginsWith" text="Not Functioning">
      <formula>LEFT(E365,LEN("Not Functioning"))="Not Functioning"</formula>
    </cfRule>
    <cfRule type="containsText" dxfId="7431" priority="737" operator="containsText" text="Functioning">
      <formula>NOT(ISERROR(SEARCH("Functioning",E365)))</formula>
    </cfRule>
  </conditionalFormatting>
  <conditionalFormatting sqref="E364">
    <cfRule type="beginsWith" dxfId="7430" priority="732" stopIfTrue="1" operator="beginsWith" text="Functioning At Risk">
      <formula>LEFT(E364,LEN("Functioning At Risk"))="Functioning At Risk"</formula>
    </cfRule>
    <cfRule type="beginsWith" dxfId="7429" priority="733" stopIfTrue="1" operator="beginsWith" text="Not Functioning">
      <formula>LEFT(E364,LEN("Not Functioning"))="Not Functioning"</formula>
    </cfRule>
    <cfRule type="containsText" dxfId="7428" priority="734" operator="containsText" text="Functioning">
      <formula>NOT(ISERROR(SEARCH("Functioning",E364)))</formula>
    </cfRule>
  </conditionalFormatting>
  <conditionalFormatting sqref="E364">
    <cfRule type="expression" dxfId="7427" priority="731" stopIfTrue="1">
      <formula>ISBLANK($B$13)</formula>
    </cfRule>
  </conditionalFormatting>
  <conditionalFormatting sqref="E366:E367">
    <cfRule type="beginsWith" dxfId="7426" priority="728" stopIfTrue="1" operator="beginsWith" text="Functioning At Risk">
      <formula>LEFT(E366,LEN("Functioning At Risk"))="Functioning At Risk"</formula>
    </cfRule>
    <cfRule type="beginsWith" dxfId="7425" priority="729" stopIfTrue="1" operator="beginsWith" text="Not Functioning">
      <formula>LEFT(E366,LEN("Not Functioning"))="Not Functioning"</formula>
    </cfRule>
    <cfRule type="containsText" dxfId="7424" priority="730" operator="containsText" text="Functioning">
      <formula>NOT(ISERROR(SEARCH("Functioning",E366)))</formula>
    </cfRule>
  </conditionalFormatting>
  <conditionalFormatting sqref="C324:D326">
    <cfRule type="beginsWith" dxfId="7423" priority="722" stopIfTrue="1" operator="beginsWith" text="Functioning At Risk">
      <formula>LEFT(C324,LEN("Functioning At Risk"))="Functioning At Risk"</formula>
    </cfRule>
    <cfRule type="beginsWith" dxfId="7422" priority="723" stopIfTrue="1" operator="beginsWith" text="Not Functioning">
      <formula>LEFT(C324,LEN("Not Functioning"))="Not Functioning"</formula>
    </cfRule>
    <cfRule type="containsText" dxfId="7421" priority="724" operator="containsText" text="Functioning">
      <formula>NOT(ISERROR(SEARCH("Functioning",C324)))</formula>
    </cfRule>
  </conditionalFormatting>
  <conditionalFormatting sqref="B324">
    <cfRule type="beginsWith" dxfId="7420" priority="719" stopIfTrue="1" operator="beginsWith" text="Functioning At Risk">
      <formula>LEFT(B324,LEN("Functioning At Risk"))="Functioning At Risk"</formula>
    </cfRule>
    <cfRule type="beginsWith" dxfId="7419" priority="720" stopIfTrue="1" operator="beginsWith" text="Not Functioning">
      <formula>LEFT(B324,LEN("Not Functioning"))="Not Functioning"</formula>
    </cfRule>
    <cfRule type="containsText" dxfId="7418" priority="721" operator="containsText" text="Functioning">
      <formula>NOT(ISERROR(SEARCH("Functioning",B324)))</formula>
    </cfRule>
  </conditionalFormatting>
  <conditionalFormatting sqref="E325">
    <cfRule type="beginsWith" dxfId="7417" priority="716" stopIfTrue="1" operator="beginsWith" text="Functioning At Risk">
      <formula>LEFT(E325,LEN("Functioning At Risk"))="Functioning At Risk"</formula>
    </cfRule>
    <cfRule type="beginsWith" dxfId="7416" priority="717" stopIfTrue="1" operator="beginsWith" text="Not Functioning">
      <formula>LEFT(E325,LEN("Not Functioning"))="Not Functioning"</formula>
    </cfRule>
    <cfRule type="containsText" dxfId="7415" priority="718" operator="containsText" text="Functioning">
      <formula>NOT(ISERROR(SEARCH("Functioning",E325)))</formula>
    </cfRule>
  </conditionalFormatting>
  <conditionalFormatting sqref="E324">
    <cfRule type="beginsWith" dxfId="7414" priority="713" stopIfTrue="1" operator="beginsWith" text="Functioning At Risk">
      <formula>LEFT(E324,LEN("Functioning At Risk"))="Functioning At Risk"</formula>
    </cfRule>
    <cfRule type="beginsWith" dxfId="7413" priority="714" stopIfTrue="1" operator="beginsWith" text="Not Functioning">
      <formula>LEFT(E324,LEN("Not Functioning"))="Not Functioning"</formula>
    </cfRule>
    <cfRule type="containsText" dxfId="7412" priority="715" operator="containsText" text="Functioning">
      <formula>NOT(ISERROR(SEARCH("Functioning",E324)))</formula>
    </cfRule>
  </conditionalFormatting>
  <conditionalFormatting sqref="E324">
    <cfRule type="expression" dxfId="7411" priority="712" stopIfTrue="1">
      <formula>ISBLANK($B$13)</formula>
    </cfRule>
  </conditionalFormatting>
  <conditionalFormatting sqref="E326:E327">
    <cfRule type="beginsWith" dxfId="7410" priority="709" stopIfTrue="1" operator="beginsWith" text="Functioning At Risk">
      <formula>LEFT(E326,LEN("Functioning At Risk"))="Functioning At Risk"</formula>
    </cfRule>
    <cfRule type="beginsWith" dxfId="7409" priority="710" stopIfTrue="1" operator="beginsWith" text="Not Functioning">
      <formula>LEFT(E326,LEN("Not Functioning"))="Not Functioning"</formula>
    </cfRule>
    <cfRule type="containsText" dxfId="7408" priority="711" operator="containsText" text="Functioning">
      <formula>NOT(ISERROR(SEARCH("Functioning",E326)))</formula>
    </cfRule>
  </conditionalFormatting>
  <conditionalFormatting sqref="C284:D286">
    <cfRule type="beginsWith" dxfId="7407" priority="703" stopIfTrue="1" operator="beginsWith" text="Functioning At Risk">
      <formula>LEFT(C284,LEN("Functioning At Risk"))="Functioning At Risk"</formula>
    </cfRule>
    <cfRule type="beginsWith" dxfId="7406" priority="704" stopIfTrue="1" operator="beginsWith" text="Not Functioning">
      <formula>LEFT(C284,LEN("Not Functioning"))="Not Functioning"</formula>
    </cfRule>
    <cfRule type="containsText" dxfId="7405" priority="705" operator="containsText" text="Functioning">
      <formula>NOT(ISERROR(SEARCH("Functioning",C284)))</formula>
    </cfRule>
  </conditionalFormatting>
  <conditionalFormatting sqref="B284">
    <cfRule type="beginsWith" dxfId="7404" priority="700" stopIfTrue="1" operator="beginsWith" text="Functioning At Risk">
      <formula>LEFT(B284,LEN("Functioning At Risk"))="Functioning At Risk"</formula>
    </cfRule>
    <cfRule type="beginsWith" dxfId="7403" priority="701" stopIfTrue="1" operator="beginsWith" text="Not Functioning">
      <formula>LEFT(B284,LEN("Not Functioning"))="Not Functioning"</formula>
    </cfRule>
    <cfRule type="containsText" dxfId="7402" priority="702" operator="containsText" text="Functioning">
      <formula>NOT(ISERROR(SEARCH("Functioning",B284)))</formula>
    </cfRule>
  </conditionalFormatting>
  <conditionalFormatting sqref="E285">
    <cfRule type="beginsWith" dxfId="7401" priority="697" stopIfTrue="1" operator="beginsWith" text="Functioning At Risk">
      <formula>LEFT(E285,LEN("Functioning At Risk"))="Functioning At Risk"</formula>
    </cfRule>
    <cfRule type="beginsWith" dxfId="7400" priority="698" stopIfTrue="1" operator="beginsWith" text="Not Functioning">
      <formula>LEFT(E285,LEN("Not Functioning"))="Not Functioning"</formula>
    </cfRule>
    <cfRule type="containsText" dxfId="7399" priority="699" operator="containsText" text="Functioning">
      <formula>NOT(ISERROR(SEARCH("Functioning",E285)))</formula>
    </cfRule>
  </conditionalFormatting>
  <conditionalFormatting sqref="E284">
    <cfRule type="beginsWith" dxfId="7398" priority="694" stopIfTrue="1" operator="beginsWith" text="Functioning At Risk">
      <formula>LEFT(E284,LEN("Functioning At Risk"))="Functioning At Risk"</formula>
    </cfRule>
    <cfRule type="beginsWith" dxfId="7397" priority="695" stopIfTrue="1" operator="beginsWith" text="Not Functioning">
      <formula>LEFT(E284,LEN("Not Functioning"))="Not Functioning"</formula>
    </cfRule>
    <cfRule type="containsText" dxfId="7396" priority="696" operator="containsText" text="Functioning">
      <formula>NOT(ISERROR(SEARCH("Functioning",E284)))</formula>
    </cfRule>
  </conditionalFormatting>
  <conditionalFormatting sqref="E284">
    <cfRule type="expression" dxfId="7395" priority="693" stopIfTrue="1">
      <formula>ISBLANK($B$13)</formula>
    </cfRule>
  </conditionalFormatting>
  <conditionalFormatting sqref="E286:E287">
    <cfRule type="beginsWith" dxfId="7394" priority="690" stopIfTrue="1" operator="beginsWith" text="Functioning At Risk">
      <formula>LEFT(E286,LEN("Functioning At Risk"))="Functioning At Risk"</formula>
    </cfRule>
    <cfRule type="beginsWith" dxfId="7393" priority="691" stopIfTrue="1" operator="beginsWith" text="Not Functioning">
      <formula>LEFT(E286,LEN("Not Functioning"))="Not Functioning"</formula>
    </cfRule>
    <cfRule type="containsText" dxfId="7392" priority="692" operator="containsText" text="Functioning">
      <formula>NOT(ISERROR(SEARCH("Functioning",E286)))</formula>
    </cfRule>
  </conditionalFormatting>
  <conditionalFormatting sqref="C244:D246">
    <cfRule type="beginsWith" dxfId="7391" priority="684" stopIfTrue="1" operator="beginsWith" text="Functioning At Risk">
      <formula>LEFT(C244,LEN("Functioning At Risk"))="Functioning At Risk"</formula>
    </cfRule>
    <cfRule type="beginsWith" dxfId="7390" priority="685" stopIfTrue="1" operator="beginsWith" text="Not Functioning">
      <formula>LEFT(C244,LEN("Not Functioning"))="Not Functioning"</formula>
    </cfRule>
    <cfRule type="containsText" dxfId="7389" priority="686" operator="containsText" text="Functioning">
      <formula>NOT(ISERROR(SEARCH("Functioning",C244)))</formula>
    </cfRule>
  </conditionalFormatting>
  <conditionalFormatting sqref="B244">
    <cfRule type="beginsWith" dxfId="7388" priority="681" stopIfTrue="1" operator="beginsWith" text="Functioning At Risk">
      <formula>LEFT(B244,LEN("Functioning At Risk"))="Functioning At Risk"</formula>
    </cfRule>
    <cfRule type="beginsWith" dxfId="7387" priority="682" stopIfTrue="1" operator="beginsWith" text="Not Functioning">
      <formula>LEFT(B244,LEN("Not Functioning"))="Not Functioning"</formula>
    </cfRule>
    <cfRule type="containsText" dxfId="7386" priority="683" operator="containsText" text="Functioning">
      <formula>NOT(ISERROR(SEARCH("Functioning",B244)))</formula>
    </cfRule>
  </conditionalFormatting>
  <conditionalFormatting sqref="E245">
    <cfRule type="beginsWith" dxfId="7385" priority="678" stopIfTrue="1" operator="beginsWith" text="Functioning At Risk">
      <formula>LEFT(E245,LEN("Functioning At Risk"))="Functioning At Risk"</formula>
    </cfRule>
    <cfRule type="beginsWith" dxfId="7384" priority="679" stopIfTrue="1" operator="beginsWith" text="Not Functioning">
      <formula>LEFT(E245,LEN("Not Functioning"))="Not Functioning"</formula>
    </cfRule>
    <cfRule type="containsText" dxfId="7383" priority="680" operator="containsText" text="Functioning">
      <formula>NOT(ISERROR(SEARCH("Functioning",E245)))</formula>
    </cfRule>
  </conditionalFormatting>
  <conditionalFormatting sqref="E244">
    <cfRule type="beginsWith" dxfId="7382" priority="675" stopIfTrue="1" operator="beginsWith" text="Functioning At Risk">
      <formula>LEFT(E244,LEN("Functioning At Risk"))="Functioning At Risk"</formula>
    </cfRule>
    <cfRule type="beginsWith" dxfId="7381" priority="676" stopIfTrue="1" operator="beginsWith" text="Not Functioning">
      <formula>LEFT(E244,LEN("Not Functioning"))="Not Functioning"</formula>
    </cfRule>
    <cfRule type="containsText" dxfId="7380" priority="677" operator="containsText" text="Functioning">
      <formula>NOT(ISERROR(SEARCH("Functioning",E244)))</formula>
    </cfRule>
  </conditionalFormatting>
  <conditionalFormatting sqref="E244">
    <cfRule type="expression" dxfId="7379" priority="674" stopIfTrue="1">
      <formula>ISBLANK($B$13)</formula>
    </cfRule>
  </conditionalFormatting>
  <conditionalFormatting sqref="E246:E247">
    <cfRule type="beginsWith" dxfId="7378" priority="671" stopIfTrue="1" operator="beginsWith" text="Functioning At Risk">
      <formula>LEFT(E246,LEN("Functioning At Risk"))="Functioning At Risk"</formula>
    </cfRule>
    <cfRule type="beginsWith" dxfId="7377" priority="672" stopIfTrue="1" operator="beginsWith" text="Not Functioning">
      <formula>LEFT(E246,LEN("Not Functioning"))="Not Functioning"</formula>
    </cfRule>
    <cfRule type="containsText" dxfId="7376" priority="673" operator="containsText" text="Functioning">
      <formula>NOT(ISERROR(SEARCH("Functioning",E246)))</formula>
    </cfRule>
  </conditionalFormatting>
  <conditionalFormatting sqref="C204:D206">
    <cfRule type="beginsWith" dxfId="7375" priority="665" stopIfTrue="1" operator="beginsWith" text="Functioning At Risk">
      <formula>LEFT(C204,LEN("Functioning At Risk"))="Functioning At Risk"</formula>
    </cfRule>
    <cfRule type="beginsWith" dxfId="7374" priority="666" stopIfTrue="1" operator="beginsWith" text="Not Functioning">
      <formula>LEFT(C204,LEN("Not Functioning"))="Not Functioning"</formula>
    </cfRule>
    <cfRule type="containsText" dxfId="7373" priority="667" operator="containsText" text="Functioning">
      <formula>NOT(ISERROR(SEARCH("Functioning",C204)))</formula>
    </cfRule>
  </conditionalFormatting>
  <conditionalFormatting sqref="B204">
    <cfRule type="beginsWith" dxfId="7372" priority="662" stopIfTrue="1" operator="beginsWith" text="Functioning At Risk">
      <formula>LEFT(B204,LEN("Functioning At Risk"))="Functioning At Risk"</formula>
    </cfRule>
    <cfRule type="beginsWith" dxfId="7371" priority="663" stopIfTrue="1" operator="beginsWith" text="Not Functioning">
      <formula>LEFT(B204,LEN("Not Functioning"))="Not Functioning"</formula>
    </cfRule>
    <cfRule type="containsText" dxfId="7370" priority="664" operator="containsText" text="Functioning">
      <formula>NOT(ISERROR(SEARCH("Functioning",B204)))</formula>
    </cfRule>
  </conditionalFormatting>
  <conditionalFormatting sqref="E205">
    <cfRule type="beginsWith" dxfId="7369" priority="659" stopIfTrue="1" operator="beginsWith" text="Functioning At Risk">
      <formula>LEFT(E205,LEN("Functioning At Risk"))="Functioning At Risk"</formula>
    </cfRule>
    <cfRule type="beginsWith" dxfId="7368" priority="660" stopIfTrue="1" operator="beginsWith" text="Not Functioning">
      <formula>LEFT(E205,LEN("Not Functioning"))="Not Functioning"</formula>
    </cfRule>
    <cfRule type="containsText" dxfId="7367" priority="661" operator="containsText" text="Functioning">
      <formula>NOT(ISERROR(SEARCH("Functioning",E205)))</formula>
    </cfRule>
  </conditionalFormatting>
  <conditionalFormatting sqref="E204">
    <cfRule type="beginsWith" dxfId="7366" priority="656" stopIfTrue="1" operator="beginsWith" text="Functioning At Risk">
      <formula>LEFT(E204,LEN("Functioning At Risk"))="Functioning At Risk"</formula>
    </cfRule>
    <cfRule type="beginsWith" dxfId="7365" priority="657" stopIfTrue="1" operator="beginsWith" text="Not Functioning">
      <formula>LEFT(E204,LEN("Not Functioning"))="Not Functioning"</formula>
    </cfRule>
    <cfRule type="containsText" dxfId="7364" priority="658" operator="containsText" text="Functioning">
      <formula>NOT(ISERROR(SEARCH("Functioning",E204)))</formula>
    </cfRule>
  </conditionalFormatting>
  <conditionalFormatting sqref="E204">
    <cfRule type="expression" dxfId="7363" priority="655" stopIfTrue="1">
      <formula>ISBLANK($B$13)</formula>
    </cfRule>
  </conditionalFormatting>
  <conditionalFormatting sqref="E206:E207">
    <cfRule type="beginsWith" dxfId="7362" priority="652" stopIfTrue="1" operator="beginsWith" text="Functioning At Risk">
      <formula>LEFT(E206,LEN("Functioning At Risk"))="Functioning At Risk"</formula>
    </cfRule>
    <cfRule type="beginsWith" dxfId="7361" priority="653" stopIfTrue="1" operator="beginsWith" text="Not Functioning">
      <formula>LEFT(E206,LEN("Not Functioning"))="Not Functioning"</formula>
    </cfRule>
    <cfRule type="containsText" dxfId="7360" priority="654" operator="containsText" text="Functioning">
      <formula>NOT(ISERROR(SEARCH("Functioning",E206)))</formula>
    </cfRule>
  </conditionalFormatting>
  <conditionalFormatting sqref="C165:D167">
    <cfRule type="beginsWith" dxfId="7359" priority="646" stopIfTrue="1" operator="beginsWith" text="Functioning At Risk">
      <formula>LEFT(C165,LEN("Functioning At Risk"))="Functioning At Risk"</formula>
    </cfRule>
    <cfRule type="beginsWith" dxfId="7358" priority="647" stopIfTrue="1" operator="beginsWith" text="Not Functioning">
      <formula>LEFT(C165,LEN("Not Functioning"))="Not Functioning"</formula>
    </cfRule>
    <cfRule type="containsText" dxfId="7357" priority="648" operator="containsText" text="Functioning">
      <formula>NOT(ISERROR(SEARCH("Functioning",C165)))</formula>
    </cfRule>
  </conditionalFormatting>
  <conditionalFormatting sqref="B165">
    <cfRule type="beginsWith" dxfId="7356" priority="643" stopIfTrue="1" operator="beginsWith" text="Functioning At Risk">
      <formula>LEFT(B165,LEN("Functioning At Risk"))="Functioning At Risk"</formula>
    </cfRule>
    <cfRule type="beginsWith" dxfId="7355" priority="644" stopIfTrue="1" operator="beginsWith" text="Not Functioning">
      <formula>LEFT(B165,LEN("Not Functioning"))="Not Functioning"</formula>
    </cfRule>
    <cfRule type="containsText" dxfId="7354" priority="645" operator="containsText" text="Functioning">
      <formula>NOT(ISERROR(SEARCH("Functioning",B165)))</formula>
    </cfRule>
  </conditionalFormatting>
  <conditionalFormatting sqref="E166">
    <cfRule type="beginsWith" dxfId="7353" priority="640" stopIfTrue="1" operator="beginsWith" text="Functioning At Risk">
      <formula>LEFT(E166,LEN("Functioning At Risk"))="Functioning At Risk"</formula>
    </cfRule>
    <cfRule type="beginsWith" dxfId="7352" priority="641" stopIfTrue="1" operator="beginsWith" text="Not Functioning">
      <formula>LEFT(E166,LEN("Not Functioning"))="Not Functioning"</formula>
    </cfRule>
    <cfRule type="containsText" dxfId="7351" priority="642" operator="containsText" text="Functioning">
      <formula>NOT(ISERROR(SEARCH("Functioning",E166)))</formula>
    </cfRule>
  </conditionalFormatting>
  <conditionalFormatting sqref="E165">
    <cfRule type="expression" dxfId="7350" priority="636" stopIfTrue="1">
      <formula>ISBLANK($B$13)</formula>
    </cfRule>
  </conditionalFormatting>
  <conditionalFormatting sqref="E167:E168">
    <cfRule type="beginsWith" dxfId="7349" priority="633" stopIfTrue="1" operator="beginsWith" text="Functioning At Risk">
      <formula>LEFT(E167,LEN("Functioning At Risk"))="Functioning At Risk"</formula>
    </cfRule>
    <cfRule type="beginsWith" dxfId="7348" priority="634" stopIfTrue="1" operator="beginsWith" text="Not Functioning">
      <formula>LEFT(E167,LEN("Not Functioning"))="Not Functioning"</formula>
    </cfRule>
    <cfRule type="containsText" dxfId="7347" priority="635" operator="containsText" text="Functioning">
      <formula>NOT(ISERROR(SEARCH("Functioning",E167)))</formula>
    </cfRule>
  </conditionalFormatting>
  <conditionalFormatting sqref="C126:D128">
    <cfRule type="beginsWith" dxfId="7346" priority="627" stopIfTrue="1" operator="beginsWith" text="Functioning At Risk">
      <formula>LEFT(C126,LEN("Functioning At Risk"))="Functioning At Risk"</formula>
    </cfRule>
    <cfRule type="beginsWith" dxfId="7345" priority="628" stopIfTrue="1" operator="beginsWith" text="Not Functioning">
      <formula>LEFT(C126,LEN("Not Functioning"))="Not Functioning"</formula>
    </cfRule>
    <cfRule type="containsText" dxfId="7344" priority="629" operator="containsText" text="Functioning">
      <formula>NOT(ISERROR(SEARCH("Functioning",C126)))</formula>
    </cfRule>
  </conditionalFormatting>
  <conditionalFormatting sqref="B126">
    <cfRule type="beginsWith" dxfId="7343" priority="624" stopIfTrue="1" operator="beginsWith" text="Functioning At Risk">
      <formula>LEFT(B126,LEN("Functioning At Risk"))="Functioning At Risk"</formula>
    </cfRule>
    <cfRule type="beginsWith" dxfId="7342" priority="625" stopIfTrue="1" operator="beginsWith" text="Not Functioning">
      <formula>LEFT(B126,LEN("Not Functioning"))="Not Functioning"</formula>
    </cfRule>
    <cfRule type="containsText" dxfId="7341" priority="626" operator="containsText" text="Functioning">
      <formula>NOT(ISERROR(SEARCH("Functioning",B126)))</formula>
    </cfRule>
  </conditionalFormatting>
  <conditionalFormatting sqref="E127">
    <cfRule type="beginsWith" dxfId="7340" priority="621" stopIfTrue="1" operator="beginsWith" text="Functioning At Risk">
      <formula>LEFT(E127,LEN("Functioning At Risk"))="Functioning At Risk"</formula>
    </cfRule>
    <cfRule type="beginsWith" dxfId="7339" priority="622" stopIfTrue="1" operator="beginsWith" text="Not Functioning">
      <formula>LEFT(E127,LEN("Not Functioning"))="Not Functioning"</formula>
    </cfRule>
    <cfRule type="containsText" dxfId="7338" priority="623" operator="containsText" text="Functioning">
      <formula>NOT(ISERROR(SEARCH("Functioning",E127)))</formula>
    </cfRule>
  </conditionalFormatting>
  <conditionalFormatting sqref="E126">
    <cfRule type="beginsWith" dxfId="7337" priority="618" stopIfTrue="1" operator="beginsWith" text="Functioning At Risk">
      <formula>LEFT(E126,LEN("Functioning At Risk"))="Functioning At Risk"</formula>
    </cfRule>
    <cfRule type="beginsWith" dxfId="7336" priority="619" stopIfTrue="1" operator="beginsWith" text="Not Functioning">
      <formula>LEFT(E126,LEN("Not Functioning"))="Not Functioning"</formula>
    </cfRule>
    <cfRule type="containsText" dxfId="7335" priority="620" operator="containsText" text="Functioning">
      <formula>NOT(ISERROR(SEARCH("Functioning",E126)))</formula>
    </cfRule>
  </conditionalFormatting>
  <conditionalFormatting sqref="E126">
    <cfRule type="expression" dxfId="7334" priority="617" stopIfTrue="1">
      <formula>ISBLANK($B$13)</formula>
    </cfRule>
  </conditionalFormatting>
  <conditionalFormatting sqref="E128:E129">
    <cfRule type="beginsWith" dxfId="7333" priority="614" stopIfTrue="1" operator="beginsWith" text="Functioning At Risk">
      <formula>LEFT(E128,LEN("Functioning At Risk"))="Functioning At Risk"</formula>
    </cfRule>
    <cfRule type="beginsWith" dxfId="7332" priority="615" stopIfTrue="1" operator="beginsWith" text="Not Functioning">
      <formula>LEFT(E128,LEN("Not Functioning"))="Not Functioning"</formula>
    </cfRule>
    <cfRule type="containsText" dxfId="7331" priority="616" operator="containsText" text="Functioning">
      <formula>NOT(ISERROR(SEARCH("Functioning",E128)))</formula>
    </cfRule>
  </conditionalFormatting>
  <conditionalFormatting sqref="C87:D89">
    <cfRule type="beginsWith" dxfId="7330" priority="608" stopIfTrue="1" operator="beginsWith" text="Functioning At Risk">
      <formula>LEFT(C87,LEN("Functioning At Risk"))="Functioning At Risk"</formula>
    </cfRule>
    <cfRule type="beginsWith" dxfId="7329" priority="609" stopIfTrue="1" operator="beginsWith" text="Not Functioning">
      <formula>LEFT(C87,LEN("Not Functioning"))="Not Functioning"</formula>
    </cfRule>
    <cfRule type="containsText" dxfId="7328" priority="610" operator="containsText" text="Functioning">
      <formula>NOT(ISERROR(SEARCH("Functioning",C87)))</formula>
    </cfRule>
  </conditionalFormatting>
  <conditionalFormatting sqref="B87">
    <cfRule type="beginsWith" dxfId="7327" priority="605" stopIfTrue="1" operator="beginsWith" text="Functioning At Risk">
      <formula>LEFT(B87,LEN("Functioning At Risk"))="Functioning At Risk"</formula>
    </cfRule>
    <cfRule type="beginsWith" dxfId="7326" priority="606" stopIfTrue="1" operator="beginsWith" text="Not Functioning">
      <formula>LEFT(B87,LEN("Not Functioning"))="Not Functioning"</formula>
    </cfRule>
    <cfRule type="containsText" dxfId="7325" priority="607" operator="containsText" text="Functioning">
      <formula>NOT(ISERROR(SEARCH("Functioning",B87)))</formula>
    </cfRule>
  </conditionalFormatting>
  <conditionalFormatting sqref="E88">
    <cfRule type="beginsWith" dxfId="7324" priority="602" stopIfTrue="1" operator="beginsWith" text="Functioning At Risk">
      <formula>LEFT(E88,LEN("Functioning At Risk"))="Functioning At Risk"</formula>
    </cfRule>
    <cfRule type="beginsWith" dxfId="7323" priority="603" stopIfTrue="1" operator="beginsWith" text="Not Functioning">
      <formula>LEFT(E88,LEN("Not Functioning"))="Not Functioning"</formula>
    </cfRule>
    <cfRule type="containsText" dxfId="7322" priority="604" operator="containsText" text="Functioning">
      <formula>NOT(ISERROR(SEARCH("Functioning",E88)))</formula>
    </cfRule>
  </conditionalFormatting>
  <conditionalFormatting sqref="E87">
    <cfRule type="beginsWith" dxfId="7321" priority="599" stopIfTrue="1" operator="beginsWith" text="Functioning At Risk">
      <formula>LEFT(E87,LEN("Functioning At Risk"))="Functioning At Risk"</formula>
    </cfRule>
    <cfRule type="beginsWith" dxfId="7320" priority="600" stopIfTrue="1" operator="beginsWith" text="Not Functioning">
      <formula>LEFT(E87,LEN("Not Functioning"))="Not Functioning"</formula>
    </cfRule>
    <cfRule type="containsText" dxfId="7319" priority="601" operator="containsText" text="Functioning">
      <formula>NOT(ISERROR(SEARCH("Functioning",E87)))</formula>
    </cfRule>
  </conditionalFormatting>
  <conditionalFormatting sqref="E87">
    <cfRule type="expression" dxfId="7318" priority="598" stopIfTrue="1">
      <formula>ISBLANK($B$13)</formula>
    </cfRule>
  </conditionalFormatting>
  <conditionalFormatting sqref="E89:E90">
    <cfRule type="beginsWith" dxfId="7317" priority="595" stopIfTrue="1" operator="beginsWith" text="Functioning At Risk">
      <formula>LEFT(E89,LEN("Functioning At Risk"))="Functioning At Risk"</formula>
    </cfRule>
    <cfRule type="beginsWith" dxfId="7316" priority="596" stopIfTrue="1" operator="beginsWith" text="Not Functioning">
      <formula>LEFT(E89,LEN("Not Functioning"))="Not Functioning"</formula>
    </cfRule>
    <cfRule type="containsText" dxfId="7315" priority="597" operator="containsText" text="Functioning">
      <formula>NOT(ISERROR(SEARCH("Functioning",E89)))</formula>
    </cfRule>
  </conditionalFormatting>
  <conditionalFormatting sqref="C48:D50">
    <cfRule type="beginsWith" dxfId="7314" priority="589" stopIfTrue="1" operator="beginsWith" text="Functioning At Risk">
      <formula>LEFT(C48,LEN("Functioning At Risk"))="Functioning At Risk"</formula>
    </cfRule>
    <cfRule type="beginsWith" dxfId="7313" priority="590" stopIfTrue="1" operator="beginsWith" text="Not Functioning">
      <formula>LEFT(C48,LEN("Not Functioning"))="Not Functioning"</formula>
    </cfRule>
    <cfRule type="containsText" dxfId="7312" priority="591" operator="containsText" text="Functioning">
      <formula>NOT(ISERROR(SEARCH("Functioning",C48)))</formula>
    </cfRule>
  </conditionalFormatting>
  <conditionalFormatting sqref="B48">
    <cfRule type="beginsWith" dxfId="7311" priority="586" stopIfTrue="1" operator="beginsWith" text="Functioning At Risk">
      <formula>LEFT(B48,LEN("Functioning At Risk"))="Functioning At Risk"</formula>
    </cfRule>
    <cfRule type="beginsWith" dxfId="7310" priority="587" stopIfTrue="1" operator="beginsWith" text="Not Functioning">
      <formula>LEFT(B48,LEN("Not Functioning"))="Not Functioning"</formula>
    </cfRule>
    <cfRule type="containsText" dxfId="7309" priority="588" operator="containsText" text="Functioning">
      <formula>NOT(ISERROR(SEARCH("Functioning",B48)))</formula>
    </cfRule>
  </conditionalFormatting>
  <conditionalFormatting sqref="E49">
    <cfRule type="beginsWith" dxfId="7308" priority="583" stopIfTrue="1" operator="beginsWith" text="Functioning At Risk">
      <formula>LEFT(E49,LEN("Functioning At Risk"))="Functioning At Risk"</formula>
    </cfRule>
    <cfRule type="beginsWith" dxfId="7307" priority="584" stopIfTrue="1" operator="beginsWith" text="Not Functioning">
      <formula>LEFT(E49,LEN("Not Functioning"))="Not Functioning"</formula>
    </cfRule>
    <cfRule type="containsText" dxfId="7306" priority="585" operator="containsText" text="Functioning">
      <formula>NOT(ISERROR(SEARCH("Functioning",E49)))</formula>
    </cfRule>
  </conditionalFormatting>
  <conditionalFormatting sqref="E48">
    <cfRule type="beginsWith" dxfId="7305" priority="580" stopIfTrue="1" operator="beginsWith" text="Functioning At Risk">
      <formula>LEFT(E48,LEN("Functioning At Risk"))="Functioning At Risk"</formula>
    </cfRule>
    <cfRule type="beginsWith" dxfId="7304" priority="581" stopIfTrue="1" operator="beginsWith" text="Not Functioning">
      <formula>LEFT(E48,LEN("Not Functioning"))="Not Functioning"</formula>
    </cfRule>
    <cfRule type="containsText" dxfId="7303" priority="582" operator="containsText" text="Functioning">
      <formula>NOT(ISERROR(SEARCH("Functioning",E48)))</formula>
    </cfRule>
  </conditionalFormatting>
  <conditionalFormatting sqref="E48">
    <cfRule type="expression" dxfId="7302" priority="579" stopIfTrue="1">
      <formula>ISBLANK($B$13)</formula>
    </cfRule>
  </conditionalFormatting>
  <conditionalFormatting sqref="E50:E51">
    <cfRule type="beginsWith" dxfId="7301" priority="576" stopIfTrue="1" operator="beginsWith" text="Functioning At Risk">
      <formula>LEFT(E50,LEN("Functioning At Risk"))="Functioning At Risk"</formula>
    </cfRule>
    <cfRule type="beginsWith" dxfId="7300" priority="577" stopIfTrue="1" operator="beginsWith" text="Not Functioning">
      <formula>LEFT(E50,LEN("Not Functioning"))="Not Functioning"</formula>
    </cfRule>
    <cfRule type="containsText" dxfId="7299" priority="578" operator="containsText" text="Functioning">
      <formula>NOT(ISERROR(SEARCH("Functioning",E50)))</formula>
    </cfRule>
  </conditionalFormatting>
  <conditionalFormatting sqref="C9:D11">
    <cfRule type="beginsWith" dxfId="7298" priority="570" stopIfTrue="1" operator="beginsWith" text="Functioning At Risk">
      <formula>LEFT(C9,LEN("Functioning At Risk"))="Functioning At Risk"</formula>
    </cfRule>
    <cfRule type="beginsWith" dxfId="7297" priority="571" stopIfTrue="1" operator="beginsWith" text="Not Functioning">
      <formula>LEFT(C9,LEN("Not Functioning"))="Not Functioning"</formula>
    </cfRule>
    <cfRule type="containsText" dxfId="7296" priority="572" operator="containsText" text="Functioning">
      <formula>NOT(ISERROR(SEARCH("Functioning",C9)))</formula>
    </cfRule>
  </conditionalFormatting>
  <conditionalFormatting sqref="B9">
    <cfRule type="beginsWith" dxfId="7295" priority="567" stopIfTrue="1" operator="beginsWith" text="Functioning At Risk">
      <formula>LEFT(B9,LEN("Functioning At Risk"))="Functioning At Risk"</formula>
    </cfRule>
    <cfRule type="beginsWith" dxfId="7294" priority="568" stopIfTrue="1" operator="beginsWith" text="Not Functioning">
      <formula>LEFT(B9,LEN("Not Functioning"))="Not Functioning"</formula>
    </cfRule>
    <cfRule type="containsText" dxfId="7293" priority="569" operator="containsText" text="Functioning">
      <formula>NOT(ISERROR(SEARCH("Functioning",B9)))</formula>
    </cfRule>
  </conditionalFormatting>
  <conditionalFormatting sqref="E10">
    <cfRule type="beginsWith" dxfId="7292" priority="564" stopIfTrue="1" operator="beginsWith" text="Functioning At Risk">
      <formula>LEFT(E10,LEN("Functioning At Risk"))="Functioning At Risk"</formula>
    </cfRule>
    <cfRule type="beginsWith" dxfId="7291" priority="565" stopIfTrue="1" operator="beginsWith" text="Not Functioning">
      <formula>LEFT(E10,LEN("Not Functioning"))="Not Functioning"</formula>
    </cfRule>
    <cfRule type="containsText" dxfId="7290" priority="566" operator="containsText" text="Functioning">
      <formula>NOT(ISERROR(SEARCH("Functioning",E10)))</formula>
    </cfRule>
  </conditionalFormatting>
  <conditionalFormatting sqref="E9">
    <cfRule type="beginsWith" dxfId="7289" priority="561" stopIfTrue="1" operator="beginsWith" text="Functioning At Risk">
      <formula>LEFT(E9,LEN("Functioning At Risk"))="Functioning At Risk"</formula>
    </cfRule>
    <cfRule type="beginsWith" dxfId="7288" priority="562" stopIfTrue="1" operator="beginsWith" text="Not Functioning">
      <formula>LEFT(E9,LEN("Not Functioning"))="Not Functioning"</formula>
    </cfRule>
    <cfRule type="containsText" dxfId="7287" priority="563" operator="containsText" text="Functioning">
      <formula>NOT(ISERROR(SEARCH("Functioning",E9)))</formula>
    </cfRule>
  </conditionalFormatting>
  <conditionalFormatting sqref="E9">
    <cfRule type="expression" dxfId="7286" priority="560" stopIfTrue="1">
      <formula>ISBLANK($B$13)</formula>
    </cfRule>
  </conditionalFormatting>
  <conditionalFormatting sqref="E11:E12">
    <cfRule type="beginsWith" dxfId="7285" priority="557" stopIfTrue="1" operator="beginsWith" text="Functioning At Risk">
      <formula>LEFT(E11,LEN("Functioning At Risk"))="Functioning At Risk"</formula>
    </cfRule>
    <cfRule type="beginsWith" dxfId="7284" priority="558" stopIfTrue="1" operator="beginsWith" text="Not Functioning">
      <formula>LEFT(E11,LEN("Not Functioning"))="Not Functioning"</formula>
    </cfRule>
    <cfRule type="containsText" dxfId="7283" priority="559" operator="containsText" text="Functioning">
      <formula>NOT(ISERROR(SEARCH("Functioning",E11)))</formula>
    </cfRule>
  </conditionalFormatting>
  <conditionalFormatting sqref="E402:E403">
    <cfRule type="beginsWith" dxfId="7282" priority="553" stopIfTrue="1" operator="beginsWith" text="Functioning At Risk">
      <formula>LEFT(E402,LEN("Functioning At Risk"))="Functioning At Risk"</formula>
    </cfRule>
    <cfRule type="beginsWith" dxfId="7281" priority="554" stopIfTrue="1" operator="beginsWith" text="Not Functioning">
      <formula>LEFT(E402,LEN("Not Functioning"))="Not Functioning"</formula>
    </cfRule>
    <cfRule type="containsText" dxfId="7280" priority="555" operator="containsText" text="Functioning">
      <formula>NOT(ISERROR(SEARCH("Functioning",E402)))</formula>
    </cfRule>
  </conditionalFormatting>
  <conditionalFormatting sqref="E362:E363">
    <cfRule type="beginsWith" dxfId="7279" priority="550" stopIfTrue="1" operator="beginsWith" text="Functioning At Risk">
      <formula>LEFT(E362,LEN("Functioning At Risk"))="Functioning At Risk"</formula>
    </cfRule>
    <cfRule type="beginsWith" dxfId="7278" priority="551" stopIfTrue="1" operator="beginsWith" text="Not Functioning">
      <formula>LEFT(E362,LEN("Not Functioning"))="Not Functioning"</formula>
    </cfRule>
    <cfRule type="containsText" dxfId="7277" priority="552" operator="containsText" text="Functioning">
      <formula>NOT(ISERROR(SEARCH("Functioning",E362)))</formula>
    </cfRule>
  </conditionalFormatting>
  <conditionalFormatting sqref="E322:E323">
    <cfRule type="beginsWith" dxfId="7276" priority="547" stopIfTrue="1" operator="beginsWith" text="Functioning At Risk">
      <formula>LEFT(E322,LEN("Functioning At Risk"))="Functioning At Risk"</formula>
    </cfRule>
    <cfRule type="beginsWith" dxfId="7275" priority="548" stopIfTrue="1" operator="beginsWith" text="Not Functioning">
      <formula>LEFT(E322,LEN("Not Functioning"))="Not Functioning"</formula>
    </cfRule>
    <cfRule type="containsText" dxfId="7274" priority="549" operator="containsText" text="Functioning">
      <formula>NOT(ISERROR(SEARCH("Functioning",E322)))</formula>
    </cfRule>
  </conditionalFormatting>
  <conditionalFormatting sqref="E282:E283">
    <cfRule type="beginsWith" dxfId="7273" priority="544" stopIfTrue="1" operator="beginsWith" text="Functioning At Risk">
      <formula>LEFT(E282,LEN("Functioning At Risk"))="Functioning At Risk"</formula>
    </cfRule>
    <cfRule type="beginsWith" dxfId="7272" priority="545" stopIfTrue="1" operator="beginsWith" text="Not Functioning">
      <formula>LEFT(E282,LEN("Not Functioning"))="Not Functioning"</formula>
    </cfRule>
    <cfRule type="containsText" dxfId="7271" priority="546" operator="containsText" text="Functioning">
      <formula>NOT(ISERROR(SEARCH("Functioning",E282)))</formula>
    </cfRule>
  </conditionalFormatting>
  <conditionalFormatting sqref="E242:E243">
    <cfRule type="beginsWith" dxfId="7270" priority="541" stopIfTrue="1" operator="beginsWith" text="Functioning At Risk">
      <formula>LEFT(E242,LEN("Functioning At Risk"))="Functioning At Risk"</formula>
    </cfRule>
    <cfRule type="beginsWith" dxfId="7269" priority="542" stopIfTrue="1" operator="beginsWith" text="Not Functioning">
      <formula>LEFT(E242,LEN("Not Functioning"))="Not Functioning"</formula>
    </cfRule>
    <cfRule type="containsText" dxfId="7268" priority="543" operator="containsText" text="Functioning">
      <formula>NOT(ISERROR(SEARCH("Functioning",E242)))</formula>
    </cfRule>
  </conditionalFormatting>
  <conditionalFormatting sqref="E202:E203">
    <cfRule type="beginsWith" dxfId="7267" priority="538" stopIfTrue="1" operator="beginsWith" text="Functioning At Risk">
      <formula>LEFT(E202,LEN("Functioning At Risk"))="Functioning At Risk"</formula>
    </cfRule>
    <cfRule type="beginsWith" dxfId="7266" priority="539" stopIfTrue="1" operator="beginsWith" text="Not Functioning">
      <formula>LEFT(E202,LEN("Not Functioning"))="Not Functioning"</formula>
    </cfRule>
    <cfRule type="containsText" dxfId="7265" priority="540" operator="containsText" text="Functioning">
      <formula>NOT(ISERROR(SEARCH("Functioning",E202)))</formula>
    </cfRule>
  </conditionalFormatting>
  <conditionalFormatting sqref="E163:E164">
    <cfRule type="beginsWith" dxfId="7264" priority="535" stopIfTrue="1" operator="beginsWith" text="Functioning At Risk">
      <formula>LEFT(E163,LEN("Functioning At Risk"))="Functioning At Risk"</formula>
    </cfRule>
    <cfRule type="beginsWith" dxfId="7263" priority="536" stopIfTrue="1" operator="beginsWith" text="Not Functioning">
      <formula>LEFT(E163,LEN("Not Functioning"))="Not Functioning"</formula>
    </cfRule>
    <cfRule type="containsText" dxfId="7262" priority="537" operator="containsText" text="Functioning">
      <formula>NOT(ISERROR(SEARCH("Functioning",E163)))</formula>
    </cfRule>
  </conditionalFormatting>
  <conditionalFormatting sqref="E124:E125">
    <cfRule type="beginsWith" dxfId="7261" priority="532" stopIfTrue="1" operator="beginsWith" text="Functioning At Risk">
      <formula>LEFT(E124,LEN("Functioning At Risk"))="Functioning At Risk"</formula>
    </cfRule>
    <cfRule type="beginsWith" dxfId="7260" priority="533" stopIfTrue="1" operator="beginsWith" text="Not Functioning">
      <formula>LEFT(E124,LEN("Not Functioning"))="Not Functioning"</formula>
    </cfRule>
    <cfRule type="containsText" dxfId="7259" priority="534" operator="containsText" text="Functioning">
      <formula>NOT(ISERROR(SEARCH("Functioning",E124)))</formula>
    </cfRule>
  </conditionalFormatting>
  <conditionalFormatting sqref="E85:E86">
    <cfRule type="beginsWith" dxfId="7258" priority="529" stopIfTrue="1" operator="beginsWith" text="Functioning At Risk">
      <formula>LEFT(E85,LEN("Functioning At Risk"))="Functioning At Risk"</formula>
    </cfRule>
    <cfRule type="beginsWith" dxfId="7257" priority="530" stopIfTrue="1" operator="beginsWith" text="Not Functioning">
      <formula>LEFT(E85,LEN("Not Functioning"))="Not Functioning"</formula>
    </cfRule>
    <cfRule type="containsText" dxfId="7256" priority="531" operator="containsText" text="Functioning">
      <formula>NOT(ISERROR(SEARCH("Functioning",E85)))</formula>
    </cfRule>
  </conditionalFormatting>
  <conditionalFormatting sqref="E46:E47">
    <cfRule type="beginsWith" dxfId="7255" priority="526" stopIfTrue="1" operator="beginsWith" text="Functioning At Risk">
      <formula>LEFT(E46,LEN("Functioning At Risk"))="Functioning At Risk"</formula>
    </cfRule>
    <cfRule type="beginsWith" dxfId="7254" priority="527" stopIfTrue="1" operator="beginsWith" text="Not Functioning">
      <formula>LEFT(E46,LEN("Not Functioning"))="Not Functioning"</formula>
    </cfRule>
    <cfRule type="containsText" dxfId="7253" priority="528" operator="containsText" text="Functioning">
      <formula>NOT(ISERROR(SEARCH("Functioning",E46)))</formula>
    </cfRule>
  </conditionalFormatting>
  <conditionalFormatting sqref="E7:E8">
    <cfRule type="beginsWith" dxfId="7252" priority="523" stopIfTrue="1" operator="beginsWith" text="Functioning At Risk">
      <formula>LEFT(E7,LEN("Functioning At Risk"))="Functioning At Risk"</formula>
    </cfRule>
    <cfRule type="beginsWith" dxfId="7251" priority="524" stopIfTrue="1" operator="beginsWith" text="Not Functioning">
      <formula>LEFT(E7,LEN("Not Functioning"))="Not Functioning"</formula>
    </cfRule>
    <cfRule type="containsText" dxfId="7250" priority="525" operator="containsText" text="Functioning">
      <formula>NOT(ISERROR(SEARCH("Functioning",E7)))</formula>
    </cfRule>
  </conditionalFormatting>
  <conditionalFormatting sqref="E21">
    <cfRule type="beginsWith" dxfId="7249" priority="424" stopIfTrue="1" operator="beginsWith" text="Functioning At Risk">
      <formula>LEFT(E21,LEN("Functioning At Risk"))="Functioning At Risk"</formula>
    </cfRule>
    <cfRule type="beginsWith" dxfId="7248" priority="425" stopIfTrue="1" operator="beginsWith" text="Not Functioning">
      <formula>LEFT(E21,LEN("Not Functioning"))="Not Functioning"</formula>
    </cfRule>
    <cfRule type="containsText" dxfId="7247" priority="426" operator="containsText" text="Functioning">
      <formula>NOT(ISERROR(SEARCH("Functioning",E21)))</formula>
    </cfRule>
  </conditionalFormatting>
  <conditionalFormatting sqref="E22">
    <cfRule type="beginsWith" dxfId="7246" priority="421" stopIfTrue="1" operator="beginsWith" text="Functioning At Risk">
      <formula>LEFT(E22,LEN("Functioning At Risk"))="Functioning At Risk"</formula>
    </cfRule>
    <cfRule type="beginsWith" dxfId="7245" priority="422" stopIfTrue="1" operator="beginsWith" text="Not Functioning">
      <formula>LEFT(E22,LEN("Not Functioning"))="Not Functioning"</formula>
    </cfRule>
    <cfRule type="containsText" dxfId="7244" priority="423" operator="containsText" text="Functioning">
      <formula>NOT(ISERROR(SEARCH("Functioning",E22)))</formula>
    </cfRule>
  </conditionalFormatting>
  <conditionalFormatting sqref="E376">
    <cfRule type="beginsWith" dxfId="7243" priority="352" stopIfTrue="1" operator="beginsWith" text="Functioning At Risk">
      <formula>LEFT(E376,LEN("Functioning At Risk"))="Functioning At Risk"</formula>
    </cfRule>
    <cfRule type="beginsWith" dxfId="7242" priority="353" stopIfTrue="1" operator="beginsWith" text="Not Functioning">
      <formula>LEFT(E376,LEN("Not Functioning"))="Not Functioning"</formula>
    </cfRule>
    <cfRule type="containsText" dxfId="7241" priority="354" operator="containsText" text="Functioning">
      <formula>NOT(ISERROR(SEARCH("Functioning",E376)))</formula>
    </cfRule>
  </conditionalFormatting>
  <conditionalFormatting sqref="E377">
    <cfRule type="beginsWith" dxfId="7240" priority="349" stopIfTrue="1" operator="beginsWith" text="Functioning At Risk">
      <formula>LEFT(E377,LEN("Functioning At Risk"))="Functioning At Risk"</formula>
    </cfRule>
    <cfRule type="beginsWith" dxfId="7239" priority="350" stopIfTrue="1" operator="beginsWith" text="Not Functioning">
      <formula>LEFT(E377,LEN("Not Functioning"))="Not Functioning"</formula>
    </cfRule>
    <cfRule type="containsText" dxfId="7238" priority="351" operator="containsText" text="Functioning">
      <formula>NOT(ISERROR(SEARCH("Functioning",E377)))</formula>
    </cfRule>
  </conditionalFormatting>
  <conditionalFormatting sqref="E336">
    <cfRule type="beginsWith" dxfId="7237" priority="346" stopIfTrue="1" operator="beginsWith" text="Functioning At Risk">
      <formula>LEFT(E336,LEN("Functioning At Risk"))="Functioning At Risk"</formula>
    </cfRule>
    <cfRule type="beginsWith" dxfId="7236" priority="347" stopIfTrue="1" operator="beginsWith" text="Not Functioning">
      <formula>LEFT(E336,LEN("Not Functioning"))="Not Functioning"</formula>
    </cfRule>
    <cfRule type="containsText" dxfId="7235" priority="348" operator="containsText" text="Functioning">
      <formula>NOT(ISERROR(SEARCH("Functioning",E336)))</formula>
    </cfRule>
  </conditionalFormatting>
  <conditionalFormatting sqref="E337">
    <cfRule type="beginsWith" dxfId="7234" priority="343" stopIfTrue="1" operator="beginsWith" text="Functioning At Risk">
      <formula>LEFT(E337,LEN("Functioning At Risk"))="Functioning At Risk"</formula>
    </cfRule>
    <cfRule type="beginsWith" dxfId="7233" priority="344" stopIfTrue="1" operator="beginsWith" text="Not Functioning">
      <formula>LEFT(E337,LEN("Not Functioning"))="Not Functioning"</formula>
    </cfRule>
    <cfRule type="containsText" dxfId="7232" priority="345" operator="containsText" text="Functioning">
      <formula>NOT(ISERROR(SEARCH("Functioning",E337)))</formula>
    </cfRule>
  </conditionalFormatting>
  <conditionalFormatting sqref="E296">
    <cfRule type="beginsWith" dxfId="7231" priority="340" stopIfTrue="1" operator="beginsWith" text="Functioning At Risk">
      <formula>LEFT(E296,LEN("Functioning At Risk"))="Functioning At Risk"</formula>
    </cfRule>
    <cfRule type="beginsWith" dxfId="7230" priority="341" stopIfTrue="1" operator="beginsWith" text="Not Functioning">
      <formula>LEFT(E296,LEN("Not Functioning"))="Not Functioning"</formula>
    </cfRule>
    <cfRule type="containsText" dxfId="7229" priority="342" operator="containsText" text="Functioning">
      <formula>NOT(ISERROR(SEARCH("Functioning",E296)))</formula>
    </cfRule>
  </conditionalFormatting>
  <conditionalFormatting sqref="E297">
    <cfRule type="beginsWith" dxfId="7228" priority="337" stopIfTrue="1" operator="beginsWith" text="Functioning At Risk">
      <formula>LEFT(E297,LEN("Functioning At Risk"))="Functioning At Risk"</formula>
    </cfRule>
    <cfRule type="beginsWith" dxfId="7227" priority="338" stopIfTrue="1" operator="beginsWith" text="Not Functioning">
      <formula>LEFT(E297,LEN("Not Functioning"))="Not Functioning"</formula>
    </cfRule>
    <cfRule type="containsText" dxfId="7226" priority="339" operator="containsText" text="Functioning">
      <formula>NOT(ISERROR(SEARCH("Functioning",E297)))</formula>
    </cfRule>
  </conditionalFormatting>
  <conditionalFormatting sqref="E256">
    <cfRule type="beginsWith" dxfId="7225" priority="334" stopIfTrue="1" operator="beginsWith" text="Functioning At Risk">
      <formula>LEFT(E256,LEN("Functioning At Risk"))="Functioning At Risk"</formula>
    </cfRule>
    <cfRule type="beginsWith" dxfId="7224" priority="335" stopIfTrue="1" operator="beginsWith" text="Not Functioning">
      <formula>LEFT(E256,LEN("Not Functioning"))="Not Functioning"</formula>
    </cfRule>
    <cfRule type="containsText" dxfId="7223" priority="336" operator="containsText" text="Functioning">
      <formula>NOT(ISERROR(SEARCH("Functioning",E256)))</formula>
    </cfRule>
  </conditionalFormatting>
  <conditionalFormatting sqref="E257">
    <cfRule type="beginsWith" dxfId="7222" priority="331" stopIfTrue="1" operator="beginsWith" text="Functioning At Risk">
      <formula>LEFT(E257,LEN("Functioning At Risk"))="Functioning At Risk"</formula>
    </cfRule>
    <cfRule type="beginsWith" dxfId="7221" priority="332" stopIfTrue="1" operator="beginsWith" text="Not Functioning">
      <formula>LEFT(E257,LEN("Not Functioning"))="Not Functioning"</formula>
    </cfRule>
    <cfRule type="containsText" dxfId="7220" priority="333" operator="containsText" text="Functioning">
      <formula>NOT(ISERROR(SEARCH("Functioning",E257)))</formula>
    </cfRule>
  </conditionalFormatting>
  <conditionalFormatting sqref="E216">
    <cfRule type="beginsWith" dxfId="7219" priority="328" stopIfTrue="1" operator="beginsWith" text="Functioning At Risk">
      <formula>LEFT(E216,LEN("Functioning At Risk"))="Functioning At Risk"</formula>
    </cfRule>
    <cfRule type="beginsWith" dxfId="7218" priority="329" stopIfTrue="1" operator="beginsWith" text="Not Functioning">
      <formula>LEFT(E216,LEN("Not Functioning"))="Not Functioning"</formula>
    </cfRule>
    <cfRule type="containsText" dxfId="7217" priority="330" operator="containsText" text="Functioning">
      <formula>NOT(ISERROR(SEARCH("Functioning",E216)))</formula>
    </cfRule>
  </conditionalFormatting>
  <conditionalFormatting sqref="E217">
    <cfRule type="beginsWith" dxfId="7216" priority="325" stopIfTrue="1" operator="beginsWith" text="Functioning At Risk">
      <formula>LEFT(E217,LEN("Functioning At Risk"))="Functioning At Risk"</formula>
    </cfRule>
    <cfRule type="beginsWith" dxfId="7215" priority="326" stopIfTrue="1" operator="beginsWith" text="Not Functioning">
      <formula>LEFT(E217,LEN("Not Functioning"))="Not Functioning"</formula>
    </cfRule>
    <cfRule type="containsText" dxfId="7214" priority="327" operator="containsText" text="Functioning">
      <formula>NOT(ISERROR(SEARCH("Functioning",E217)))</formula>
    </cfRule>
  </conditionalFormatting>
  <conditionalFormatting sqref="E177">
    <cfRule type="beginsWith" dxfId="7213" priority="322" stopIfTrue="1" operator="beginsWith" text="Functioning At Risk">
      <formula>LEFT(E177,LEN("Functioning At Risk"))="Functioning At Risk"</formula>
    </cfRule>
    <cfRule type="beginsWith" dxfId="7212" priority="323" stopIfTrue="1" operator="beginsWith" text="Not Functioning">
      <formula>LEFT(E177,LEN("Not Functioning"))="Not Functioning"</formula>
    </cfRule>
    <cfRule type="containsText" dxfId="7211" priority="324" operator="containsText" text="Functioning">
      <formula>NOT(ISERROR(SEARCH("Functioning",E177)))</formula>
    </cfRule>
  </conditionalFormatting>
  <conditionalFormatting sqref="E178">
    <cfRule type="beginsWith" dxfId="7210" priority="319" stopIfTrue="1" operator="beginsWith" text="Functioning At Risk">
      <formula>LEFT(E178,LEN("Functioning At Risk"))="Functioning At Risk"</formula>
    </cfRule>
    <cfRule type="beginsWith" dxfId="7209" priority="320" stopIfTrue="1" operator="beginsWith" text="Not Functioning">
      <formula>LEFT(E178,LEN("Not Functioning"))="Not Functioning"</formula>
    </cfRule>
    <cfRule type="containsText" dxfId="7208" priority="321" operator="containsText" text="Functioning">
      <formula>NOT(ISERROR(SEARCH("Functioning",E178)))</formula>
    </cfRule>
  </conditionalFormatting>
  <conditionalFormatting sqref="E138">
    <cfRule type="beginsWith" dxfId="7207" priority="316" stopIfTrue="1" operator="beginsWith" text="Functioning At Risk">
      <formula>LEFT(E138,LEN("Functioning At Risk"))="Functioning At Risk"</formula>
    </cfRule>
    <cfRule type="beginsWith" dxfId="7206" priority="317" stopIfTrue="1" operator="beginsWith" text="Not Functioning">
      <formula>LEFT(E138,LEN("Not Functioning"))="Not Functioning"</formula>
    </cfRule>
    <cfRule type="containsText" dxfId="7205" priority="318" operator="containsText" text="Functioning">
      <formula>NOT(ISERROR(SEARCH("Functioning",E138)))</formula>
    </cfRule>
  </conditionalFormatting>
  <conditionalFormatting sqref="E139">
    <cfRule type="beginsWith" dxfId="7204" priority="313" stopIfTrue="1" operator="beginsWith" text="Functioning At Risk">
      <formula>LEFT(E139,LEN("Functioning At Risk"))="Functioning At Risk"</formula>
    </cfRule>
    <cfRule type="beginsWith" dxfId="7203" priority="314" stopIfTrue="1" operator="beginsWith" text="Not Functioning">
      <formula>LEFT(E139,LEN("Not Functioning"))="Not Functioning"</formula>
    </cfRule>
    <cfRule type="containsText" dxfId="7202" priority="315" operator="containsText" text="Functioning">
      <formula>NOT(ISERROR(SEARCH("Functioning",E139)))</formula>
    </cfRule>
  </conditionalFormatting>
  <conditionalFormatting sqref="E99">
    <cfRule type="beginsWith" dxfId="7201" priority="310" stopIfTrue="1" operator="beginsWith" text="Functioning At Risk">
      <formula>LEFT(E99,LEN("Functioning At Risk"))="Functioning At Risk"</formula>
    </cfRule>
    <cfRule type="beginsWith" dxfId="7200" priority="311" stopIfTrue="1" operator="beginsWith" text="Not Functioning">
      <formula>LEFT(E99,LEN("Not Functioning"))="Not Functioning"</formula>
    </cfRule>
    <cfRule type="containsText" dxfId="7199" priority="312" operator="containsText" text="Functioning">
      <formula>NOT(ISERROR(SEARCH("Functioning",E99)))</formula>
    </cfRule>
  </conditionalFormatting>
  <conditionalFormatting sqref="E100">
    <cfRule type="beginsWith" dxfId="7198" priority="307" stopIfTrue="1" operator="beginsWith" text="Functioning At Risk">
      <formula>LEFT(E100,LEN("Functioning At Risk"))="Functioning At Risk"</formula>
    </cfRule>
    <cfRule type="beginsWith" dxfId="7197" priority="308" stopIfTrue="1" operator="beginsWith" text="Not Functioning">
      <formula>LEFT(E100,LEN("Not Functioning"))="Not Functioning"</formula>
    </cfRule>
    <cfRule type="containsText" dxfId="7196" priority="309" operator="containsText" text="Functioning">
      <formula>NOT(ISERROR(SEARCH("Functioning",E100)))</formula>
    </cfRule>
  </conditionalFormatting>
  <conditionalFormatting sqref="E60">
    <cfRule type="beginsWith" dxfId="7195" priority="304" stopIfTrue="1" operator="beginsWith" text="Functioning At Risk">
      <formula>LEFT(E60,LEN("Functioning At Risk"))="Functioning At Risk"</formula>
    </cfRule>
    <cfRule type="beginsWith" dxfId="7194" priority="305" stopIfTrue="1" operator="beginsWith" text="Not Functioning">
      <formula>LEFT(E60,LEN("Not Functioning"))="Not Functioning"</formula>
    </cfRule>
    <cfRule type="containsText" dxfId="7193" priority="306" operator="containsText" text="Functioning">
      <formula>NOT(ISERROR(SEARCH("Functioning",E60)))</formula>
    </cfRule>
  </conditionalFormatting>
  <conditionalFormatting sqref="E58:E59">
    <cfRule type="beginsWith" dxfId="7192" priority="301" stopIfTrue="1" operator="beginsWith" text="Functioning At Risk">
      <formula>LEFT(E58,LEN("Functioning At Risk"))="Functioning At Risk"</formula>
    </cfRule>
    <cfRule type="beginsWith" dxfId="7191" priority="302" stopIfTrue="1" operator="beginsWith" text="Not Functioning">
      <formula>LEFT(E58,LEN("Not Functioning"))="Not Functioning"</formula>
    </cfRule>
    <cfRule type="containsText" dxfId="7190" priority="303" operator="containsText" text="Functioning">
      <formula>NOT(ISERROR(SEARCH("Functioning",E58)))</formula>
    </cfRule>
  </conditionalFormatting>
  <conditionalFormatting sqref="E19:E20">
    <cfRule type="beginsWith" dxfId="7189" priority="298" stopIfTrue="1" operator="beginsWith" text="Functioning At Risk">
      <formula>LEFT(E19,LEN("Functioning At Risk"))="Functioning At Risk"</formula>
    </cfRule>
    <cfRule type="beginsWith" dxfId="7188" priority="299" stopIfTrue="1" operator="beginsWith" text="Not Functioning">
      <formula>LEFT(E19,LEN("Not Functioning"))="Not Functioning"</formula>
    </cfRule>
    <cfRule type="containsText" dxfId="7187" priority="300" operator="containsText" text="Functioning">
      <formula>NOT(ISERROR(SEARCH("Functioning",E19)))</formula>
    </cfRule>
  </conditionalFormatting>
  <conditionalFormatting sqref="F28 F5:F6 F13:F16">
    <cfRule type="beginsWith" dxfId="7186" priority="295" stopIfTrue="1" operator="beginsWith" text="Functioning At Risk">
      <formula>LEFT(F5,LEN("Functioning At Risk"))="Functioning At Risk"</formula>
    </cfRule>
    <cfRule type="beginsWith" dxfId="7185" priority="296" stopIfTrue="1" operator="beginsWith" text="Not Functioning">
      <formula>LEFT(F5,LEN("Not Functioning"))="Not Functioning"</formula>
    </cfRule>
    <cfRule type="containsText" dxfId="7184" priority="297" operator="containsText" text="Functioning">
      <formula>NOT(ISERROR(SEARCH("Functioning",F5)))</formula>
    </cfRule>
  </conditionalFormatting>
  <conditionalFormatting sqref="F17:F18">
    <cfRule type="beginsWith" dxfId="7183" priority="292" stopIfTrue="1" operator="beginsWith" text="Functioning At Risk">
      <formula>LEFT(F17,LEN("Functioning At Risk"))="Functioning At Risk"</formula>
    </cfRule>
    <cfRule type="beginsWith" dxfId="7182" priority="293" stopIfTrue="1" operator="beginsWith" text="Not Functioning">
      <formula>LEFT(F17,LEN("Not Functioning"))="Not Functioning"</formula>
    </cfRule>
    <cfRule type="containsText" dxfId="7181" priority="294" operator="containsText" text="Functioning">
      <formula>NOT(ISERROR(SEARCH("Functioning",F17)))</formula>
    </cfRule>
  </conditionalFormatting>
  <conditionalFormatting sqref="F37:F38">
    <cfRule type="beginsWith" dxfId="7180" priority="289" stopIfTrue="1" operator="beginsWith" text="Functioning At Risk">
      <formula>LEFT(F37,LEN("Functioning At Risk"))="Functioning At Risk"</formula>
    </cfRule>
    <cfRule type="beginsWith" dxfId="7179" priority="290" stopIfTrue="1" operator="beginsWith" text="Not Functioning">
      <formula>LEFT(F37,LEN("Not Functioning"))="Not Functioning"</formula>
    </cfRule>
    <cfRule type="containsText" dxfId="7178" priority="291" operator="containsText" text="Functioning">
      <formula>NOT(ISERROR(SEARCH("Functioning",F37)))</formula>
    </cfRule>
  </conditionalFormatting>
  <conditionalFormatting sqref="F33:F36">
    <cfRule type="beginsWith" dxfId="7177" priority="286" stopIfTrue="1" operator="beginsWith" text="Functioning At Risk">
      <formula>LEFT(F33,LEN("Functioning At Risk"))="Functioning At Risk"</formula>
    </cfRule>
    <cfRule type="beginsWith" dxfId="7176" priority="287" stopIfTrue="1" operator="beginsWith" text="Not Functioning">
      <formula>LEFT(F33,LEN("Not Functioning"))="Not Functioning"</formula>
    </cfRule>
    <cfRule type="containsText" dxfId="7175" priority="288" operator="containsText" text="Functioning">
      <formula>NOT(ISERROR(SEARCH("Functioning",F33)))</formula>
    </cfRule>
  </conditionalFormatting>
  <conditionalFormatting sqref="F21">
    <cfRule type="beginsWith" dxfId="7174" priority="283" stopIfTrue="1" operator="beginsWith" text="Functioning At Risk">
      <formula>LEFT(F21,LEN("Functioning At Risk"))="Functioning At Risk"</formula>
    </cfRule>
    <cfRule type="beginsWith" dxfId="7173" priority="284" stopIfTrue="1" operator="beginsWith" text="Not Functioning">
      <formula>LEFT(F21,LEN("Not Functioning"))="Not Functioning"</formula>
    </cfRule>
    <cfRule type="containsText" dxfId="7172" priority="285" operator="containsText" text="Functioning">
      <formula>NOT(ISERROR(SEARCH("Functioning",F21)))</formula>
    </cfRule>
  </conditionalFormatting>
  <conditionalFormatting sqref="F7:F8">
    <cfRule type="beginsWith" dxfId="7171" priority="280" stopIfTrue="1" operator="beginsWith" text="Functioning At Risk">
      <formula>LEFT(F7,LEN("Functioning At Risk"))="Functioning At Risk"</formula>
    </cfRule>
    <cfRule type="beginsWith" dxfId="7170" priority="281" stopIfTrue="1" operator="beginsWith" text="Not Functioning">
      <formula>LEFT(F7,LEN("Not Functioning"))="Not Functioning"</formula>
    </cfRule>
    <cfRule type="containsText" dxfId="7169" priority="282" operator="containsText" text="Functioning">
      <formula>NOT(ISERROR(SEARCH("Functioning",F7)))</formula>
    </cfRule>
  </conditionalFormatting>
  <conditionalFormatting sqref="F10">
    <cfRule type="beginsWith" dxfId="7168" priority="277" stopIfTrue="1" operator="beginsWith" text="Functioning At Risk">
      <formula>LEFT(F10,LEN("Functioning At Risk"))="Functioning At Risk"</formula>
    </cfRule>
    <cfRule type="beginsWith" dxfId="7167" priority="278" stopIfTrue="1" operator="beginsWith" text="Not Functioning">
      <formula>LEFT(F10,LEN("Not Functioning"))="Not Functioning"</formula>
    </cfRule>
    <cfRule type="containsText" dxfId="7166" priority="279" operator="containsText" text="Functioning">
      <formula>NOT(ISERROR(SEARCH("Functioning",F10)))</formula>
    </cfRule>
  </conditionalFormatting>
  <conditionalFormatting sqref="F25">
    <cfRule type="beginsWith" dxfId="7165" priority="274" stopIfTrue="1" operator="beginsWith" text="Functioning At Risk">
      <formula>LEFT(F25,LEN("Functioning At Risk"))="Functioning At Risk"</formula>
    </cfRule>
    <cfRule type="beginsWith" dxfId="7164" priority="275" stopIfTrue="1" operator="beginsWith" text="Not Functioning">
      <formula>LEFT(F25,LEN("Not Functioning"))="Not Functioning"</formula>
    </cfRule>
    <cfRule type="containsText" dxfId="7163" priority="276" operator="containsText" text="Functioning">
      <formula>NOT(ISERROR(SEARCH("Functioning",F25)))</formula>
    </cfRule>
  </conditionalFormatting>
  <conditionalFormatting sqref="F22">
    <cfRule type="beginsWith" dxfId="7162" priority="271" stopIfTrue="1" operator="beginsWith" text="Functioning At Risk">
      <formula>LEFT(F22,LEN("Functioning At Risk"))="Functioning At Risk"</formula>
    </cfRule>
    <cfRule type="beginsWith" dxfId="7161" priority="272" stopIfTrue="1" operator="beginsWith" text="Not Functioning">
      <formula>LEFT(F22,LEN("Not Functioning"))="Not Functioning"</formula>
    </cfRule>
    <cfRule type="containsText" dxfId="7160" priority="273" operator="containsText" text="Functioning">
      <formula>NOT(ISERROR(SEARCH("Functioning",F22)))</formula>
    </cfRule>
  </conditionalFormatting>
  <conditionalFormatting sqref="F67 F44:F45 F52:F55">
    <cfRule type="beginsWith" dxfId="7159" priority="268" stopIfTrue="1" operator="beginsWith" text="Functioning At Risk">
      <formula>LEFT(F44,LEN("Functioning At Risk"))="Functioning At Risk"</formula>
    </cfRule>
    <cfRule type="beginsWith" dxfId="7158" priority="269" stopIfTrue="1" operator="beginsWith" text="Not Functioning">
      <formula>LEFT(F44,LEN("Not Functioning"))="Not Functioning"</formula>
    </cfRule>
    <cfRule type="containsText" dxfId="7157" priority="270" operator="containsText" text="Functioning">
      <formula>NOT(ISERROR(SEARCH("Functioning",F44)))</formula>
    </cfRule>
  </conditionalFormatting>
  <conditionalFormatting sqref="F56:F57">
    <cfRule type="beginsWith" dxfId="7156" priority="265" stopIfTrue="1" operator="beginsWith" text="Functioning At Risk">
      <formula>LEFT(F56,LEN("Functioning At Risk"))="Functioning At Risk"</formula>
    </cfRule>
    <cfRule type="beginsWith" dxfId="7155" priority="266" stopIfTrue="1" operator="beginsWith" text="Not Functioning">
      <formula>LEFT(F56,LEN("Not Functioning"))="Not Functioning"</formula>
    </cfRule>
    <cfRule type="containsText" dxfId="7154" priority="267" operator="containsText" text="Functioning">
      <formula>NOT(ISERROR(SEARCH("Functioning",F56)))</formula>
    </cfRule>
  </conditionalFormatting>
  <conditionalFormatting sqref="F76:F77">
    <cfRule type="beginsWith" dxfId="7153" priority="262" stopIfTrue="1" operator="beginsWith" text="Functioning At Risk">
      <formula>LEFT(F76,LEN("Functioning At Risk"))="Functioning At Risk"</formula>
    </cfRule>
    <cfRule type="beginsWith" dxfId="7152" priority="263" stopIfTrue="1" operator="beginsWith" text="Not Functioning">
      <formula>LEFT(F76,LEN("Not Functioning"))="Not Functioning"</formula>
    </cfRule>
    <cfRule type="containsText" dxfId="7151" priority="264" operator="containsText" text="Functioning">
      <formula>NOT(ISERROR(SEARCH("Functioning",F76)))</formula>
    </cfRule>
  </conditionalFormatting>
  <conditionalFormatting sqref="F72:F75">
    <cfRule type="beginsWith" dxfId="7150" priority="259" stopIfTrue="1" operator="beginsWith" text="Functioning At Risk">
      <formula>LEFT(F72,LEN("Functioning At Risk"))="Functioning At Risk"</formula>
    </cfRule>
    <cfRule type="beginsWith" dxfId="7149" priority="260" stopIfTrue="1" operator="beginsWith" text="Not Functioning">
      <formula>LEFT(F72,LEN("Not Functioning"))="Not Functioning"</formula>
    </cfRule>
    <cfRule type="containsText" dxfId="7148" priority="261" operator="containsText" text="Functioning">
      <formula>NOT(ISERROR(SEARCH("Functioning",F72)))</formula>
    </cfRule>
  </conditionalFormatting>
  <conditionalFormatting sqref="F60">
    <cfRule type="beginsWith" dxfId="7147" priority="256" stopIfTrue="1" operator="beginsWith" text="Functioning At Risk">
      <formula>LEFT(F60,LEN("Functioning At Risk"))="Functioning At Risk"</formula>
    </cfRule>
    <cfRule type="beginsWith" dxfId="7146" priority="257" stopIfTrue="1" operator="beginsWith" text="Not Functioning">
      <formula>LEFT(F60,LEN("Not Functioning"))="Not Functioning"</formula>
    </cfRule>
    <cfRule type="containsText" dxfId="7145" priority="258" operator="containsText" text="Functioning">
      <formula>NOT(ISERROR(SEARCH("Functioning",F60)))</formula>
    </cfRule>
  </conditionalFormatting>
  <conditionalFormatting sqref="F46:F47">
    <cfRule type="beginsWith" dxfId="7144" priority="253" stopIfTrue="1" operator="beginsWith" text="Functioning At Risk">
      <formula>LEFT(F46,LEN("Functioning At Risk"))="Functioning At Risk"</formula>
    </cfRule>
    <cfRule type="beginsWith" dxfId="7143" priority="254" stopIfTrue="1" operator="beginsWith" text="Not Functioning">
      <formula>LEFT(F46,LEN("Not Functioning"))="Not Functioning"</formula>
    </cfRule>
    <cfRule type="containsText" dxfId="7142" priority="255" operator="containsText" text="Functioning">
      <formula>NOT(ISERROR(SEARCH("Functioning",F46)))</formula>
    </cfRule>
  </conditionalFormatting>
  <conditionalFormatting sqref="F49">
    <cfRule type="beginsWith" dxfId="7141" priority="250" stopIfTrue="1" operator="beginsWith" text="Functioning At Risk">
      <formula>LEFT(F49,LEN("Functioning At Risk"))="Functioning At Risk"</formula>
    </cfRule>
    <cfRule type="beginsWith" dxfId="7140" priority="251" stopIfTrue="1" operator="beginsWith" text="Not Functioning">
      <formula>LEFT(F49,LEN("Not Functioning"))="Not Functioning"</formula>
    </cfRule>
    <cfRule type="containsText" dxfId="7139" priority="252" operator="containsText" text="Functioning">
      <formula>NOT(ISERROR(SEARCH("Functioning",F49)))</formula>
    </cfRule>
  </conditionalFormatting>
  <conditionalFormatting sqref="F64">
    <cfRule type="beginsWith" dxfId="7138" priority="247" stopIfTrue="1" operator="beginsWith" text="Functioning At Risk">
      <formula>LEFT(F64,LEN("Functioning At Risk"))="Functioning At Risk"</formula>
    </cfRule>
    <cfRule type="beginsWith" dxfId="7137" priority="248" stopIfTrue="1" operator="beginsWith" text="Not Functioning">
      <formula>LEFT(F64,LEN("Not Functioning"))="Not Functioning"</formula>
    </cfRule>
    <cfRule type="containsText" dxfId="7136" priority="249" operator="containsText" text="Functioning">
      <formula>NOT(ISERROR(SEARCH("Functioning",F64)))</formula>
    </cfRule>
  </conditionalFormatting>
  <conditionalFormatting sqref="F61">
    <cfRule type="beginsWith" dxfId="7135" priority="244" stopIfTrue="1" operator="beginsWith" text="Functioning At Risk">
      <formula>LEFT(F61,LEN("Functioning At Risk"))="Functioning At Risk"</formula>
    </cfRule>
    <cfRule type="beginsWith" dxfId="7134" priority="245" stopIfTrue="1" operator="beginsWith" text="Not Functioning">
      <formula>LEFT(F61,LEN("Not Functioning"))="Not Functioning"</formula>
    </cfRule>
    <cfRule type="containsText" dxfId="7133" priority="246" operator="containsText" text="Functioning">
      <formula>NOT(ISERROR(SEARCH("Functioning",F61)))</formula>
    </cfRule>
  </conditionalFormatting>
  <conditionalFormatting sqref="F106 F83:F84 F91:F94">
    <cfRule type="beginsWith" dxfId="7132" priority="241" stopIfTrue="1" operator="beginsWith" text="Functioning At Risk">
      <formula>LEFT(F83,LEN("Functioning At Risk"))="Functioning At Risk"</formula>
    </cfRule>
    <cfRule type="beginsWith" dxfId="7131" priority="242" stopIfTrue="1" operator="beginsWith" text="Not Functioning">
      <formula>LEFT(F83,LEN("Not Functioning"))="Not Functioning"</formula>
    </cfRule>
    <cfRule type="containsText" dxfId="7130" priority="243" operator="containsText" text="Functioning">
      <formula>NOT(ISERROR(SEARCH("Functioning",F83)))</formula>
    </cfRule>
  </conditionalFormatting>
  <conditionalFormatting sqref="F95:F96">
    <cfRule type="beginsWith" dxfId="7129" priority="238" stopIfTrue="1" operator="beginsWith" text="Functioning At Risk">
      <formula>LEFT(F95,LEN("Functioning At Risk"))="Functioning At Risk"</formula>
    </cfRule>
    <cfRule type="beginsWith" dxfId="7128" priority="239" stopIfTrue="1" operator="beginsWith" text="Not Functioning">
      <formula>LEFT(F95,LEN("Not Functioning"))="Not Functioning"</formula>
    </cfRule>
    <cfRule type="containsText" dxfId="7127" priority="240" operator="containsText" text="Functioning">
      <formula>NOT(ISERROR(SEARCH("Functioning",F95)))</formula>
    </cfRule>
  </conditionalFormatting>
  <conditionalFormatting sqref="F115:F116">
    <cfRule type="beginsWith" dxfId="7126" priority="235" stopIfTrue="1" operator="beginsWith" text="Functioning At Risk">
      <formula>LEFT(F115,LEN("Functioning At Risk"))="Functioning At Risk"</formula>
    </cfRule>
    <cfRule type="beginsWith" dxfId="7125" priority="236" stopIfTrue="1" operator="beginsWith" text="Not Functioning">
      <formula>LEFT(F115,LEN("Not Functioning"))="Not Functioning"</formula>
    </cfRule>
    <cfRule type="containsText" dxfId="7124" priority="237" operator="containsText" text="Functioning">
      <formula>NOT(ISERROR(SEARCH("Functioning",F115)))</formula>
    </cfRule>
  </conditionalFormatting>
  <conditionalFormatting sqref="F111:F114">
    <cfRule type="beginsWith" dxfId="7123" priority="232" stopIfTrue="1" operator="beginsWith" text="Functioning At Risk">
      <formula>LEFT(F111,LEN("Functioning At Risk"))="Functioning At Risk"</formula>
    </cfRule>
    <cfRule type="beginsWith" dxfId="7122" priority="233" stopIfTrue="1" operator="beginsWith" text="Not Functioning">
      <formula>LEFT(F111,LEN("Not Functioning"))="Not Functioning"</formula>
    </cfRule>
    <cfRule type="containsText" dxfId="7121" priority="234" operator="containsText" text="Functioning">
      <formula>NOT(ISERROR(SEARCH("Functioning",F111)))</formula>
    </cfRule>
  </conditionalFormatting>
  <conditionalFormatting sqref="F99">
    <cfRule type="beginsWith" dxfId="7120" priority="229" stopIfTrue="1" operator="beginsWith" text="Functioning At Risk">
      <formula>LEFT(F99,LEN("Functioning At Risk"))="Functioning At Risk"</formula>
    </cfRule>
    <cfRule type="beginsWith" dxfId="7119" priority="230" stopIfTrue="1" operator="beginsWith" text="Not Functioning">
      <formula>LEFT(F99,LEN("Not Functioning"))="Not Functioning"</formula>
    </cfRule>
    <cfRule type="containsText" dxfId="7118" priority="231" operator="containsText" text="Functioning">
      <formula>NOT(ISERROR(SEARCH("Functioning",F99)))</formula>
    </cfRule>
  </conditionalFormatting>
  <conditionalFormatting sqref="F85:F86">
    <cfRule type="beginsWith" dxfId="7117" priority="226" stopIfTrue="1" operator="beginsWith" text="Functioning At Risk">
      <formula>LEFT(F85,LEN("Functioning At Risk"))="Functioning At Risk"</formula>
    </cfRule>
    <cfRule type="beginsWith" dxfId="7116" priority="227" stopIfTrue="1" operator="beginsWith" text="Not Functioning">
      <formula>LEFT(F85,LEN("Not Functioning"))="Not Functioning"</formula>
    </cfRule>
    <cfRule type="containsText" dxfId="7115" priority="228" operator="containsText" text="Functioning">
      <formula>NOT(ISERROR(SEARCH("Functioning",F85)))</formula>
    </cfRule>
  </conditionalFormatting>
  <conditionalFormatting sqref="F88">
    <cfRule type="beginsWith" dxfId="7114" priority="223" stopIfTrue="1" operator="beginsWith" text="Functioning At Risk">
      <formula>LEFT(F88,LEN("Functioning At Risk"))="Functioning At Risk"</formula>
    </cfRule>
    <cfRule type="beginsWith" dxfId="7113" priority="224" stopIfTrue="1" operator="beginsWith" text="Not Functioning">
      <formula>LEFT(F88,LEN("Not Functioning"))="Not Functioning"</formula>
    </cfRule>
    <cfRule type="containsText" dxfId="7112" priority="225" operator="containsText" text="Functioning">
      <formula>NOT(ISERROR(SEARCH("Functioning",F88)))</formula>
    </cfRule>
  </conditionalFormatting>
  <conditionalFormatting sqref="F103">
    <cfRule type="beginsWith" dxfId="7111" priority="220" stopIfTrue="1" operator="beginsWith" text="Functioning At Risk">
      <formula>LEFT(F103,LEN("Functioning At Risk"))="Functioning At Risk"</formula>
    </cfRule>
    <cfRule type="beginsWith" dxfId="7110" priority="221" stopIfTrue="1" operator="beginsWith" text="Not Functioning">
      <formula>LEFT(F103,LEN("Not Functioning"))="Not Functioning"</formula>
    </cfRule>
    <cfRule type="containsText" dxfId="7109" priority="222" operator="containsText" text="Functioning">
      <formula>NOT(ISERROR(SEARCH("Functioning",F103)))</formula>
    </cfRule>
  </conditionalFormatting>
  <conditionalFormatting sqref="F100">
    <cfRule type="beginsWith" dxfId="7108" priority="217" stopIfTrue="1" operator="beginsWith" text="Functioning At Risk">
      <formula>LEFT(F100,LEN("Functioning At Risk"))="Functioning At Risk"</formula>
    </cfRule>
    <cfRule type="beginsWith" dxfId="7107" priority="218" stopIfTrue="1" operator="beginsWith" text="Not Functioning">
      <formula>LEFT(F100,LEN("Not Functioning"))="Not Functioning"</formula>
    </cfRule>
    <cfRule type="containsText" dxfId="7106" priority="219" operator="containsText" text="Functioning">
      <formula>NOT(ISERROR(SEARCH("Functioning",F100)))</formula>
    </cfRule>
  </conditionalFormatting>
  <conditionalFormatting sqref="F145 F122:F123 F130:F133">
    <cfRule type="beginsWith" dxfId="7105" priority="214" stopIfTrue="1" operator="beginsWith" text="Functioning At Risk">
      <formula>LEFT(F122,LEN("Functioning At Risk"))="Functioning At Risk"</formula>
    </cfRule>
    <cfRule type="beginsWith" dxfId="7104" priority="215" stopIfTrue="1" operator="beginsWith" text="Not Functioning">
      <formula>LEFT(F122,LEN("Not Functioning"))="Not Functioning"</formula>
    </cfRule>
    <cfRule type="containsText" dxfId="7103" priority="216" operator="containsText" text="Functioning">
      <formula>NOT(ISERROR(SEARCH("Functioning",F122)))</formula>
    </cfRule>
  </conditionalFormatting>
  <conditionalFormatting sqref="F134:F135">
    <cfRule type="beginsWith" dxfId="7102" priority="211" stopIfTrue="1" operator="beginsWith" text="Functioning At Risk">
      <formula>LEFT(F134,LEN("Functioning At Risk"))="Functioning At Risk"</formula>
    </cfRule>
    <cfRule type="beginsWith" dxfId="7101" priority="212" stopIfTrue="1" operator="beginsWith" text="Not Functioning">
      <formula>LEFT(F134,LEN("Not Functioning"))="Not Functioning"</formula>
    </cfRule>
    <cfRule type="containsText" dxfId="7100" priority="213" operator="containsText" text="Functioning">
      <formula>NOT(ISERROR(SEARCH("Functioning",F134)))</formula>
    </cfRule>
  </conditionalFormatting>
  <conditionalFormatting sqref="F154:F155">
    <cfRule type="beginsWith" dxfId="7099" priority="208" stopIfTrue="1" operator="beginsWith" text="Functioning At Risk">
      <formula>LEFT(F154,LEN("Functioning At Risk"))="Functioning At Risk"</formula>
    </cfRule>
    <cfRule type="beginsWith" dxfId="7098" priority="209" stopIfTrue="1" operator="beginsWith" text="Not Functioning">
      <formula>LEFT(F154,LEN("Not Functioning"))="Not Functioning"</formula>
    </cfRule>
    <cfRule type="containsText" dxfId="7097" priority="210" operator="containsText" text="Functioning">
      <formula>NOT(ISERROR(SEARCH("Functioning",F154)))</formula>
    </cfRule>
  </conditionalFormatting>
  <conditionalFormatting sqref="F150:F153">
    <cfRule type="beginsWith" dxfId="7096" priority="205" stopIfTrue="1" operator="beginsWith" text="Functioning At Risk">
      <formula>LEFT(F150,LEN("Functioning At Risk"))="Functioning At Risk"</formula>
    </cfRule>
    <cfRule type="beginsWith" dxfId="7095" priority="206" stopIfTrue="1" operator="beginsWith" text="Not Functioning">
      <formula>LEFT(F150,LEN("Not Functioning"))="Not Functioning"</formula>
    </cfRule>
    <cfRule type="containsText" dxfId="7094" priority="207" operator="containsText" text="Functioning">
      <formula>NOT(ISERROR(SEARCH("Functioning",F150)))</formula>
    </cfRule>
  </conditionalFormatting>
  <conditionalFormatting sqref="F138">
    <cfRule type="beginsWith" dxfId="7093" priority="202" stopIfTrue="1" operator="beginsWith" text="Functioning At Risk">
      <formula>LEFT(F138,LEN("Functioning At Risk"))="Functioning At Risk"</formula>
    </cfRule>
    <cfRule type="beginsWith" dxfId="7092" priority="203" stopIfTrue="1" operator="beginsWith" text="Not Functioning">
      <formula>LEFT(F138,LEN("Not Functioning"))="Not Functioning"</formula>
    </cfRule>
    <cfRule type="containsText" dxfId="7091" priority="204" operator="containsText" text="Functioning">
      <formula>NOT(ISERROR(SEARCH("Functioning",F138)))</formula>
    </cfRule>
  </conditionalFormatting>
  <conditionalFormatting sqref="F124:F125">
    <cfRule type="beginsWith" dxfId="7090" priority="199" stopIfTrue="1" operator="beginsWith" text="Functioning At Risk">
      <formula>LEFT(F124,LEN("Functioning At Risk"))="Functioning At Risk"</formula>
    </cfRule>
    <cfRule type="beginsWith" dxfId="7089" priority="200" stopIfTrue="1" operator="beginsWith" text="Not Functioning">
      <formula>LEFT(F124,LEN("Not Functioning"))="Not Functioning"</formula>
    </cfRule>
    <cfRule type="containsText" dxfId="7088" priority="201" operator="containsText" text="Functioning">
      <formula>NOT(ISERROR(SEARCH("Functioning",F124)))</formula>
    </cfRule>
  </conditionalFormatting>
  <conditionalFormatting sqref="F127">
    <cfRule type="beginsWith" dxfId="7087" priority="196" stopIfTrue="1" operator="beginsWith" text="Functioning At Risk">
      <formula>LEFT(F127,LEN("Functioning At Risk"))="Functioning At Risk"</formula>
    </cfRule>
    <cfRule type="beginsWith" dxfId="7086" priority="197" stopIfTrue="1" operator="beginsWith" text="Not Functioning">
      <formula>LEFT(F127,LEN("Not Functioning"))="Not Functioning"</formula>
    </cfRule>
    <cfRule type="containsText" dxfId="7085" priority="198" operator="containsText" text="Functioning">
      <formula>NOT(ISERROR(SEARCH("Functioning",F127)))</formula>
    </cfRule>
  </conditionalFormatting>
  <conditionalFormatting sqref="F142">
    <cfRule type="beginsWith" dxfId="7084" priority="193" stopIfTrue="1" operator="beginsWith" text="Functioning At Risk">
      <formula>LEFT(F142,LEN("Functioning At Risk"))="Functioning At Risk"</formula>
    </cfRule>
    <cfRule type="beginsWith" dxfId="7083" priority="194" stopIfTrue="1" operator="beginsWith" text="Not Functioning">
      <formula>LEFT(F142,LEN("Not Functioning"))="Not Functioning"</formula>
    </cfRule>
    <cfRule type="containsText" dxfId="7082" priority="195" operator="containsText" text="Functioning">
      <formula>NOT(ISERROR(SEARCH("Functioning",F142)))</formula>
    </cfRule>
  </conditionalFormatting>
  <conditionalFormatting sqref="F139">
    <cfRule type="beginsWith" dxfId="7081" priority="190" stopIfTrue="1" operator="beginsWith" text="Functioning At Risk">
      <formula>LEFT(F139,LEN("Functioning At Risk"))="Functioning At Risk"</formula>
    </cfRule>
    <cfRule type="beginsWith" dxfId="7080" priority="191" stopIfTrue="1" operator="beginsWith" text="Not Functioning">
      <formula>LEFT(F139,LEN("Not Functioning"))="Not Functioning"</formula>
    </cfRule>
    <cfRule type="containsText" dxfId="7079" priority="192" operator="containsText" text="Functioning">
      <formula>NOT(ISERROR(SEARCH("Functioning",F139)))</formula>
    </cfRule>
  </conditionalFormatting>
  <conditionalFormatting sqref="F184 F161:F162 F169:F172">
    <cfRule type="beginsWith" dxfId="7078" priority="187" stopIfTrue="1" operator="beginsWith" text="Functioning At Risk">
      <formula>LEFT(F161,LEN("Functioning At Risk"))="Functioning At Risk"</formula>
    </cfRule>
    <cfRule type="beginsWith" dxfId="7077" priority="188" stopIfTrue="1" operator="beginsWith" text="Not Functioning">
      <formula>LEFT(F161,LEN("Not Functioning"))="Not Functioning"</formula>
    </cfRule>
    <cfRule type="containsText" dxfId="7076" priority="189" operator="containsText" text="Functioning">
      <formula>NOT(ISERROR(SEARCH("Functioning",F161)))</formula>
    </cfRule>
  </conditionalFormatting>
  <conditionalFormatting sqref="F173:F174">
    <cfRule type="beginsWith" dxfId="7075" priority="184" stopIfTrue="1" operator="beginsWith" text="Functioning At Risk">
      <formula>LEFT(F173,LEN("Functioning At Risk"))="Functioning At Risk"</formula>
    </cfRule>
    <cfRule type="beginsWith" dxfId="7074" priority="185" stopIfTrue="1" operator="beginsWith" text="Not Functioning">
      <formula>LEFT(F173,LEN("Not Functioning"))="Not Functioning"</formula>
    </cfRule>
    <cfRule type="containsText" dxfId="7073" priority="186" operator="containsText" text="Functioning">
      <formula>NOT(ISERROR(SEARCH("Functioning",F173)))</formula>
    </cfRule>
  </conditionalFormatting>
  <conditionalFormatting sqref="F193:F194">
    <cfRule type="beginsWith" dxfId="7072" priority="181" stopIfTrue="1" operator="beginsWith" text="Functioning At Risk">
      <formula>LEFT(F193,LEN("Functioning At Risk"))="Functioning At Risk"</formula>
    </cfRule>
    <cfRule type="beginsWith" dxfId="7071" priority="182" stopIfTrue="1" operator="beginsWith" text="Not Functioning">
      <formula>LEFT(F193,LEN("Not Functioning"))="Not Functioning"</formula>
    </cfRule>
    <cfRule type="containsText" dxfId="7070" priority="183" operator="containsText" text="Functioning">
      <formula>NOT(ISERROR(SEARCH("Functioning",F193)))</formula>
    </cfRule>
  </conditionalFormatting>
  <conditionalFormatting sqref="F189:F192">
    <cfRule type="beginsWith" dxfId="7069" priority="178" stopIfTrue="1" operator="beginsWith" text="Functioning At Risk">
      <formula>LEFT(F189,LEN("Functioning At Risk"))="Functioning At Risk"</formula>
    </cfRule>
    <cfRule type="beginsWith" dxfId="7068" priority="179" stopIfTrue="1" operator="beginsWith" text="Not Functioning">
      <formula>LEFT(F189,LEN("Not Functioning"))="Not Functioning"</formula>
    </cfRule>
    <cfRule type="containsText" dxfId="7067" priority="180" operator="containsText" text="Functioning">
      <formula>NOT(ISERROR(SEARCH("Functioning",F189)))</formula>
    </cfRule>
  </conditionalFormatting>
  <conditionalFormatting sqref="F177">
    <cfRule type="beginsWith" dxfId="7066" priority="175" stopIfTrue="1" operator="beginsWith" text="Functioning At Risk">
      <formula>LEFT(F177,LEN("Functioning At Risk"))="Functioning At Risk"</formula>
    </cfRule>
    <cfRule type="beginsWith" dxfId="7065" priority="176" stopIfTrue="1" operator="beginsWith" text="Not Functioning">
      <formula>LEFT(F177,LEN("Not Functioning"))="Not Functioning"</formula>
    </cfRule>
    <cfRule type="containsText" dxfId="7064" priority="177" operator="containsText" text="Functioning">
      <formula>NOT(ISERROR(SEARCH("Functioning",F177)))</formula>
    </cfRule>
  </conditionalFormatting>
  <conditionalFormatting sqref="F163:F164">
    <cfRule type="beginsWith" dxfId="7063" priority="172" stopIfTrue="1" operator="beginsWith" text="Functioning At Risk">
      <formula>LEFT(F163,LEN("Functioning At Risk"))="Functioning At Risk"</formula>
    </cfRule>
    <cfRule type="beginsWith" dxfId="7062" priority="173" stopIfTrue="1" operator="beginsWith" text="Not Functioning">
      <formula>LEFT(F163,LEN("Not Functioning"))="Not Functioning"</formula>
    </cfRule>
    <cfRule type="containsText" dxfId="7061" priority="174" operator="containsText" text="Functioning">
      <formula>NOT(ISERROR(SEARCH("Functioning",F163)))</formula>
    </cfRule>
  </conditionalFormatting>
  <conditionalFormatting sqref="F166">
    <cfRule type="beginsWith" dxfId="7060" priority="169" stopIfTrue="1" operator="beginsWith" text="Functioning At Risk">
      <formula>LEFT(F166,LEN("Functioning At Risk"))="Functioning At Risk"</formula>
    </cfRule>
    <cfRule type="beginsWith" dxfId="7059" priority="170" stopIfTrue="1" operator="beginsWith" text="Not Functioning">
      <formula>LEFT(F166,LEN("Not Functioning"))="Not Functioning"</formula>
    </cfRule>
    <cfRule type="containsText" dxfId="7058" priority="171" operator="containsText" text="Functioning">
      <formula>NOT(ISERROR(SEARCH("Functioning",F166)))</formula>
    </cfRule>
  </conditionalFormatting>
  <conditionalFormatting sqref="F181">
    <cfRule type="beginsWith" dxfId="7057" priority="166" stopIfTrue="1" operator="beginsWith" text="Functioning At Risk">
      <formula>LEFT(F181,LEN("Functioning At Risk"))="Functioning At Risk"</formula>
    </cfRule>
    <cfRule type="beginsWith" dxfId="7056" priority="167" stopIfTrue="1" operator="beginsWith" text="Not Functioning">
      <formula>LEFT(F181,LEN("Not Functioning"))="Not Functioning"</formula>
    </cfRule>
    <cfRule type="containsText" dxfId="7055" priority="168" operator="containsText" text="Functioning">
      <formula>NOT(ISERROR(SEARCH("Functioning",F181)))</formula>
    </cfRule>
  </conditionalFormatting>
  <conditionalFormatting sqref="F178">
    <cfRule type="beginsWith" dxfId="7054" priority="163" stopIfTrue="1" operator="beginsWith" text="Functioning At Risk">
      <formula>LEFT(F178,LEN("Functioning At Risk"))="Functioning At Risk"</formula>
    </cfRule>
    <cfRule type="beginsWith" dxfId="7053" priority="164" stopIfTrue="1" operator="beginsWith" text="Not Functioning">
      <formula>LEFT(F178,LEN("Not Functioning"))="Not Functioning"</formula>
    </cfRule>
    <cfRule type="containsText" dxfId="7052" priority="165" operator="containsText" text="Functioning">
      <formula>NOT(ISERROR(SEARCH("Functioning",F178)))</formula>
    </cfRule>
  </conditionalFormatting>
  <conditionalFormatting sqref="F223 F200:F201 F208:F211">
    <cfRule type="beginsWith" dxfId="7051" priority="160" stopIfTrue="1" operator="beginsWith" text="Functioning At Risk">
      <formula>LEFT(F200,LEN("Functioning At Risk"))="Functioning At Risk"</formula>
    </cfRule>
    <cfRule type="beginsWith" dxfId="7050" priority="161" stopIfTrue="1" operator="beginsWith" text="Not Functioning">
      <formula>LEFT(F200,LEN("Not Functioning"))="Not Functioning"</formula>
    </cfRule>
    <cfRule type="containsText" dxfId="7049" priority="162" operator="containsText" text="Functioning">
      <formula>NOT(ISERROR(SEARCH("Functioning",F200)))</formula>
    </cfRule>
  </conditionalFormatting>
  <conditionalFormatting sqref="F212:F213">
    <cfRule type="beginsWith" dxfId="7048" priority="157" stopIfTrue="1" operator="beginsWith" text="Functioning At Risk">
      <formula>LEFT(F212,LEN("Functioning At Risk"))="Functioning At Risk"</formula>
    </cfRule>
    <cfRule type="beginsWith" dxfId="7047" priority="158" stopIfTrue="1" operator="beginsWith" text="Not Functioning">
      <formula>LEFT(F212,LEN("Not Functioning"))="Not Functioning"</formula>
    </cfRule>
    <cfRule type="containsText" dxfId="7046" priority="159" operator="containsText" text="Functioning">
      <formula>NOT(ISERROR(SEARCH("Functioning",F212)))</formula>
    </cfRule>
  </conditionalFormatting>
  <conditionalFormatting sqref="F232:F233">
    <cfRule type="beginsWith" dxfId="7045" priority="154" stopIfTrue="1" operator="beginsWith" text="Functioning At Risk">
      <formula>LEFT(F232,LEN("Functioning At Risk"))="Functioning At Risk"</formula>
    </cfRule>
    <cfRule type="beginsWith" dxfId="7044" priority="155" stopIfTrue="1" operator="beginsWith" text="Not Functioning">
      <formula>LEFT(F232,LEN("Not Functioning"))="Not Functioning"</formula>
    </cfRule>
    <cfRule type="containsText" dxfId="7043" priority="156" operator="containsText" text="Functioning">
      <formula>NOT(ISERROR(SEARCH("Functioning",F232)))</formula>
    </cfRule>
  </conditionalFormatting>
  <conditionalFormatting sqref="F228:F231">
    <cfRule type="beginsWith" dxfId="7042" priority="151" stopIfTrue="1" operator="beginsWith" text="Functioning At Risk">
      <formula>LEFT(F228,LEN("Functioning At Risk"))="Functioning At Risk"</formula>
    </cfRule>
    <cfRule type="beginsWith" dxfId="7041" priority="152" stopIfTrue="1" operator="beginsWith" text="Not Functioning">
      <formula>LEFT(F228,LEN("Not Functioning"))="Not Functioning"</formula>
    </cfRule>
    <cfRule type="containsText" dxfId="7040" priority="153" operator="containsText" text="Functioning">
      <formula>NOT(ISERROR(SEARCH("Functioning",F228)))</formula>
    </cfRule>
  </conditionalFormatting>
  <conditionalFormatting sqref="F216">
    <cfRule type="beginsWith" dxfId="7039" priority="148" stopIfTrue="1" operator="beginsWith" text="Functioning At Risk">
      <formula>LEFT(F216,LEN("Functioning At Risk"))="Functioning At Risk"</formula>
    </cfRule>
    <cfRule type="beginsWith" dxfId="7038" priority="149" stopIfTrue="1" operator="beginsWith" text="Not Functioning">
      <formula>LEFT(F216,LEN("Not Functioning"))="Not Functioning"</formula>
    </cfRule>
    <cfRule type="containsText" dxfId="7037" priority="150" operator="containsText" text="Functioning">
      <formula>NOT(ISERROR(SEARCH("Functioning",F216)))</formula>
    </cfRule>
  </conditionalFormatting>
  <conditionalFormatting sqref="F202:F203">
    <cfRule type="beginsWith" dxfId="7036" priority="145" stopIfTrue="1" operator="beginsWith" text="Functioning At Risk">
      <formula>LEFT(F202,LEN("Functioning At Risk"))="Functioning At Risk"</formula>
    </cfRule>
    <cfRule type="beginsWith" dxfId="7035" priority="146" stopIfTrue="1" operator="beginsWith" text="Not Functioning">
      <formula>LEFT(F202,LEN("Not Functioning"))="Not Functioning"</formula>
    </cfRule>
    <cfRule type="containsText" dxfId="7034" priority="147" operator="containsText" text="Functioning">
      <formula>NOT(ISERROR(SEARCH("Functioning",F202)))</formula>
    </cfRule>
  </conditionalFormatting>
  <conditionalFormatting sqref="F205">
    <cfRule type="beginsWith" dxfId="7033" priority="142" stopIfTrue="1" operator="beginsWith" text="Functioning At Risk">
      <formula>LEFT(F205,LEN("Functioning At Risk"))="Functioning At Risk"</formula>
    </cfRule>
    <cfRule type="beginsWith" dxfId="7032" priority="143" stopIfTrue="1" operator="beginsWith" text="Not Functioning">
      <formula>LEFT(F205,LEN("Not Functioning"))="Not Functioning"</formula>
    </cfRule>
    <cfRule type="containsText" dxfId="7031" priority="144" operator="containsText" text="Functioning">
      <formula>NOT(ISERROR(SEARCH("Functioning",F205)))</formula>
    </cfRule>
  </conditionalFormatting>
  <conditionalFormatting sqref="F220">
    <cfRule type="beginsWith" dxfId="7030" priority="139" stopIfTrue="1" operator="beginsWith" text="Functioning At Risk">
      <formula>LEFT(F220,LEN("Functioning At Risk"))="Functioning At Risk"</formula>
    </cfRule>
    <cfRule type="beginsWith" dxfId="7029" priority="140" stopIfTrue="1" operator="beginsWith" text="Not Functioning">
      <formula>LEFT(F220,LEN("Not Functioning"))="Not Functioning"</formula>
    </cfRule>
    <cfRule type="containsText" dxfId="7028" priority="141" operator="containsText" text="Functioning">
      <formula>NOT(ISERROR(SEARCH("Functioning",F220)))</formula>
    </cfRule>
  </conditionalFormatting>
  <conditionalFormatting sqref="F217">
    <cfRule type="beginsWith" dxfId="7027" priority="136" stopIfTrue="1" operator="beginsWith" text="Functioning At Risk">
      <formula>LEFT(F217,LEN("Functioning At Risk"))="Functioning At Risk"</formula>
    </cfRule>
    <cfRule type="beginsWith" dxfId="7026" priority="137" stopIfTrue="1" operator="beginsWith" text="Not Functioning">
      <formula>LEFT(F217,LEN("Not Functioning"))="Not Functioning"</formula>
    </cfRule>
    <cfRule type="containsText" dxfId="7025" priority="138" operator="containsText" text="Functioning">
      <formula>NOT(ISERROR(SEARCH("Functioning",F217)))</formula>
    </cfRule>
  </conditionalFormatting>
  <conditionalFormatting sqref="F263 F240:F241 F248:F251">
    <cfRule type="beginsWith" dxfId="7024" priority="133" stopIfTrue="1" operator="beginsWith" text="Functioning At Risk">
      <formula>LEFT(F240,LEN("Functioning At Risk"))="Functioning At Risk"</formula>
    </cfRule>
    <cfRule type="beginsWith" dxfId="7023" priority="134" stopIfTrue="1" operator="beginsWith" text="Not Functioning">
      <formula>LEFT(F240,LEN("Not Functioning"))="Not Functioning"</formula>
    </cfRule>
    <cfRule type="containsText" dxfId="7022" priority="135" operator="containsText" text="Functioning">
      <formula>NOT(ISERROR(SEARCH("Functioning",F240)))</formula>
    </cfRule>
  </conditionalFormatting>
  <conditionalFormatting sqref="F252:F253">
    <cfRule type="beginsWith" dxfId="7021" priority="130" stopIfTrue="1" operator="beginsWith" text="Functioning At Risk">
      <formula>LEFT(F252,LEN("Functioning At Risk"))="Functioning At Risk"</formula>
    </cfRule>
    <cfRule type="beginsWith" dxfId="7020" priority="131" stopIfTrue="1" operator="beginsWith" text="Not Functioning">
      <formula>LEFT(F252,LEN("Not Functioning"))="Not Functioning"</formula>
    </cfRule>
    <cfRule type="containsText" dxfId="7019" priority="132" operator="containsText" text="Functioning">
      <formula>NOT(ISERROR(SEARCH("Functioning",F252)))</formula>
    </cfRule>
  </conditionalFormatting>
  <conditionalFormatting sqref="F272:F273">
    <cfRule type="beginsWith" dxfId="7018" priority="127" stopIfTrue="1" operator="beginsWith" text="Functioning At Risk">
      <formula>LEFT(F272,LEN("Functioning At Risk"))="Functioning At Risk"</formula>
    </cfRule>
    <cfRule type="beginsWith" dxfId="7017" priority="128" stopIfTrue="1" operator="beginsWith" text="Not Functioning">
      <formula>LEFT(F272,LEN("Not Functioning"))="Not Functioning"</formula>
    </cfRule>
    <cfRule type="containsText" dxfId="7016" priority="129" operator="containsText" text="Functioning">
      <formula>NOT(ISERROR(SEARCH("Functioning",F272)))</formula>
    </cfRule>
  </conditionalFormatting>
  <conditionalFormatting sqref="F268:F271">
    <cfRule type="beginsWith" dxfId="7015" priority="124" stopIfTrue="1" operator="beginsWith" text="Functioning At Risk">
      <formula>LEFT(F268,LEN("Functioning At Risk"))="Functioning At Risk"</formula>
    </cfRule>
    <cfRule type="beginsWith" dxfId="7014" priority="125" stopIfTrue="1" operator="beginsWith" text="Not Functioning">
      <formula>LEFT(F268,LEN("Not Functioning"))="Not Functioning"</formula>
    </cfRule>
    <cfRule type="containsText" dxfId="7013" priority="126" operator="containsText" text="Functioning">
      <formula>NOT(ISERROR(SEARCH("Functioning",F268)))</formula>
    </cfRule>
  </conditionalFormatting>
  <conditionalFormatting sqref="F256">
    <cfRule type="beginsWith" dxfId="7012" priority="121" stopIfTrue="1" operator="beginsWith" text="Functioning At Risk">
      <formula>LEFT(F256,LEN("Functioning At Risk"))="Functioning At Risk"</formula>
    </cfRule>
    <cfRule type="beginsWith" dxfId="7011" priority="122" stopIfTrue="1" operator="beginsWith" text="Not Functioning">
      <formula>LEFT(F256,LEN("Not Functioning"))="Not Functioning"</formula>
    </cfRule>
    <cfRule type="containsText" dxfId="7010" priority="123" operator="containsText" text="Functioning">
      <formula>NOT(ISERROR(SEARCH("Functioning",F256)))</formula>
    </cfRule>
  </conditionalFormatting>
  <conditionalFormatting sqref="F242:F243">
    <cfRule type="beginsWith" dxfId="7009" priority="118" stopIfTrue="1" operator="beginsWith" text="Functioning At Risk">
      <formula>LEFT(F242,LEN("Functioning At Risk"))="Functioning At Risk"</formula>
    </cfRule>
    <cfRule type="beginsWith" dxfId="7008" priority="119" stopIfTrue="1" operator="beginsWith" text="Not Functioning">
      <formula>LEFT(F242,LEN("Not Functioning"))="Not Functioning"</formula>
    </cfRule>
    <cfRule type="containsText" dxfId="7007" priority="120" operator="containsText" text="Functioning">
      <formula>NOT(ISERROR(SEARCH("Functioning",F242)))</formula>
    </cfRule>
  </conditionalFormatting>
  <conditionalFormatting sqref="F245">
    <cfRule type="beginsWith" dxfId="7006" priority="115" stopIfTrue="1" operator="beginsWith" text="Functioning At Risk">
      <formula>LEFT(F245,LEN("Functioning At Risk"))="Functioning At Risk"</formula>
    </cfRule>
    <cfRule type="beginsWith" dxfId="7005" priority="116" stopIfTrue="1" operator="beginsWith" text="Not Functioning">
      <formula>LEFT(F245,LEN("Not Functioning"))="Not Functioning"</formula>
    </cfRule>
    <cfRule type="containsText" dxfId="7004" priority="117" operator="containsText" text="Functioning">
      <formula>NOT(ISERROR(SEARCH("Functioning",F245)))</formula>
    </cfRule>
  </conditionalFormatting>
  <conditionalFormatting sqref="F260">
    <cfRule type="beginsWith" dxfId="7003" priority="112" stopIfTrue="1" operator="beginsWith" text="Functioning At Risk">
      <formula>LEFT(F260,LEN("Functioning At Risk"))="Functioning At Risk"</formula>
    </cfRule>
    <cfRule type="beginsWith" dxfId="7002" priority="113" stopIfTrue="1" operator="beginsWith" text="Not Functioning">
      <formula>LEFT(F260,LEN("Not Functioning"))="Not Functioning"</formula>
    </cfRule>
    <cfRule type="containsText" dxfId="7001" priority="114" operator="containsText" text="Functioning">
      <formula>NOT(ISERROR(SEARCH("Functioning",F260)))</formula>
    </cfRule>
  </conditionalFormatting>
  <conditionalFormatting sqref="F257">
    <cfRule type="beginsWith" dxfId="7000" priority="109" stopIfTrue="1" operator="beginsWith" text="Functioning At Risk">
      <formula>LEFT(F257,LEN("Functioning At Risk"))="Functioning At Risk"</formula>
    </cfRule>
    <cfRule type="beginsWith" dxfId="6999" priority="110" stopIfTrue="1" operator="beginsWith" text="Not Functioning">
      <formula>LEFT(F257,LEN("Not Functioning"))="Not Functioning"</formula>
    </cfRule>
    <cfRule type="containsText" dxfId="6998" priority="111" operator="containsText" text="Functioning">
      <formula>NOT(ISERROR(SEARCH("Functioning",F257)))</formula>
    </cfRule>
  </conditionalFormatting>
  <conditionalFormatting sqref="F303 F280:F281 F288:F291">
    <cfRule type="beginsWith" dxfId="6997" priority="106" stopIfTrue="1" operator="beginsWith" text="Functioning At Risk">
      <formula>LEFT(F280,LEN("Functioning At Risk"))="Functioning At Risk"</formula>
    </cfRule>
    <cfRule type="beginsWith" dxfId="6996" priority="107" stopIfTrue="1" operator="beginsWith" text="Not Functioning">
      <formula>LEFT(F280,LEN("Not Functioning"))="Not Functioning"</formula>
    </cfRule>
    <cfRule type="containsText" dxfId="6995" priority="108" operator="containsText" text="Functioning">
      <formula>NOT(ISERROR(SEARCH("Functioning",F280)))</formula>
    </cfRule>
  </conditionalFormatting>
  <conditionalFormatting sqref="F292:F293">
    <cfRule type="beginsWith" dxfId="6994" priority="103" stopIfTrue="1" operator="beginsWith" text="Functioning At Risk">
      <formula>LEFT(F292,LEN("Functioning At Risk"))="Functioning At Risk"</formula>
    </cfRule>
    <cfRule type="beginsWith" dxfId="6993" priority="104" stopIfTrue="1" operator="beginsWith" text="Not Functioning">
      <formula>LEFT(F292,LEN("Not Functioning"))="Not Functioning"</formula>
    </cfRule>
    <cfRule type="containsText" dxfId="6992" priority="105" operator="containsText" text="Functioning">
      <formula>NOT(ISERROR(SEARCH("Functioning",F292)))</formula>
    </cfRule>
  </conditionalFormatting>
  <conditionalFormatting sqref="F312:F313">
    <cfRule type="beginsWith" dxfId="6991" priority="100" stopIfTrue="1" operator="beginsWith" text="Functioning At Risk">
      <formula>LEFT(F312,LEN("Functioning At Risk"))="Functioning At Risk"</formula>
    </cfRule>
    <cfRule type="beginsWith" dxfId="6990" priority="101" stopIfTrue="1" operator="beginsWith" text="Not Functioning">
      <formula>LEFT(F312,LEN("Not Functioning"))="Not Functioning"</formula>
    </cfRule>
    <cfRule type="containsText" dxfId="6989" priority="102" operator="containsText" text="Functioning">
      <formula>NOT(ISERROR(SEARCH("Functioning",F312)))</formula>
    </cfRule>
  </conditionalFormatting>
  <conditionalFormatting sqref="F308:F311">
    <cfRule type="beginsWith" dxfId="6988" priority="97" stopIfTrue="1" operator="beginsWith" text="Functioning At Risk">
      <formula>LEFT(F308,LEN("Functioning At Risk"))="Functioning At Risk"</formula>
    </cfRule>
    <cfRule type="beginsWith" dxfId="6987" priority="98" stopIfTrue="1" operator="beginsWith" text="Not Functioning">
      <formula>LEFT(F308,LEN("Not Functioning"))="Not Functioning"</formula>
    </cfRule>
    <cfRule type="containsText" dxfId="6986" priority="99" operator="containsText" text="Functioning">
      <formula>NOT(ISERROR(SEARCH("Functioning",F308)))</formula>
    </cfRule>
  </conditionalFormatting>
  <conditionalFormatting sqref="F296">
    <cfRule type="beginsWith" dxfId="6985" priority="94" stopIfTrue="1" operator="beginsWith" text="Functioning At Risk">
      <formula>LEFT(F296,LEN("Functioning At Risk"))="Functioning At Risk"</formula>
    </cfRule>
    <cfRule type="beginsWith" dxfId="6984" priority="95" stopIfTrue="1" operator="beginsWith" text="Not Functioning">
      <formula>LEFT(F296,LEN("Not Functioning"))="Not Functioning"</formula>
    </cfRule>
    <cfRule type="containsText" dxfId="6983" priority="96" operator="containsText" text="Functioning">
      <formula>NOT(ISERROR(SEARCH("Functioning",F296)))</formula>
    </cfRule>
  </conditionalFormatting>
  <conditionalFormatting sqref="F282:F283">
    <cfRule type="beginsWith" dxfId="6982" priority="91" stopIfTrue="1" operator="beginsWith" text="Functioning At Risk">
      <formula>LEFT(F282,LEN("Functioning At Risk"))="Functioning At Risk"</formula>
    </cfRule>
    <cfRule type="beginsWith" dxfId="6981" priority="92" stopIfTrue="1" operator="beginsWith" text="Not Functioning">
      <formula>LEFT(F282,LEN("Not Functioning"))="Not Functioning"</formula>
    </cfRule>
    <cfRule type="containsText" dxfId="6980" priority="93" operator="containsText" text="Functioning">
      <formula>NOT(ISERROR(SEARCH("Functioning",F282)))</formula>
    </cfRule>
  </conditionalFormatting>
  <conditionalFormatting sqref="F285">
    <cfRule type="beginsWith" dxfId="6979" priority="88" stopIfTrue="1" operator="beginsWith" text="Functioning At Risk">
      <formula>LEFT(F285,LEN("Functioning At Risk"))="Functioning At Risk"</formula>
    </cfRule>
    <cfRule type="beginsWith" dxfId="6978" priority="89" stopIfTrue="1" operator="beginsWith" text="Not Functioning">
      <formula>LEFT(F285,LEN("Not Functioning"))="Not Functioning"</formula>
    </cfRule>
    <cfRule type="containsText" dxfId="6977" priority="90" operator="containsText" text="Functioning">
      <formula>NOT(ISERROR(SEARCH("Functioning",F285)))</formula>
    </cfRule>
  </conditionalFormatting>
  <conditionalFormatting sqref="F300">
    <cfRule type="beginsWith" dxfId="6976" priority="85" stopIfTrue="1" operator="beginsWith" text="Functioning At Risk">
      <formula>LEFT(F300,LEN("Functioning At Risk"))="Functioning At Risk"</formula>
    </cfRule>
    <cfRule type="beginsWith" dxfId="6975" priority="86" stopIfTrue="1" operator="beginsWith" text="Not Functioning">
      <formula>LEFT(F300,LEN("Not Functioning"))="Not Functioning"</formula>
    </cfRule>
    <cfRule type="containsText" dxfId="6974" priority="87" operator="containsText" text="Functioning">
      <formula>NOT(ISERROR(SEARCH("Functioning",F300)))</formula>
    </cfRule>
  </conditionalFormatting>
  <conditionalFormatting sqref="F297">
    <cfRule type="beginsWith" dxfId="6973" priority="82" stopIfTrue="1" operator="beginsWith" text="Functioning At Risk">
      <formula>LEFT(F297,LEN("Functioning At Risk"))="Functioning At Risk"</formula>
    </cfRule>
    <cfRule type="beginsWith" dxfId="6972" priority="83" stopIfTrue="1" operator="beginsWith" text="Not Functioning">
      <formula>LEFT(F297,LEN("Not Functioning"))="Not Functioning"</formula>
    </cfRule>
    <cfRule type="containsText" dxfId="6971" priority="84" operator="containsText" text="Functioning">
      <formula>NOT(ISERROR(SEARCH("Functioning",F297)))</formula>
    </cfRule>
  </conditionalFormatting>
  <conditionalFormatting sqref="F343 F320:F321 F328:F331">
    <cfRule type="beginsWith" dxfId="6970" priority="79" stopIfTrue="1" operator="beginsWith" text="Functioning At Risk">
      <formula>LEFT(F320,LEN("Functioning At Risk"))="Functioning At Risk"</formula>
    </cfRule>
    <cfRule type="beginsWith" dxfId="6969" priority="80" stopIfTrue="1" operator="beginsWith" text="Not Functioning">
      <formula>LEFT(F320,LEN("Not Functioning"))="Not Functioning"</formula>
    </cfRule>
    <cfRule type="containsText" dxfId="6968" priority="81" operator="containsText" text="Functioning">
      <formula>NOT(ISERROR(SEARCH("Functioning",F320)))</formula>
    </cfRule>
  </conditionalFormatting>
  <conditionalFormatting sqref="F332:F333">
    <cfRule type="beginsWith" dxfId="6967" priority="76" stopIfTrue="1" operator="beginsWith" text="Functioning At Risk">
      <formula>LEFT(F332,LEN("Functioning At Risk"))="Functioning At Risk"</formula>
    </cfRule>
    <cfRule type="beginsWith" dxfId="6966" priority="77" stopIfTrue="1" operator="beginsWith" text="Not Functioning">
      <formula>LEFT(F332,LEN("Not Functioning"))="Not Functioning"</formula>
    </cfRule>
    <cfRule type="containsText" dxfId="6965" priority="78" operator="containsText" text="Functioning">
      <formula>NOT(ISERROR(SEARCH("Functioning",F332)))</formula>
    </cfRule>
  </conditionalFormatting>
  <conditionalFormatting sqref="F352:F353">
    <cfRule type="beginsWith" dxfId="6964" priority="73" stopIfTrue="1" operator="beginsWith" text="Functioning At Risk">
      <formula>LEFT(F352,LEN("Functioning At Risk"))="Functioning At Risk"</formula>
    </cfRule>
    <cfRule type="beginsWith" dxfId="6963" priority="74" stopIfTrue="1" operator="beginsWith" text="Not Functioning">
      <formula>LEFT(F352,LEN("Not Functioning"))="Not Functioning"</formula>
    </cfRule>
    <cfRule type="containsText" dxfId="6962" priority="75" operator="containsText" text="Functioning">
      <formula>NOT(ISERROR(SEARCH("Functioning",F352)))</formula>
    </cfRule>
  </conditionalFormatting>
  <conditionalFormatting sqref="F348:F351">
    <cfRule type="beginsWith" dxfId="6961" priority="70" stopIfTrue="1" operator="beginsWith" text="Functioning At Risk">
      <formula>LEFT(F348,LEN("Functioning At Risk"))="Functioning At Risk"</formula>
    </cfRule>
    <cfRule type="beginsWith" dxfId="6960" priority="71" stopIfTrue="1" operator="beginsWith" text="Not Functioning">
      <formula>LEFT(F348,LEN("Not Functioning"))="Not Functioning"</formula>
    </cfRule>
    <cfRule type="containsText" dxfId="6959" priority="72" operator="containsText" text="Functioning">
      <formula>NOT(ISERROR(SEARCH("Functioning",F348)))</formula>
    </cfRule>
  </conditionalFormatting>
  <conditionalFormatting sqref="F336">
    <cfRule type="beginsWith" dxfId="6958" priority="67" stopIfTrue="1" operator="beginsWith" text="Functioning At Risk">
      <formula>LEFT(F336,LEN("Functioning At Risk"))="Functioning At Risk"</formula>
    </cfRule>
    <cfRule type="beginsWith" dxfId="6957" priority="68" stopIfTrue="1" operator="beginsWith" text="Not Functioning">
      <formula>LEFT(F336,LEN("Not Functioning"))="Not Functioning"</formula>
    </cfRule>
    <cfRule type="containsText" dxfId="6956" priority="69" operator="containsText" text="Functioning">
      <formula>NOT(ISERROR(SEARCH("Functioning",F336)))</formula>
    </cfRule>
  </conditionalFormatting>
  <conditionalFormatting sqref="F322:F323">
    <cfRule type="beginsWith" dxfId="6955" priority="64" stopIfTrue="1" operator="beginsWith" text="Functioning At Risk">
      <formula>LEFT(F322,LEN("Functioning At Risk"))="Functioning At Risk"</formula>
    </cfRule>
    <cfRule type="beginsWith" dxfId="6954" priority="65" stopIfTrue="1" operator="beginsWith" text="Not Functioning">
      <formula>LEFT(F322,LEN("Not Functioning"))="Not Functioning"</formula>
    </cfRule>
    <cfRule type="containsText" dxfId="6953" priority="66" operator="containsText" text="Functioning">
      <formula>NOT(ISERROR(SEARCH("Functioning",F322)))</formula>
    </cfRule>
  </conditionalFormatting>
  <conditionalFormatting sqref="F325">
    <cfRule type="beginsWith" dxfId="6952" priority="61" stopIfTrue="1" operator="beginsWith" text="Functioning At Risk">
      <formula>LEFT(F325,LEN("Functioning At Risk"))="Functioning At Risk"</formula>
    </cfRule>
    <cfRule type="beginsWith" dxfId="6951" priority="62" stopIfTrue="1" operator="beginsWith" text="Not Functioning">
      <formula>LEFT(F325,LEN("Not Functioning"))="Not Functioning"</formula>
    </cfRule>
    <cfRule type="containsText" dxfId="6950" priority="63" operator="containsText" text="Functioning">
      <formula>NOT(ISERROR(SEARCH("Functioning",F325)))</formula>
    </cfRule>
  </conditionalFormatting>
  <conditionalFormatting sqref="F340">
    <cfRule type="beginsWith" dxfId="6949" priority="58" stopIfTrue="1" operator="beginsWith" text="Functioning At Risk">
      <formula>LEFT(F340,LEN("Functioning At Risk"))="Functioning At Risk"</formula>
    </cfRule>
    <cfRule type="beginsWith" dxfId="6948" priority="59" stopIfTrue="1" operator="beginsWith" text="Not Functioning">
      <formula>LEFT(F340,LEN("Not Functioning"))="Not Functioning"</formula>
    </cfRule>
    <cfRule type="containsText" dxfId="6947" priority="60" operator="containsText" text="Functioning">
      <formula>NOT(ISERROR(SEARCH("Functioning",F340)))</formula>
    </cfRule>
  </conditionalFormatting>
  <conditionalFormatting sqref="F337">
    <cfRule type="beginsWith" dxfId="6946" priority="55" stopIfTrue="1" operator="beginsWith" text="Functioning At Risk">
      <formula>LEFT(F337,LEN("Functioning At Risk"))="Functioning At Risk"</formula>
    </cfRule>
    <cfRule type="beginsWith" dxfId="6945" priority="56" stopIfTrue="1" operator="beginsWith" text="Not Functioning">
      <formula>LEFT(F337,LEN("Not Functioning"))="Not Functioning"</formula>
    </cfRule>
    <cfRule type="containsText" dxfId="6944" priority="57" operator="containsText" text="Functioning">
      <formula>NOT(ISERROR(SEARCH("Functioning",F337)))</formula>
    </cfRule>
  </conditionalFormatting>
  <conditionalFormatting sqref="F383 F360:F361 F368:F371">
    <cfRule type="beginsWith" dxfId="6943" priority="52" stopIfTrue="1" operator="beginsWith" text="Functioning At Risk">
      <formula>LEFT(F360,LEN("Functioning At Risk"))="Functioning At Risk"</formula>
    </cfRule>
    <cfRule type="beginsWith" dxfId="6942" priority="53" stopIfTrue="1" operator="beginsWith" text="Not Functioning">
      <formula>LEFT(F360,LEN("Not Functioning"))="Not Functioning"</formula>
    </cfRule>
    <cfRule type="containsText" dxfId="6941" priority="54" operator="containsText" text="Functioning">
      <formula>NOT(ISERROR(SEARCH("Functioning",F360)))</formula>
    </cfRule>
  </conditionalFormatting>
  <conditionalFormatting sqref="F372:F373">
    <cfRule type="beginsWith" dxfId="6940" priority="49" stopIfTrue="1" operator="beginsWith" text="Functioning At Risk">
      <formula>LEFT(F372,LEN("Functioning At Risk"))="Functioning At Risk"</formula>
    </cfRule>
    <cfRule type="beginsWith" dxfId="6939" priority="50" stopIfTrue="1" operator="beginsWith" text="Not Functioning">
      <formula>LEFT(F372,LEN("Not Functioning"))="Not Functioning"</formula>
    </cfRule>
    <cfRule type="containsText" dxfId="6938" priority="51" operator="containsText" text="Functioning">
      <formula>NOT(ISERROR(SEARCH("Functioning",F372)))</formula>
    </cfRule>
  </conditionalFormatting>
  <conditionalFormatting sqref="F392:F393">
    <cfRule type="beginsWith" dxfId="6937" priority="46" stopIfTrue="1" operator="beginsWith" text="Functioning At Risk">
      <formula>LEFT(F392,LEN("Functioning At Risk"))="Functioning At Risk"</formula>
    </cfRule>
    <cfRule type="beginsWith" dxfId="6936" priority="47" stopIfTrue="1" operator="beginsWith" text="Not Functioning">
      <formula>LEFT(F392,LEN("Not Functioning"))="Not Functioning"</formula>
    </cfRule>
    <cfRule type="containsText" dxfId="6935" priority="48" operator="containsText" text="Functioning">
      <formula>NOT(ISERROR(SEARCH("Functioning",F392)))</formula>
    </cfRule>
  </conditionalFormatting>
  <conditionalFormatting sqref="F388:F391">
    <cfRule type="beginsWith" dxfId="6934" priority="43" stopIfTrue="1" operator="beginsWith" text="Functioning At Risk">
      <formula>LEFT(F388,LEN("Functioning At Risk"))="Functioning At Risk"</formula>
    </cfRule>
    <cfRule type="beginsWith" dxfId="6933" priority="44" stopIfTrue="1" operator="beginsWith" text="Not Functioning">
      <formula>LEFT(F388,LEN("Not Functioning"))="Not Functioning"</formula>
    </cfRule>
    <cfRule type="containsText" dxfId="6932" priority="45" operator="containsText" text="Functioning">
      <formula>NOT(ISERROR(SEARCH("Functioning",F388)))</formula>
    </cfRule>
  </conditionalFormatting>
  <conditionalFormatting sqref="F376">
    <cfRule type="beginsWith" dxfId="6931" priority="40" stopIfTrue="1" operator="beginsWith" text="Functioning At Risk">
      <formula>LEFT(F376,LEN("Functioning At Risk"))="Functioning At Risk"</formula>
    </cfRule>
    <cfRule type="beginsWith" dxfId="6930" priority="41" stopIfTrue="1" operator="beginsWith" text="Not Functioning">
      <formula>LEFT(F376,LEN("Not Functioning"))="Not Functioning"</formula>
    </cfRule>
    <cfRule type="containsText" dxfId="6929" priority="42" operator="containsText" text="Functioning">
      <formula>NOT(ISERROR(SEARCH("Functioning",F376)))</formula>
    </cfRule>
  </conditionalFormatting>
  <conditionalFormatting sqref="F362:F363">
    <cfRule type="beginsWith" dxfId="6928" priority="37" stopIfTrue="1" operator="beginsWith" text="Functioning At Risk">
      <formula>LEFT(F362,LEN("Functioning At Risk"))="Functioning At Risk"</formula>
    </cfRule>
    <cfRule type="beginsWith" dxfId="6927" priority="38" stopIfTrue="1" operator="beginsWith" text="Not Functioning">
      <formula>LEFT(F362,LEN("Not Functioning"))="Not Functioning"</formula>
    </cfRule>
    <cfRule type="containsText" dxfId="6926" priority="39" operator="containsText" text="Functioning">
      <formula>NOT(ISERROR(SEARCH("Functioning",F362)))</formula>
    </cfRule>
  </conditionalFormatting>
  <conditionalFormatting sqref="F365">
    <cfRule type="beginsWith" dxfId="6925" priority="34" stopIfTrue="1" operator="beginsWith" text="Functioning At Risk">
      <formula>LEFT(F365,LEN("Functioning At Risk"))="Functioning At Risk"</formula>
    </cfRule>
    <cfRule type="beginsWith" dxfId="6924" priority="35" stopIfTrue="1" operator="beginsWith" text="Not Functioning">
      <formula>LEFT(F365,LEN("Not Functioning"))="Not Functioning"</formula>
    </cfRule>
    <cfRule type="containsText" dxfId="6923" priority="36" operator="containsText" text="Functioning">
      <formula>NOT(ISERROR(SEARCH("Functioning",F365)))</formula>
    </cfRule>
  </conditionalFormatting>
  <conditionalFormatting sqref="F380">
    <cfRule type="beginsWith" dxfId="6922" priority="31" stopIfTrue="1" operator="beginsWith" text="Functioning At Risk">
      <formula>LEFT(F380,LEN("Functioning At Risk"))="Functioning At Risk"</formula>
    </cfRule>
    <cfRule type="beginsWith" dxfId="6921" priority="32" stopIfTrue="1" operator="beginsWith" text="Not Functioning">
      <formula>LEFT(F380,LEN("Not Functioning"))="Not Functioning"</formula>
    </cfRule>
    <cfRule type="containsText" dxfId="6920" priority="33" operator="containsText" text="Functioning">
      <formula>NOT(ISERROR(SEARCH("Functioning",F380)))</formula>
    </cfRule>
  </conditionalFormatting>
  <conditionalFormatting sqref="F377">
    <cfRule type="beginsWith" dxfId="6919" priority="28" stopIfTrue="1" operator="beginsWith" text="Functioning At Risk">
      <formula>LEFT(F377,LEN("Functioning At Risk"))="Functioning At Risk"</formula>
    </cfRule>
    <cfRule type="beginsWith" dxfId="6918" priority="29" stopIfTrue="1" operator="beginsWith" text="Not Functioning">
      <formula>LEFT(F377,LEN("Not Functioning"))="Not Functioning"</formula>
    </cfRule>
    <cfRule type="containsText" dxfId="6917" priority="30" operator="containsText" text="Functioning">
      <formula>NOT(ISERROR(SEARCH("Functioning",F377)))</formula>
    </cfRule>
  </conditionalFormatting>
  <conditionalFormatting sqref="F423 F400:F401 F408:F411">
    <cfRule type="beginsWith" dxfId="6916" priority="25" stopIfTrue="1" operator="beginsWith" text="Functioning At Risk">
      <formula>LEFT(F400,LEN("Functioning At Risk"))="Functioning At Risk"</formula>
    </cfRule>
    <cfRule type="beginsWith" dxfId="6915" priority="26" stopIfTrue="1" operator="beginsWith" text="Not Functioning">
      <formula>LEFT(F400,LEN("Not Functioning"))="Not Functioning"</formula>
    </cfRule>
    <cfRule type="containsText" dxfId="6914" priority="27" operator="containsText" text="Functioning">
      <formula>NOT(ISERROR(SEARCH("Functioning",F400)))</formula>
    </cfRule>
  </conditionalFormatting>
  <conditionalFormatting sqref="F412:F413">
    <cfRule type="beginsWith" dxfId="6913" priority="22" stopIfTrue="1" operator="beginsWith" text="Functioning At Risk">
      <formula>LEFT(F412,LEN("Functioning At Risk"))="Functioning At Risk"</formula>
    </cfRule>
    <cfRule type="beginsWith" dxfId="6912" priority="23" stopIfTrue="1" operator="beginsWith" text="Not Functioning">
      <formula>LEFT(F412,LEN("Not Functioning"))="Not Functioning"</formula>
    </cfRule>
    <cfRule type="containsText" dxfId="6911" priority="24" operator="containsText" text="Functioning">
      <formula>NOT(ISERROR(SEARCH("Functioning",F412)))</formula>
    </cfRule>
  </conditionalFormatting>
  <conditionalFormatting sqref="F432:F433">
    <cfRule type="beginsWith" dxfId="6910" priority="19" stopIfTrue="1" operator="beginsWith" text="Functioning At Risk">
      <formula>LEFT(F432,LEN("Functioning At Risk"))="Functioning At Risk"</formula>
    </cfRule>
    <cfRule type="beginsWith" dxfId="6909" priority="20" stopIfTrue="1" operator="beginsWith" text="Not Functioning">
      <formula>LEFT(F432,LEN("Not Functioning"))="Not Functioning"</formula>
    </cfRule>
    <cfRule type="containsText" dxfId="6908" priority="21" operator="containsText" text="Functioning">
      <formula>NOT(ISERROR(SEARCH("Functioning",F432)))</formula>
    </cfRule>
  </conditionalFormatting>
  <conditionalFormatting sqref="F428:F431">
    <cfRule type="beginsWith" dxfId="6907" priority="16" stopIfTrue="1" operator="beginsWith" text="Functioning At Risk">
      <formula>LEFT(F428,LEN("Functioning At Risk"))="Functioning At Risk"</formula>
    </cfRule>
    <cfRule type="beginsWith" dxfId="6906" priority="17" stopIfTrue="1" operator="beginsWith" text="Not Functioning">
      <formula>LEFT(F428,LEN("Not Functioning"))="Not Functioning"</formula>
    </cfRule>
    <cfRule type="containsText" dxfId="6905" priority="18" operator="containsText" text="Functioning">
      <formula>NOT(ISERROR(SEARCH("Functioning",F428)))</formula>
    </cfRule>
  </conditionalFormatting>
  <conditionalFormatting sqref="F416">
    <cfRule type="beginsWith" dxfId="6904" priority="13" stopIfTrue="1" operator="beginsWith" text="Functioning At Risk">
      <formula>LEFT(F416,LEN("Functioning At Risk"))="Functioning At Risk"</formula>
    </cfRule>
    <cfRule type="beginsWith" dxfId="6903" priority="14" stopIfTrue="1" operator="beginsWith" text="Not Functioning">
      <formula>LEFT(F416,LEN("Not Functioning"))="Not Functioning"</formula>
    </cfRule>
    <cfRule type="containsText" dxfId="6902" priority="15" operator="containsText" text="Functioning">
      <formula>NOT(ISERROR(SEARCH("Functioning",F416)))</formula>
    </cfRule>
  </conditionalFormatting>
  <conditionalFormatting sqref="F402:F403">
    <cfRule type="beginsWith" dxfId="6901" priority="10" stopIfTrue="1" operator="beginsWith" text="Functioning At Risk">
      <formula>LEFT(F402,LEN("Functioning At Risk"))="Functioning At Risk"</formula>
    </cfRule>
    <cfRule type="beginsWith" dxfId="6900" priority="11" stopIfTrue="1" operator="beginsWith" text="Not Functioning">
      <formula>LEFT(F402,LEN("Not Functioning"))="Not Functioning"</formula>
    </cfRule>
    <cfRule type="containsText" dxfId="6899" priority="12" operator="containsText" text="Functioning">
      <formula>NOT(ISERROR(SEARCH("Functioning",F402)))</formula>
    </cfRule>
  </conditionalFormatting>
  <conditionalFormatting sqref="F405">
    <cfRule type="beginsWith" dxfId="6898" priority="7" stopIfTrue="1" operator="beginsWith" text="Functioning At Risk">
      <formula>LEFT(F405,LEN("Functioning At Risk"))="Functioning At Risk"</formula>
    </cfRule>
    <cfRule type="beginsWith" dxfId="6897" priority="8" stopIfTrue="1" operator="beginsWith" text="Not Functioning">
      <formula>LEFT(F405,LEN("Not Functioning"))="Not Functioning"</formula>
    </cfRule>
    <cfRule type="containsText" dxfId="6896" priority="9" operator="containsText" text="Functioning">
      <formula>NOT(ISERROR(SEARCH("Functioning",F405)))</formula>
    </cfRule>
  </conditionalFormatting>
  <conditionalFormatting sqref="F420">
    <cfRule type="beginsWith" dxfId="6895" priority="4" stopIfTrue="1" operator="beginsWith" text="Functioning At Risk">
      <formula>LEFT(F420,LEN("Functioning At Risk"))="Functioning At Risk"</formula>
    </cfRule>
    <cfRule type="beginsWith" dxfId="6894" priority="5" stopIfTrue="1" operator="beginsWith" text="Not Functioning">
      <formula>LEFT(F420,LEN("Not Functioning"))="Not Functioning"</formula>
    </cfRule>
    <cfRule type="containsText" dxfId="6893" priority="6" operator="containsText" text="Functioning">
      <formula>NOT(ISERROR(SEARCH("Functioning",F420)))</formula>
    </cfRule>
  </conditionalFormatting>
  <conditionalFormatting sqref="F417">
    <cfRule type="beginsWith" dxfId="6892" priority="1" stopIfTrue="1" operator="beginsWith" text="Functioning At Risk">
      <formula>LEFT(F417,LEN("Functioning At Risk"))="Functioning At Risk"</formula>
    </cfRule>
    <cfRule type="beginsWith" dxfId="6891" priority="2" stopIfTrue="1" operator="beginsWith" text="Not Functioning">
      <formula>LEFT(F417,LEN("Not Functioning"))="Not Functioning"</formula>
    </cfRule>
    <cfRule type="containsText" dxfId="6890" priority="3" operator="containsText" text="Functioning">
      <formula>NOT(ISERROR(SEARCH("Functioning",F417)))</formula>
    </cfRule>
  </conditionalFormatting>
  <dataValidations count="11">
    <dataValidation allowBlank="1" showErrorMessage="1" prompt="The user should input a value for either basal area or density, not both. " sqref="E21:E22 E376:E377 E336:E337 E296:E297 E256:E257 E216:E217 E177:E178 E138:E139 E99:E100 E416:E417 E61"/>
    <dataValidation type="decimal" allowBlank="1" showErrorMessage="1" prompt="The user should input a value for either basal area or density, not both. " sqref="E372:E375 E332:E335 E292:E295 E252:E255 E212:E215 E173:E176 E134:E137 E95:E98 E56:E60 E412:E415 E17:E20">
      <formula1>0</formula1>
      <formula2>5280</formula2>
    </dataValidation>
    <dataValidation allowBlank="1" showErrorMessage="1" prompt="The user can only input a value for either leaf litter processing rate or shredders for organic matter, not both. " sqref="E30 E385 E69 E108 E147 E186 E225 E265 E305 E345 E425"/>
    <dataValidation allowBlank="1" showErrorMessage="1" sqref="E23 E338 E378 E62 E101 E140 E179 E218 E258 E298 E418 E407 E367 E327 E287 E247 E207 E168 E129 E90 E51 E12"/>
    <dataValidation type="list" allowBlank="1" showInputMessage="1" showErrorMessage="1" prompt="Select the dominant BEHI/NBS.  _x000a_If erosion rate was measured select blank. The user should only input a value for either BEHI/NBS or Erosion Rate, not both. " sqref="E365 E49 E405 E88 E127 E166 E205 E245 E285 E325 E10">
      <formula1>BEHI.NBS</formula1>
    </dataValidation>
    <dataValidation allowBlank="1" showInputMessage="1" showErrorMessage="1" prompt="The user should input a value for either BEHI/NBS or Erosion Rate, not both. " sqref="E364 E48 E404 E87 E126 E165 E204 E244 E284 E324 E9"/>
    <dataValidation allowBlank="1" showInputMessage="1" showErrorMessage="1" prompt="This measurement method should be used in combination with either Erosion Rate or Dominant BEHI/NBS." sqref="E366 E50 E406 E89 E128 E167 E206 E246 E286 E326 E11"/>
    <dataValidation type="decimal" allowBlank="1" showInputMessage="1" showErrorMessage="1" sqref="E248:E251 E288:E291 E368:E371 E13:E16 E52:E55 E91:E94 E130:E133 E169:E172 E208:E211 E328:E331 E408:E411">
      <formula1>0</formula1>
      <formula2>5280</formula2>
    </dataValidation>
    <dataValidation allowBlank="1" showErrorMessage="1" prompt="Select catchment conditon level from the completed catchment assessment form. " sqref="E358:E359 E3:E4 E42:E43 E81:E82 E120:E121 E159:E160 E198:E199 E238:E239 E278:E279 E318:E319 E398:E399"/>
    <dataValidation allowBlank="1" showInputMessage="1" showErrorMessage="1" prompt="The user should not input values for all 4 measurement methods. If the user is not using TMI, then the remaining 3 measurement methods should be used together." sqref="E428:E431 E72:E75 E111:E114 E150:E153 E189:E192 E228:E231 E268:E271 E308:E311 E348:E351 E388:E391 E33:E36"/>
    <dataValidation allowBlank="1" showInputMessage="1" showErrorMessage="1" prompt="The user should only input a value for either LWDI or # Pieces, not both. " sqref="E402:E403 E362:E363 E322:E323 E282:E283 E242:E243 E202:E203 E163:E164 E124:E125 E85:E86 E46:E47 E7:E8"/>
  </dataValidations>
  <pageMargins left="0.25" right="0.25" top="0.75" bottom="0.75" header="0.3" footer="0.3"/>
  <pageSetup paperSize="3" fitToWidth="0" fitToHeight="0" orientation="landscape" r:id="rId1"/>
  <headerFooter>
    <oddHeader>&amp;C&amp;"-,Bold"TN SQT v1.0
Monitoring Data Spreadsheet Reach 2</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extLst>
    <ext xmlns:x14="http://schemas.microsoft.com/office/spreadsheetml/2009/9/main" uri="{78C0D931-6437-407d-A8EE-F0AAD7539E65}">
      <x14:conditionalFormattings>
        <x14:conditionalFormatting xmlns:xm="http://schemas.microsoft.com/office/excel/2006/main">
          <x14:cfRule type="expression" priority="556" id="{6139B22A-AB19-4E87-9055-B80F1FAD43B0}">
            <xm:f>'Quantification Tool R2'!$B$18="Ephemeral"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5"/>
  <sheetViews>
    <sheetView zoomScale="70" zoomScaleNormal="70" zoomScalePageLayoutView="70" workbookViewId="0"/>
  </sheetViews>
  <sheetFormatPr defaultColWidth="9.109375" defaultRowHeight="14.4" x14ac:dyDescent="0.3"/>
  <cols>
    <col min="1" max="1" width="19.6640625" style="14" bestFit="1" customWidth="1"/>
    <col min="2" max="2" width="28" style="14" customWidth="1"/>
    <col min="3" max="3" width="14.6640625" style="14" customWidth="1"/>
    <col min="4" max="4" width="14.33203125" style="14" customWidth="1"/>
    <col min="5" max="5" width="10.33203125" style="14" customWidth="1"/>
    <col min="6" max="15" width="10.6640625" style="14" customWidth="1"/>
    <col min="16" max="16384" width="9.109375" style="14"/>
  </cols>
  <sheetData>
    <row r="2" spans="1:15" ht="21" x14ac:dyDescent="0.3">
      <c r="A2" s="625" t="s">
        <v>118</v>
      </c>
      <c r="B2" s="626"/>
      <c r="C2" s="626"/>
      <c r="D2" s="626"/>
      <c r="E2" s="626"/>
      <c r="F2" s="626"/>
      <c r="G2" s="626"/>
      <c r="H2" s="626"/>
      <c r="I2" s="626"/>
      <c r="J2" s="626"/>
      <c r="K2" s="626"/>
      <c r="L2" s="626"/>
      <c r="M2" s="626"/>
      <c r="N2" s="626"/>
      <c r="O2" s="627"/>
    </row>
    <row r="3" spans="1:15" ht="18" x14ac:dyDescent="0.3">
      <c r="A3" s="648" t="s">
        <v>1</v>
      </c>
      <c r="B3" s="648" t="s">
        <v>2</v>
      </c>
      <c r="C3" s="653" t="s">
        <v>66</v>
      </c>
      <c r="D3" s="653" t="s">
        <v>67</v>
      </c>
      <c r="E3" s="648" t="s">
        <v>132</v>
      </c>
      <c r="F3" s="650" t="s">
        <v>135</v>
      </c>
      <c r="G3" s="651"/>
      <c r="H3" s="651"/>
      <c r="I3" s="651"/>
      <c r="J3" s="651"/>
      <c r="K3" s="651"/>
      <c r="L3" s="651"/>
      <c r="M3" s="651"/>
      <c r="N3" s="651"/>
      <c r="O3" s="652"/>
    </row>
    <row r="4" spans="1:15" ht="18" x14ac:dyDescent="0.3">
      <c r="A4" s="649"/>
      <c r="B4" s="649"/>
      <c r="C4" s="654"/>
      <c r="D4" s="654"/>
      <c r="E4" s="649"/>
      <c r="F4" s="304" t="e">
        <f>IF('Monitoring Data R2'!B40="",#N/A,'Monitoring Data R2'!B40)</f>
        <v>#N/A</v>
      </c>
      <c r="G4" s="304" t="e">
        <f>IF('Monitoring Data R2'!B79="",#N/A,'Monitoring Data R2'!B79)</f>
        <v>#N/A</v>
      </c>
      <c r="H4" s="304" t="e">
        <f>IF('Monitoring Data R2'!B118="",#N/A,'Monitoring Data R2'!B118)</f>
        <v>#N/A</v>
      </c>
      <c r="I4" s="304" t="e">
        <f>IF('Monitoring Data R2'!B157="",#N/A,'Monitoring Data R2'!B157)</f>
        <v>#N/A</v>
      </c>
      <c r="J4" s="304" t="e">
        <f>IF('Monitoring Data R2'!B196="",#N/A,'Monitoring Data R2'!B196)</f>
        <v>#N/A</v>
      </c>
      <c r="K4" s="304" t="e">
        <f>IF('Monitoring Data R2'!B236="",#N/A,'Monitoring Data R2'!B236)</f>
        <v>#N/A</v>
      </c>
      <c r="L4" s="304" t="e">
        <f>IF('Monitoring Data R2'!B276="",#N/A,'Monitoring Data R2'!B276)</f>
        <v>#N/A</v>
      </c>
      <c r="M4" s="304" t="e">
        <f>IF('Monitoring Data R2'!B316="",#N/A,'Monitoring Data R2'!B316)</f>
        <v>#N/A</v>
      </c>
      <c r="N4" s="304" t="e">
        <f>IF('Monitoring Data R2'!B356="",#N/A,'Monitoring Data R2'!B356)</f>
        <v>#N/A</v>
      </c>
      <c r="O4" s="304" t="e">
        <f>IF('Monitoring Data R2'!B396="",#N/A,'Monitoring Data R2'!B396)</f>
        <v>#N/A</v>
      </c>
    </row>
    <row r="5" spans="1:15" ht="15.6" x14ac:dyDescent="0.3">
      <c r="A5" s="540" t="s">
        <v>60</v>
      </c>
      <c r="B5" s="75" t="s">
        <v>86</v>
      </c>
      <c r="C5" s="149" t="str">
        <f>'Quantification Tool R2'!C26</f>
        <v/>
      </c>
      <c r="D5" s="149" t="str">
        <f>'Quantification Tool R2'!D26</f>
        <v/>
      </c>
      <c r="E5" s="48" t="str">
        <f>'Monitoring Data R2'!G3</f>
        <v/>
      </c>
      <c r="F5" s="48" t="str">
        <f>'Monitoring Data R2'!G42</f>
        <v/>
      </c>
      <c r="G5" s="48" t="str">
        <f>'Monitoring Data R2'!G81</f>
        <v/>
      </c>
      <c r="H5" s="48" t="str">
        <f>'Monitoring Data R2'!G120</f>
        <v/>
      </c>
      <c r="I5" s="48" t="str">
        <f>'Monitoring Data R2'!G159</f>
        <v/>
      </c>
      <c r="J5" s="48" t="str">
        <f>'Monitoring Data R2'!G198</f>
        <v/>
      </c>
      <c r="K5" s="48" t="str">
        <f>'Monitoring Data R2'!G238</f>
        <v/>
      </c>
      <c r="L5" s="48" t="str">
        <f>'Monitoring Data R2'!G278</f>
        <v/>
      </c>
      <c r="M5" s="48" t="str">
        <f>'Monitoring Data R2'!G318</f>
        <v/>
      </c>
      <c r="N5" s="48" t="str">
        <f>'Monitoring Data R2'!G358</f>
        <v/>
      </c>
      <c r="O5" s="48" t="str">
        <f>'Monitoring Data R2'!G398</f>
        <v/>
      </c>
    </row>
    <row r="6" spans="1:15" ht="15.6" x14ac:dyDescent="0.3">
      <c r="A6" s="541"/>
      <c r="B6" s="75" t="s">
        <v>128</v>
      </c>
      <c r="C6" s="149" t="str">
        <f>'Quantification Tool R2'!C27</f>
        <v/>
      </c>
      <c r="D6" s="149" t="str">
        <f>'Quantification Tool R2'!D27</f>
        <v/>
      </c>
      <c r="E6" s="48" t="str">
        <f>'Monitoring Data R2'!G4</f>
        <v/>
      </c>
      <c r="F6" s="48" t="str">
        <f>'Monitoring Data R2'!G43</f>
        <v/>
      </c>
      <c r="G6" s="48" t="str">
        <f>'Monitoring Data R2'!G82</f>
        <v/>
      </c>
      <c r="H6" s="48" t="str">
        <f>'Monitoring Data R2'!G121</f>
        <v/>
      </c>
      <c r="I6" s="48" t="str">
        <f>'Monitoring Data R2'!G160</f>
        <v/>
      </c>
      <c r="J6" s="48" t="str">
        <f>'Monitoring Data R2'!G199</f>
        <v/>
      </c>
      <c r="K6" s="48" t="str">
        <f>'Monitoring Data R2'!G239</f>
        <v/>
      </c>
      <c r="L6" s="48" t="str">
        <f>'Monitoring Data R2'!G279</f>
        <v/>
      </c>
      <c r="M6" s="48" t="str">
        <f>'Monitoring Data R2'!G319</f>
        <v/>
      </c>
      <c r="N6" s="48" t="str">
        <f>'Monitoring Data R2'!G359</f>
        <v/>
      </c>
      <c r="O6" s="48" t="str">
        <f>'Monitoring Data R2'!G399</f>
        <v/>
      </c>
    </row>
    <row r="7" spans="1:15" ht="15.6" x14ac:dyDescent="0.3">
      <c r="A7" s="76" t="s">
        <v>6</v>
      </c>
      <c r="B7" s="76" t="s">
        <v>7</v>
      </c>
      <c r="C7" s="149" t="str">
        <f>'Quantification Tool R2'!C28</f>
        <v/>
      </c>
      <c r="D7" s="149" t="str">
        <f>'Quantification Tool R2'!D28</f>
        <v/>
      </c>
      <c r="E7" s="48" t="str">
        <f>'Monitoring Data R2'!G5</f>
        <v/>
      </c>
      <c r="F7" s="48" t="str">
        <f>'Monitoring Data R2'!G44</f>
        <v/>
      </c>
      <c r="G7" s="48" t="str">
        <f>'Monitoring Data R2'!G83</f>
        <v/>
      </c>
      <c r="H7" s="48" t="str">
        <f>'Monitoring Data R2'!G122</f>
        <v/>
      </c>
      <c r="I7" s="48" t="str">
        <f>'Monitoring Data R2'!G161</f>
        <v/>
      </c>
      <c r="J7" s="48" t="str">
        <f>'Monitoring Data R2'!G200</f>
        <v/>
      </c>
      <c r="K7" s="48" t="str">
        <f>'Monitoring Data R2'!G240</f>
        <v/>
      </c>
      <c r="L7" s="48" t="str">
        <f>'Monitoring Data R2'!G280</f>
        <v/>
      </c>
      <c r="M7" s="48" t="str">
        <f>'Monitoring Data R2'!G320</f>
        <v/>
      </c>
      <c r="N7" s="48" t="str">
        <f>'Monitoring Data R2'!G360</f>
        <v/>
      </c>
      <c r="O7" s="48" t="str">
        <f>'Monitoring Data R2'!G400</f>
        <v/>
      </c>
    </row>
    <row r="8" spans="1:15" ht="15.6" x14ac:dyDescent="0.3">
      <c r="A8" s="526" t="s">
        <v>26</v>
      </c>
      <c r="B8" s="77" t="s">
        <v>27</v>
      </c>
      <c r="C8" s="149" t="str">
        <f>'Quantification Tool R2'!C29</f>
        <v/>
      </c>
      <c r="D8" s="149" t="str">
        <f>'Quantification Tool R2'!D29</f>
        <v/>
      </c>
      <c r="E8" s="48" t="str">
        <f>'Monitoring Data R2'!G7</f>
        <v/>
      </c>
      <c r="F8" s="48" t="str">
        <f>'Monitoring Data R2'!G46</f>
        <v/>
      </c>
      <c r="G8" s="48" t="str">
        <f>'Monitoring Data R2'!G85</f>
        <v/>
      </c>
      <c r="H8" s="48" t="str">
        <f>'Monitoring Data R2'!G124</f>
        <v/>
      </c>
      <c r="I8" s="48" t="str">
        <f>'Monitoring Data R2'!G163</f>
        <v/>
      </c>
      <c r="J8" s="48" t="str">
        <f>'Monitoring Data R2'!G202</f>
        <v/>
      </c>
      <c r="K8" s="48" t="str">
        <f>'Monitoring Data R2'!G242</f>
        <v/>
      </c>
      <c r="L8" s="48" t="str">
        <f>'Monitoring Data R2'!G282</f>
        <v/>
      </c>
      <c r="M8" s="48" t="str">
        <f>'Monitoring Data R2'!G322</f>
        <v/>
      </c>
      <c r="N8" s="48" t="str">
        <f>'Monitoring Data R2'!G362</f>
        <v/>
      </c>
      <c r="O8" s="48" t="str">
        <f>'Monitoring Data R2'!G402</f>
        <v/>
      </c>
    </row>
    <row r="9" spans="1:15" ht="15.6" x14ac:dyDescent="0.3">
      <c r="A9" s="520"/>
      <c r="B9" s="77" t="s">
        <v>395</v>
      </c>
      <c r="C9" s="149" t="str">
        <f>'Quantification Tool R2'!C30</f>
        <v/>
      </c>
      <c r="D9" s="149" t="str">
        <f>'Quantification Tool R2'!D30</f>
        <v/>
      </c>
      <c r="E9" s="48" t="str">
        <f>'Monitoring Data R2'!G9</f>
        <v/>
      </c>
      <c r="F9" s="48" t="str">
        <f>'Monitoring Data R2'!G48</f>
        <v/>
      </c>
      <c r="G9" s="48" t="str">
        <f>'Monitoring Data R2'!G87</f>
        <v/>
      </c>
      <c r="H9" s="48" t="str">
        <f>'Monitoring Data R2'!G126</f>
        <v/>
      </c>
      <c r="I9" s="48" t="str">
        <f>'Monitoring Data R2'!G165</f>
        <v/>
      </c>
      <c r="J9" s="48" t="str">
        <f>'Monitoring Data R2'!G204</f>
        <v/>
      </c>
      <c r="K9" s="48" t="str">
        <f>'Monitoring Data R2'!G244</f>
        <v/>
      </c>
      <c r="L9" s="48" t="str">
        <f>'Monitoring Data R2'!G284</f>
        <v/>
      </c>
      <c r="M9" s="48" t="str">
        <f>'Monitoring Data R2'!G324</f>
        <v/>
      </c>
      <c r="N9" s="48" t="str">
        <f>'Monitoring Data R2'!G364</f>
        <v/>
      </c>
      <c r="O9" s="48" t="str">
        <f>'Monitoring Data R2'!G404</f>
        <v/>
      </c>
    </row>
    <row r="10" spans="1:15" ht="15.6" x14ac:dyDescent="0.3">
      <c r="A10" s="520"/>
      <c r="B10" s="77" t="s">
        <v>50</v>
      </c>
      <c r="C10" s="149" t="str">
        <f>'Quantification Tool R2'!C31</f>
        <v/>
      </c>
      <c r="D10" s="149" t="str">
        <f>'Quantification Tool R2'!D31</f>
        <v/>
      </c>
      <c r="E10" s="48" t="str">
        <f>'Monitoring Data R2'!G13</f>
        <v/>
      </c>
      <c r="F10" s="48" t="str">
        <f>'Monitoring Data R2'!G52</f>
        <v/>
      </c>
      <c r="G10" s="48" t="str">
        <f>'Monitoring Data R2'!G91</f>
        <v/>
      </c>
      <c r="H10" s="48" t="str">
        <f>'Monitoring Data R2'!G130</f>
        <v/>
      </c>
      <c r="I10" s="48" t="str">
        <f>'Monitoring Data R2'!G169</f>
        <v/>
      </c>
      <c r="J10" s="48" t="str">
        <f>'Monitoring Data R2'!G208</f>
        <v/>
      </c>
      <c r="K10" s="48" t="str">
        <f>'Monitoring Data R2'!G248</f>
        <v/>
      </c>
      <c r="L10" s="48" t="str">
        <f>'Monitoring Data R2'!G288</f>
        <v/>
      </c>
      <c r="M10" s="48" t="str">
        <f>'Monitoring Data R2'!G328</f>
        <v/>
      </c>
      <c r="N10" s="48" t="str">
        <f>'Monitoring Data R2'!G368</f>
        <v/>
      </c>
      <c r="O10" s="48" t="str">
        <f>'Monitoring Data R2'!G408</f>
        <v/>
      </c>
    </row>
    <row r="11" spans="1:15" ht="15.6" x14ac:dyDescent="0.3">
      <c r="A11" s="520"/>
      <c r="B11" s="77" t="s">
        <v>108</v>
      </c>
      <c r="C11" s="149" t="str">
        <f>'Quantification Tool R2'!C32</f>
        <v/>
      </c>
      <c r="D11" s="149" t="str">
        <f>'Quantification Tool R2'!D32</f>
        <v/>
      </c>
      <c r="E11" s="48" t="str">
        <f>'Monitoring Data R2'!G23</f>
        <v/>
      </c>
      <c r="F11" s="48" t="str">
        <f>'Monitoring Data R2'!G62</f>
        <v/>
      </c>
      <c r="G11" s="48" t="str">
        <f>'Monitoring Data R2'!G101</f>
        <v/>
      </c>
      <c r="H11" s="48" t="str">
        <f>'Monitoring Data R2'!G140</f>
        <v/>
      </c>
      <c r="I11" s="48" t="str">
        <f>'Monitoring Data R2'!G179</f>
        <v/>
      </c>
      <c r="J11" s="48" t="str">
        <f>'Monitoring Data R2'!G218</f>
        <v/>
      </c>
      <c r="K11" s="48" t="str">
        <f>'Monitoring Data R2'!G258</f>
        <v/>
      </c>
      <c r="L11" s="48" t="str">
        <f>'Monitoring Data R2'!G298</f>
        <v/>
      </c>
      <c r="M11" s="48" t="str">
        <f>'Monitoring Data R2'!G338</f>
        <v/>
      </c>
      <c r="N11" s="48" t="str">
        <f>'Monitoring Data R2'!G378</f>
        <v/>
      </c>
      <c r="O11" s="48" t="str">
        <f>'Monitoring Data R2'!G418</f>
        <v/>
      </c>
    </row>
    <row r="12" spans="1:15" ht="15.6" x14ac:dyDescent="0.3">
      <c r="A12" s="520"/>
      <c r="B12" s="77" t="s">
        <v>51</v>
      </c>
      <c r="C12" s="149" t="str">
        <f>'Quantification Tool R2'!C33</f>
        <v/>
      </c>
      <c r="D12" s="149" t="str">
        <f>'Quantification Tool R2'!D33</f>
        <v/>
      </c>
      <c r="E12" s="48" t="str">
        <f>'Monitoring Data R2'!G24</f>
        <v/>
      </c>
      <c r="F12" s="48" t="str">
        <f>'Monitoring Data R2'!G63</f>
        <v/>
      </c>
      <c r="G12" s="48" t="str">
        <f>'Monitoring Data R2'!G102</f>
        <v/>
      </c>
      <c r="H12" s="48" t="str">
        <f>'Monitoring Data R2'!G141</f>
        <v/>
      </c>
      <c r="I12" s="48" t="str">
        <f>'Monitoring Data R2'!G180</f>
        <v/>
      </c>
      <c r="J12" s="48" t="str">
        <f>'Monitoring Data R2'!G219</f>
        <v/>
      </c>
      <c r="K12" s="48" t="str">
        <f>'Monitoring Data R2'!G259</f>
        <v/>
      </c>
      <c r="L12" s="48" t="str">
        <f>'Monitoring Data R2'!G299</f>
        <v/>
      </c>
      <c r="M12" s="48" t="str">
        <f>'Monitoring Data R2'!G339</f>
        <v/>
      </c>
      <c r="N12" s="48" t="str">
        <f>'Monitoring Data R2'!G379</f>
        <v/>
      </c>
      <c r="O12" s="48" t="str">
        <f>'Monitoring Data R2'!G419</f>
        <v/>
      </c>
    </row>
    <row r="13" spans="1:15" ht="15.6" x14ac:dyDescent="0.3">
      <c r="A13" s="521"/>
      <c r="B13" s="77" t="s">
        <v>55</v>
      </c>
      <c r="C13" s="149" t="str">
        <f>'Quantification Tool R2'!C34</f>
        <v/>
      </c>
      <c r="D13" s="149" t="str">
        <f>'Quantification Tool R2'!D34</f>
        <v/>
      </c>
      <c r="E13" s="48" t="str">
        <f>'Monitoring Data R2'!G28</f>
        <v/>
      </c>
      <c r="F13" s="48" t="str">
        <f>'Monitoring Data R2'!G67</f>
        <v/>
      </c>
      <c r="G13" s="48" t="str">
        <f>'Monitoring Data R2'!G106</f>
        <v/>
      </c>
      <c r="H13" s="48" t="str">
        <f>'Monitoring Data R2'!G145</f>
        <v/>
      </c>
      <c r="I13" s="48" t="str">
        <f>'Monitoring Data R2'!G184</f>
        <v/>
      </c>
      <c r="J13" s="48" t="str">
        <f>'Monitoring Data R2'!G223</f>
        <v/>
      </c>
      <c r="K13" s="48" t="str">
        <f>'Monitoring Data R2'!G263</f>
        <v/>
      </c>
      <c r="L13" s="48" t="str">
        <f>'Monitoring Data R2'!G303</f>
        <v/>
      </c>
      <c r="M13" s="48" t="str">
        <f>'Monitoring Data R2'!G343</f>
        <v/>
      </c>
      <c r="N13" s="48" t="str">
        <f>'Monitoring Data R2'!G383</f>
        <v/>
      </c>
      <c r="O13" s="48" t="str">
        <f>'Monitoring Data R2'!G423</f>
        <v/>
      </c>
    </row>
    <row r="14" spans="1:15" ht="15.6" x14ac:dyDescent="0.3">
      <c r="A14" s="537" t="s">
        <v>58</v>
      </c>
      <c r="B14" s="67" t="s">
        <v>88</v>
      </c>
      <c r="C14" s="149" t="str">
        <f>'Quantification Tool R2'!C35</f>
        <v/>
      </c>
      <c r="D14" s="149" t="str">
        <f>'Quantification Tool R2'!D35</f>
        <v/>
      </c>
      <c r="E14" s="48" t="str">
        <f>'Monitoring Data R2'!G29</f>
        <v/>
      </c>
      <c r="F14" s="48" t="str">
        <f>'Monitoring Data R2'!G68</f>
        <v/>
      </c>
      <c r="G14" s="48" t="str">
        <f>'Monitoring Data R2'!G107</f>
        <v/>
      </c>
      <c r="H14" s="48" t="str">
        <f>'Monitoring Data R2'!G146</f>
        <v/>
      </c>
      <c r="I14" s="48" t="str">
        <f>'Monitoring Data R2'!G185</f>
        <v/>
      </c>
      <c r="J14" s="48" t="str">
        <f>'Monitoring Data R2'!G224</f>
        <v/>
      </c>
      <c r="K14" s="48" t="str">
        <f>'Monitoring Data R2'!G264</f>
        <v/>
      </c>
      <c r="L14" s="48" t="str">
        <f>'Monitoring Data R2'!G304</f>
        <v/>
      </c>
      <c r="M14" s="48" t="str">
        <f>'Monitoring Data R2'!G344</f>
        <v/>
      </c>
      <c r="N14" s="48" t="str">
        <f>'Monitoring Data R2'!G384</f>
        <v/>
      </c>
      <c r="O14" s="48" t="str">
        <f>'Monitoring Data R2'!G424</f>
        <v/>
      </c>
    </row>
    <row r="15" spans="1:15" ht="15.6" x14ac:dyDescent="0.3">
      <c r="A15" s="538"/>
      <c r="B15" s="297" t="s">
        <v>362</v>
      </c>
      <c r="C15" s="149" t="str">
        <f>'Quantification Tool R2'!C36</f>
        <v/>
      </c>
      <c r="D15" s="149" t="str">
        <f>'Quantification Tool R2'!D36</f>
        <v/>
      </c>
      <c r="E15" s="48" t="str">
        <f>'Monitoring Data R2'!G30</f>
        <v/>
      </c>
      <c r="F15" s="48" t="str">
        <f>'Monitoring Data R2'!G69</f>
        <v/>
      </c>
      <c r="G15" s="48" t="str">
        <f>'Monitoring Data R2'!G108</f>
        <v/>
      </c>
      <c r="H15" s="48" t="str">
        <f>'Monitoring Data R2'!G147</f>
        <v/>
      </c>
      <c r="I15" s="48" t="str">
        <f>'Monitoring Data R2'!G186</f>
        <v/>
      </c>
      <c r="J15" s="48" t="str">
        <f>'Monitoring Data R2'!G225</f>
        <v/>
      </c>
      <c r="K15" s="48" t="str">
        <f>'Monitoring Data R2'!G265</f>
        <v/>
      </c>
      <c r="L15" s="48" t="str">
        <f>'Monitoring Data R2'!G305</f>
        <v/>
      </c>
      <c r="M15" s="48" t="str">
        <f>'Monitoring Data R2'!G345</f>
        <v/>
      </c>
      <c r="N15" s="48" t="str">
        <f>'Monitoring Data R2'!G385</f>
        <v/>
      </c>
      <c r="O15" s="48" t="str">
        <f>'Monitoring Data R2'!G425</f>
        <v/>
      </c>
    </row>
    <row r="16" spans="1:15" ht="15.6" x14ac:dyDescent="0.3">
      <c r="A16" s="538"/>
      <c r="B16" s="67" t="s">
        <v>81</v>
      </c>
      <c r="C16" s="149" t="str">
        <f>'Quantification Tool R2'!C37</f>
        <v/>
      </c>
      <c r="D16" s="149" t="str">
        <f>'Quantification Tool R2'!D37</f>
        <v/>
      </c>
      <c r="E16" s="48" t="str">
        <f>'Monitoring Data R2'!G31</f>
        <v/>
      </c>
      <c r="F16" s="48" t="str">
        <f>'Monitoring Data R2'!G70</f>
        <v/>
      </c>
      <c r="G16" s="48" t="str">
        <f>'Monitoring Data R2'!G109</f>
        <v/>
      </c>
      <c r="H16" s="48" t="str">
        <f>'Monitoring Data R2'!G148</f>
        <v/>
      </c>
      <c r="I16" s="48" t="str">
        <f>'Monitoring Data R2'!G187</f>
        <v/>
      </c>
      <c r="J16" s="48" t="str">
        <f>'Monitoring Data R2'!G226</f>
        <v/>
      </c>
      <c r="K16" s="48" t="str">
        <f>'Monitoring Data R2'!G266</f>
        <v/>
      </c>
      <c r="L16" s="48" t="str">
        <f>'Monitoring Data R2'!G306</f>
        <v/>
      </c>
      <c r="M16" s="48" t="str">
        <f>'Monitoring Data R2'!G346</f>
        <v/>
      </c>
      <c r="N16" s="48" t="str">
        <f>'Monitoring Data R2'!G386</f>
        <v/>
      </c>
      <c r="O16" s="48" t="str">
        <f>'Monitoring Data R2'!G426</f>
        <v/>
      </c>
    </row>
    <row r="17" spans="1:19" ht="15.6" x14ac:dyDescent="0.3">
      <c r="A17" s="539"/>
      <c r="B17" s="298" t="s">
        <v>82</v>
      </c>
      <c r="C17" s="149" t="str">
        <f>'Quantification Tool R2'!C38</f>
        <v/>
      </c>
      <c r="D17" s="149" t="str">
        <f>'Quantification Tool R2'!D38</f>
        <v/>
      </c>
      <c r="E17" s="48" t="str">
        <f>'Monitoring Data R2'!G32</f>
        <v/>
      </c>
      <c r="F17" s="48" t="str">
        <f>'Monitoring Data R2'!G71</f>
        <v/>
      </c>
      <c r="G17" s="48" t="str">
        <f>'Monitoring Data R2'!G110</f>
        <v/>
      </c>
      <c r="H17" s="48" t="str">
        <f>'Monitoring Data R2'!G149</f>
        <v/>
      </c>
      <c r="I17" s="48" t="str">
        <f>'Monitoring Data R2'!G188</f>
        <v/>
      </c>
      <c r="J17" s="48" t="str">
        <f>'Monitoring Data R2'!G227</f>
        <v/>
      </c>
      <c r="K17" s="48" t="str">
        <f>'Monitoring Data R2'!G267</f>
        <v/>
      </c>
      <c r="L17" s="48" t="str">
        <f>'Monitoring Data R2'!G307</f>
        <v/>
      </c>
      <c r="M17" s="48" t="str">
        <f>'Monitoring Data R2'!G347</f>
        <v/>
      </c>
      <c r="N17" s="48" t="str">
        <f>'Monitoring Data R2'!G387</f>
        <v/>
      </c>
      <c r="O17" s="48" t="str">
        <f>'Monitoring Data R2'!G427</f>
        <v/>
      </c>
    </row>
    <row r="18" spans="1:19" ht="15.6" x14ac:dyDescent="0.3">
      <c r="A18" s="550" t="s">
        <v>59</v>
      </c>
      <c r="B18" s="78" t="s">
        <v>340</v>
      </c>
      <c r="C18" s="149" t="str">
        <f>'Quantification Tool R2'!C39</f>
        <v/>
      </c>
      <c r="D18" s="149" t="str">
        <f>'Quantification Tool R2'!D39</f>
        <v/>
      </c>
      <c r="E18" s="48" t="str">
        <f>'Monitoring Data R2'!G33</f>
        <v/>
      </c>
      <c r="F18" s="48" t="str">
        <f>'Monitoring Data R2'!G72</f>
        <v/>
      </c>
      <c r="G18" s="48" t="str">
        <f>'Monitoring Data R2'!G111</f>
        <v/>
      </c>
      <c r="H18" s="48" t="str">
        <f>'Monitoring Data R2'!G150</f>
        <v/>
      </c>
      <c r="I18" s="48" t="str">
        <f>'Monitoring Data R2'!G189</f>
        <v/>
      </c>
      <c r="J18" s="48" t="str">
        <f>'Monitoring Data R2'!G228</f>
        <v/>
      </c>
      <c r="K18" s="48" t="str">
        <f>'Monitoring Data R2'!G268</f>
        <v/>
      </c>
      <c r="L18" s="48" t="str">
        <f>'Monitoring Data R2'!G308</f>
        <v/>
      </c>
      <c r="M18" s="48" t="str">
        <f>'Monitoring Data R2'!G348</f>
        <v/>
      </c>
      <c r="N18" s="48" t="str">
        <f>'Monitoring Data R2'!G388</f>
        <v/>
      </c>
      <c r="O18" s="48" t="str">
        <f>'Monitoring Data R2'!G428</f>
        <v/>
      </c>
    </row>
    <row r="19" spans="1:19" ht="15.6" x14ac:dyDescent="0.3">
      <c r="A19" s="551"/>
      <c r="B19" s="78" t="s">
        <v>74</v>
      </c>
      <c r="C19" s="149" t="str">
        <f>'Quantification Tool R2'!C40</f>
        <v/>
      </c>
      <c r="D19" s="149" t="str">
        <f>'Quantification Tool R2'!D40</f>
        <v/>
      </c>
      <c r="E19" s="48" t="str">
        <f>'Monitoring Data R2'!G37</f>
        <v/>
      </c>
      <c r="F19" s="48" t="str">
        <f>'Monitoring Data R2'!G76</f>
        <v/>
      </c>
      <c r="G19" s="48" t="str">
        <f>'Monitoring Data R2'!G115</f>
        <v/>
      </c>
      <c r="H19" s="48" t="str">
        <f>'Monitoring Data R2'!G154</f>
        <v/>
      </c>
      <c r="I19" s="48" t="str">
        <f>'Monitoring Data R2'!G193</f>
        <v/>
      </c>
      <c r="J19" s="48" t="str">
        <f>'Monitoring Data R2'!G232</f>
        <v/>
      </c>
      <c r="K19" s="48" t="str">
        <f>'Monitoring Data R2'!G272</f>
        <v/>
      </c>
      <c r="L19" s="48" t="str">
        <f>'Monitoring Data R2'!G312</f>
        <v/>
      </c>
      <c r="M19" s="48" t="str">
        <f>'Monitoring Data R2'!G352</f>
        <v/>
      </c>
      <c r="N19" s="48" t="str">
        <f>'Monitoring Data R2'!G392</f>
        <v/>
      </c>
      <c r="O19" s="48" t="str">
        <f>'Monitoring Data R2'!G432</f>
        <v/>
      </c>
    </row>
    <row r="22" spans="1:19" ht="21" x14ac:dyDescent="0.3">
      <c r="A22" s="625" t="s">
        <v>102</v>
      </c>
      <c r="B22" s="626"/>
      <c r="C22" s="626"/>
      <c r="D22" s="626"/>
      <c r="E22" s="626"/>
      <c r="F22" s="626"/>
      <c r="G22" s="626"/>
      <c r="H22" s="626"/>
      <c r="I22" s="626"/>
      <c r="J22" s="626"/>
      <c r="K22" s="626"/>
      <c r="L22" s="626"/>
      <c r="M22" s="626"/>
      <c r="N22" s="626"/>
      <c r="O22" s="627"/>
    </row>
    <row r="23" spans="1:19" ht="14.4" customHeight="1" x14ac:dyDescent="0.3">
      <c r="A23" s="655" t="s">
        <v>103</v>
      </c>
      <c r="B23" s="656"/>
      <c r="C23" s="646" t="s">
        <v>104</v>
      </c>
      <c r="D23" s="646" t="s">
        <v>105</v>
      </c>
      <c r="E23" s="648" t="s">
        <v>132</v>
      </c>
      <c r="F23" s="650" t="s">
        <v>135</v>
      </c>
      <c r="G23" s="651"/>
      <c r="H23" s="651"/>
      <c r="I23" s="651"/>
      <c r="J23" s="651"/>
      <c r="K23" s="651"/>
      <c r="L23" s="651"/>
      <c r="M23" s="651"/>
      <c r="N23" s="651"/>
      <c r="O23" s="652"/>
      <c r="P23" s="141"/>
      <c r="Q23" s="141"/>
    </row>
    <row r="24" spans="1:19" ht="14.4" customHeight="1" x14ac:dyDescent="0.3">
      <c r="A24" s="657"/>
      <c r="B24" s="658"/>
      <c r="C24" s="647"/>
      <c r="D24" s="647"/>
      <c r="E24" s="649"/>
      <c r="F24" s="155" t="e">
        <f t="shared" ref="F24:O24" si="0">F4</f>
        <v>#N/A</v>
      </c>
      <c r="G24" s="155" t="e">
        <f t="shared" si="0"/>
        <v>#N/A</v>
      </c>
      <c r="H24" s="155" t="e">
        <f t="shared" si="0"/>
        <v>#N/A</v>
      </c>
      <c r="I24" s="155" t="e">
        <f t="shared" si="0"/>
        <v>#N/A</v>
      </c>
      <c r="J24" s="155" t="e">
        <f t="shared" si="0"/>
        <v>#N/A</v>
      </c>
      <c r="K24" s="155" t="e">
        <f t="shared" si="0"/>
        <v>#N/A</v>
      </c>
      <c r="L24" s="155" t="e">
        <f t="shared" si="0"/>
        <v>#N/A</v>
      </c>
      <c r="M24" s="155" t="e">
        <f t="shared" si="0"/>
        <v>#N/A</v>
      </c>
      <c r="N24" s="155" t="e">
        <f t="shared" si="0"/>
        <v>#N/A</v>
      </c>
      <c r="O24" s="155" t="e">
        <f t="shared" si="0"/>
        <v>#N/A</v>
      </c>
      <c r="P24" s="141"/>
      <c r="Q24" s="141"/>
    </row>
    <row r="25" spans="1:19" ht="14.4" customHeight="1" x14ac:dyDescent="0.3">
      <c r="A25" s="601" t="s">
        <v>60</v>
      </c>
      <c r="B25" s="601"/>
      <c r="C25" s="150" t="str">
        <f>'Quantification Tool R2'!H45</f>
        <v/>
      </c>
      <c r="D25" s="150" t="str">
        <f>'Quantification Tool R2'!H85</f>
        <v/>
      </c>
      <c r="E25" s="301" t="str">
        <f>'Monitoring Data R2'!H3</f>
        <v/>
      </c>
      <c r="F25" s="301" t="str">
        <f>'Monitoring Data R2'!H42</f>
        <v/>
      </c>
      <c r="G25" s="301" t="str">
        <f>'Monitoring Data R2'!H81</f>
        <v/>
      </c>
      <c r="H25" s="301" t="str">
        <f>'Monitoring Data R2'!H120</f>
        <v/>
      </c>
      <c r="I25" s="301" t="str">
        <f>'Monitoring Data R2'!H159</f>
        <v/>
      </c>
      <c r="J25" s="301" t="str">
        <f>'Monitoring Data R2'!H198</f>
        <v/>
      </c>
      <c r="K25" s="301" t="str">
        <f>'Monitoring Data R2'!H238</f>
        <v/>
      </c>
      <c r="L25" s="301" t="str">
        <f>'Monitoring Data R2'!H278</f>
        <v/>
      </c>
      <c r="M25" s="301" t="str">
        <f>'Monitoring Data R2'!H318</f>
        <v/>
      </c>
      <c r="N25" s="301" t="str">
        <f>'Monitoring Data R2'!H358</f>
        <v/>
      </c>
      <c r="O25" s="301" t="str">
        <f>'Monitoring Data R2'!H398</f>
        <v/>
      </c>
      <c r="P25" s="139"/>
      <c r="Q25" s="140"/>
      <c r="R25" s="138"/>
      <c r="S25" s="138"/>
    </row>
    <row r="26" spans="1:19" ht="14.4" customHeight="1" x14ac:dyDescent="0.3">
      <c r="A26" s="602" t="s">
        <v>6</v>
      </c>
      <c r="B26" s="602"/>
      <c r="C26" s="150" t="str">
        <f>'Quantification Tool R2'!H47</f>
        <v/>
      </c>
      <c r="D26" s="150" t="str">
        <f>'Quantification Tool R2'!H87</f>
        <v/>
      </c>
      <c r="E26" s="301" t="str">
        <f>'Monitoring Data R2'!H5</f>
        <v/>
      </c>
      <c r="F26" s="301" t="str">
        <f>'Monitoring Data R2'!H44</f>
        <v/>
      </c>
      <c r="G26" s="301" t="str">
        <f>'Monitoring Data R2'!H83</f>
        <v/>
      </c>
      <c r="H26" s="301" t="str">
        <f>'Monitoring Data R2'!H122</f>
        <v/>
      </c>
      <c r="I26" s="301" t="str">
        <f>'Monitoring Data R2'!H161</f>
        <v/>
      </c>
      <c r="J26" s="301" t="str">
        <f>'Monitoring Data R2'!H200</f>
        <v/>
      </c>
      <c r="K26" s="301" t="str">
        <f>'Monitoring Data R2'!H240</f>
        <v/>
      </c>
      <c r="L26" s="301" t="str">
        <f>'Monitoring Data R2'!H280</f>
        <v/>
      </c>
      <c r="M26" s="301" t="str">
        <f>'Monitoring Data R2'!H320</f>
        <v/>
      </c>
      <c r="N26" s="301" t="str">
        <f>'Monitoring Data R2'!H360</f>
        <v/>
      </c>
      <c r="O26" s="301" t="str">
        <f>'Monitoring Data R2'!H400</f>
        <v/>
      </c>
      <c r="P26" s="139"/>
      <c r="Q26" s="139"/>
      <c r="R26" s="138"/>
      <c r="S26" s="138"/>
    </row>
    <row r="27" spans="1:19" ht="14.4" customHeight="1" x14ac:dyDescent="0.3">
      <c r="A27" s="661" t="s">
        <v>26</v>
      </c>
      <c r="B27" s="661"/>
      <c r="C27" s="150" t="str">
        <f>'Quantification Tool R2'!H49</f>
        <v/>
      </c>
      <c r="D27" s="150" t="str">
        <f>'Quantification Tool R2'!H89</f>
        <v/>
      </c>
      <c r="E27" s="301" t="str">
        <f>'Monitoring Data R2'!H7</f>
        <v/>
      </c>
      <c r="F27" s="301" t="str">
        <f>'Monitoring Data R2'!H46</f>
        <v/>
      </c>
      <c r="G27" s="301" t="str">
        <f>'Monitoring Data R2'!H85</f>
        <v/>
      </c>
      <c r="H27" s="301" t="str">
        <f>'Monitoring Data R2'!H124</f>
        <v/>
      </c>
      <c r="I27" s="301" t="str">
        <f>'Monitoring Data R2'!H163</f>
        <v/>
      </c>
      <c r="J27" s="301" t="str">
        <f>'Monitoring Data R2'!H202</f>
        <v/>
      </c>
      <c r="K27" s="301" t="str">
        <f>'Monitoring Data R2'!H242</f>
        <v/>
      </c>
      <c r="L27" s="301" t="str">
        <f>'Monitoring Data R2'!H282</f>
        <v/>
      </c>
      <c r="M27" s="301" t="str">
        <f>'Monitoring Data R2'!H322</f>
        <v/>
      </c>
      <c r="N27" s="301" t="str">
        <f>'Monitoring Data R2'!H362</f>
        <v/>
      </c>
      <c r="O27" s="301" t="str">
        <f>'Monitoring Data R2'!H402</f>
        <v/>
      </c>
      <c r="P27" s="139"/>
      <c r="Q27" s="140"/>
      <c r="R27" s="138"/>
      <c r="S27" s="138"/>
    </row>
    <row r="28" spans="1:19" ht="18" x14ac:dyDescent="0.3">
      <c r="A28" s="662" t="s">
        <v>58</v>
      </c>
      <c r="B28" s="662"/>
      <c r="C28" s="150" t="str">
        <f>'Quantification Tool R2'!H71</f>
        <v/>
      </c>
      <c r="D28" s="150" t="str">
        <f>'Quantification Tool R2'!H111</f>
        <v/>
      </c>
      <c r="E28" s="301" t="str">
        <f>'Monitoring Data R2'!H29</f>
        <v/>
      </c>
      <c r="F28" s="301" t="str">
        <f>'Monitoring Data R2'!H68</f>
        <v/>
      </c>
      <c r="G28" s="301" t="str">
        <f>'Monitoring Data R2'!H107</f>
        <v/>
      </c>
      <c r="H28" s="301" t="str">
        <f>'Monitoring Data R2'!H146</f>
        <v/>
      </c>
      <c r="I28" s="301" t="str">
        <f>'Monitoring Data R2'!H185</f>
        <v/>
      </c>
      <c r="J28" s="301" t="str">
        <f>'Monitoring Data R2'!H224</f>
        <v/>
      </c>
      <c r="K28" s="301" t="str">
        <f>'Monitoring Data R2'!H264</f>
        <v/>
      </c>
      <c r="L28" s="301" t="str">
        <f>'Monitoring Data R2'!H304</f>
        <v/>
      </c>
      <c r="M28" s="301" t="str">
        <f>'Monitoring Data R2'!H344</f>
        <v/>
      </c>
      <c r="N28" s="301" t="str">
        <f>'Monitoring Data R2'!H384</f>
        <v/>
      </c>
      <c r="O28" s="301" t="str">
        <f>'Monitoring Data R2'!H424</f>
        <v/>
      </c>
      <c r="P28" s="139"/>
      <c r="Q28" s="140"/>
      <c r="R28" s="138"/>
      <c r="S28" s="138"/>
    </row>
    <row r="29" spans="1:19" ht="18" x14ac:dyDescent="0.3">
      <c r="A29" s="660" t="s">
        <v>59</v>
      </c>
      <c r="B29" s="660"/>
      <c r="C29" s="150" t="str">
        <f>'Quantification Tool R2'!H75</f>
        <v/>
      </c>
      <c r="D29" s="150" t="str">
        <f>'Quantification Tool R2'!H115</f>
        <v/>
      </c>
      <c r="E29" s="301" t="str">
        <f>'Monitoring Data R2'!H33</f>
        <v/>
      </c>
      <c r="F29" s="301" t="str">
        <f>'Monitoring Data R2'!H72</f>
        <v/>
      </c>
      <c r="G29" s="301" t="str">
        <f>'Monitoring Data R2'!H111</f>
        <v/>
      </c>
      <c r="H29" s="301" t="str">
        <f>'Monitoring Data R2'!H150</f>
        <v/>
      </c>
      <c r="I29" s="301" t="str">
        <f>'Monitoring Data R2'!H189</f>
        <v/>
      </c>
      <c r="J29" s="301" t="str">
        <f>'Monitoring Data R2'!H228</f>
        <v/>
      </c>
      <c r="K29" s="301" t="str">
        <f>'Monitoring Data R2'!H268</f>
        <v/>
      </c>
      <c r="L29" s="301" t="str">
        <f>'Monitoring Data R2'!H308</f>
        <v/>
      </c>
      <c r="M29" s="301" t="str">
        <f>'Monitoring Data R2'!H348</f>
        <v/>
      </c>
      <c r="N29" s="301" t="str">
        <f>'Monitoring Data R2'!H388</f>
        <v/>
      </c>
      <c r="O29" s="301" t="str">
        <f>'Monitoring Data R2'!H428</f>
        <v/>
      </c>
      <c r="P29" s="139"/>
      <c r="Q29" s="139"/>
      <c r="R29" s="138"/>
      <c r="S29" s="138"/>
    </row>
    <row r="30" spans="1:19" ht="18" x14ac:dyDescent="0.35">
      <c r="A30" s="659" t="s">
        <v>133</v>
      </c>
      <c r="B30" s="659"/>
      <c r="C30" s="151">
        <f>ROUND(0.2*SUM(C25:C29),2)</f>
        <v>0</v>
      </c>
      <c r="D30" s="151">
        <f>ROUND(0.2*SUM(D25:D29),2)</f>
        <v>0</v>
      </c>
      <c r="E30" s="305">
        <f t="shared" ref="E30" si="1">ROUND(0.2*SUM(E25:E29),2)</f>
        <v>0</v>
      </c>
      <c r="F30" s="142" t="e">
        <f>IF(F24="","",ROUND(0.2*SUM(F25:F29),2))</f>
        <v>#N/A</v>
      </c>
      <c r="G30" s="142" t="e">
        <f>IF(G24="","",ROUND(0.2*SUM(G25:G29),2))</f>
        <v>#N/A</v>
      </c>
      <c r="H30" s="142" t="e">
        <f>IF(H24="","",ROUND(0.2*SUM(H25:H29),2))</f>
        <v>#N/A</v>
      </c>
      <c r="I30" s="142" t="e">
        <f t="shared" ref="I30:O30" si="2">IF(I24="","",ROUND(0.2*SUM(I25:I29),2))</f>
        <v>#N/A</v>
      </c>
      <c r="J30" s="142" t="e">
        <f t="shared" si="2"/>
        <v>#N/A</v>
      </c>
      <c r="K30" s="142" t="e">
        <f t="shared" si="2"/>
        <v>#N/A</v>
      </c>
      <c r="L30" s="142" t="e">
        <f t="shared" si="2"/>
        <v>#N/A</v>
      </c>
      <c r="M30" s="142" t="e">
        <f t="shared" si="2"/>
        <v>#N/A</v>
      </c>
      <c r="N30" s="142" t="e">
        <f t="shared" si="2"/>
        <v>#N/A</v>
      </c>
      <c r="O30" s="142" t="e">
        <f t="shared" si="2"/>
        <v>#N/A</v>
      </c>
    </row>
    <row r="31" spans="1:19" ht="18" x14ac:dyDescent="0.35">
      <c r="A31" s="659" t="s">
        <v>134</v>
      </c>
      <c r="B31" s="659"/>
      <c r="C31" s="151">
        <f>ROUND(C30*'Quantification Tool R2'!B15,0)</f>
        <v>0</v>
      </c>
      <c r="D31" s="152">
        <f>ROUND(D30*'Quantification Tool R2'!$B$16,0)</f>
        <v>0</v>
      </c>
      <c r="E31" s="300">
        <f>ROUND(E30*'Quantification Tool R2'!$B$16,0)</f>
        <v>0</v>
      </c>
      <c r="F31" s="300" t="str">
        <f>IFERROR(ROUND(F30*'Quantification Tool R2'!$B$16,0),"")</f>
        <v/>
      </c>
      <c r="G31" s="300" t="str">
        <f>IFERROR(ROUND(G30*'Quantification Tool R2'!$B$16,0),"")</f>
        <v/>
      </c>
      <c r="H31" s="300" t="str">
        <f>IFERROR(ROUND(H30*'Quantification Tool R2'!$B$16,0),"")</f>
        <v/>
      </c>
      <c r="I31" s="300" t="str">
        <f>IFERROR(ROUND(I30*'Quantification Tool R2'!$B$16,0),"")</f>
        <v/>
      </c>
      <c r="J31" s="300" t="str">
        <f>IFERROR(ROUND(J30*'Quantification Tool R2'!$B$16,0),"")</f>
        <v/>
      </c>
      <c r="K31" s="300" t="str">
        <f>IFERROR(ROUND(K30*'Quantification Tool R2'!$B$16,0),"")</f>
        <v/>
      </c>
      <c r="L31" s="300" t="str">
        <f>IFERROR(ROUND(L30*'Quantification Tool R2'!$B$16,0),"")</f>
        <v/>
      </c>
      <c r="M31" s="300" t="str">
        <f>IFERROR(ROUND(M30*'Quantification Tool R2'!$B$16,0),"")</f>
        <v/>
      </c>
      <c r="N31" s="300" t="str">
        <f>IFERROR(ROUND(N30*'Quantification Tool R2'!$B$16,0),"")</f>
        <v/>
      </c>
      <c r="O31" s="300" t="str">
        <f>IFERROR(ROUND(O30*'Quantification Tool R2'!$B$16,0),"")</f>
        <v/>
      </c>
    </row>
    <row r="32" spans="1:19" ht="18" x14ac:dyDescent="0.35">
      <c r="C32" s="143"/>
    </row>
    <row r="34" spans="1:1" x14ac:dyDescent="0.3">
      <c r="A34" s="295" t="s">
        <v>136</v>
      </c>
    </row>
    <row r="35" spans="1:1" x14ac:dyDescent="0.3">
      <c r="A35" s="295" t="e">
        <f>IFERROR(O24,IFERROR(N24,IFERROR(M24,IFERROR(L24,IFERROR(K24,IFERROR(J24,IFERROR(I24,IFERROR(H24,IFERROR(G24,F24)))))))))</f>
        <v>#N/A</v>
      </c>
    </row>
  </sheetData>
  <sheetProtection password="9A90" sheet="1" objects="1" scenarios="1" selectLockedCells="1"/>
  <mergeCells count="24">
    <mergeCell ref="A2:O2"/>
    <mergeCell ref="A3:A4"/>
    <mergeCell ref="B3:B4"/>
    <mergeCell ref="C3:C4"/>
    <mergeCell ref="D3:D4"/>
    <mergeCell ref="E3:E4"/>
    <mergeCell ref="F3:O3"/>
    <mergeCell ref="A23:B24"/>
    <mergeCell ref="C23:C24"/>
    <mergeCell ref="D23:D24"/>
    <mergeCell ref="E23:E24"/>
    <mergeCell ref="F23:O23"/>
    <mergeCell ref="A5:A6"/>
    <mergeCell ref="A8:A13"/>
    <mergeCell ref="A14:A17"/>
    <mergeCell ref="A18:A19"/>
    <mergeCell ref="A22:O22"/>
    <mergeCell ref="A31:B31"/>
    <mergeCell ref="A25:B25"/>
    <mergeCell ref="A26:B26"/>
    <mergeCell ref="A27:B27"/>
    <mergeCell ref="A28:B28"/>
    <mergeCell ref="A29:B29"/>
    <mergeCell ref="A30:B30"/>
  </mergeCells>
  <conditionalFormatting sqref="A18">
    <cfRule type="beginsWith" dxfId="6888" priority="47" stopIfTrue="1" operator="beginsWith" text="Functioning At Risk">
      <formula>LEFT(A18,LEN("Functioning At Risk"))="Functioning At Risk"</formula>
    </cfRule>
    <cfRule type="beginsWith" dxfId="6887" priority="48" stopIfTrue="1" operator="beginsWith" text="Not Functioning">
      <formula>LEFT(A18,LEN("Not Functioning"))="Not Functioning"</formula>
    </cfRule>
    <cfRule type="containsText" dxfId="6886" priority="49" operator="containsText" text="Functioning">
      <formula>NOT(ISERROR(SEARCH("Functioning",A18)))</formula>
    </cfRule>
  </conditionalFormatting>
  <conditionalFormatting sqref="B18">
    <cfRule type="beginsWith" dxfId="6885" priority="41" stopIfTrue="1" operator="beginsWith" text="Functioning At Risk">
      <formula>LEFT(B18,LEN("Functioning At Risk"))="Functioning At Risk"</formula>
    </cfRule>
    <cfRule type="beginsWith" dxfId="6884" priority="42" stopIfTrue="1" operator="beginsWith" text="Not Functioning">
      <formula>LEFT(B18,LEN("Not Functioning"))="Not Functioning"</formula>
    </cfRule>
    <cfRule type="containsText" dxfId="6883" priority="43" operator="containsText" text="Functioning">
      <formula>NOT(ISERROR(SEARCH("Functioning",B18)))</formula>
    </cfRule>
  </conditionalFormatting>
  <conditionalFormatting sqref="B19">
    <cfRule type="beginsWith" dxfId="6882" priority="38" stopIfTrue="1" operator="beginsWith" text="Functioning At Risk">
      <formula>LEFT(B19,LEN("Functioning At Risk"))="Functioning At Risk"</formula>
    </cfRule>
    <cfRule type="beginsWith" dxfId="6881" priority="39" stopIfTrue="1" operator="beginsWith" text="Not Functioning">
      <formula>LEFT(B19,LEN("Not Functioning"))="Not Functioning"</formula>
    </cfRule>
    <cfRule type="containsText" dxfId="6880" priority="40" operator="containsText" text="Functioning">
      <formula>NOT(ISERROR(SEARCH("Functioning",B19)))</formula>
    </cfRule>
  </conditionalFormatting>
  <conditionalFormatting sqref="A14">
    <cfRule type="beginsWith" dxfId="6879" priority="35" stopIfTrue="1" operator="beginsWith" text="Functioning At Risk">
      <formula>LEFT(A14,LEN("Functioning At Risk"))="Functioning At Risk"</formula>
    </cfRule>
    <cfRule type="beginsWith" dxfId="6878" priority="36" stopIfTrue="1" operator="beginsWith" text="Not Functioning">
      <formula>LEFT(A14,LEN("Not Functioning"))="Not Functioning"</formula>
    </cfRule>
    <cfRule type="containsText" dxfId="6877" priority="37" operator="containsText" text="Functioning">
      <formula>NOT(ISERROR(SEARCH("Functioning",A14)))</formula>
    </cfRule>
  </conditionalFormatting>
  <conditionalFormatting sqref="C25:O29 C5:O19">
    <cfRule type="cellIs" dxfId="6876" priority="44" operator="between">
      <formula>0</formula>
      <formula>0.299999</formula>
    </cfRule>
    <cfRule type="cellIs" dxfId="6875" priority="45" operator="between">
      <formula>0.6999999</formula>
      <formula>0.3</formula>
    </cfRule>
    <cfRule type="cellIs" dxfId="6874" priority="46" operator="between">
      <formula>0.7</formula>
      <formula>1</formula>
    </cfRule>
  </conditionalFormatting>
  <conditionalFormatting sqref="Q28:S28">
    <cfRule type="beginsWith" dxfId="6873" priority="11" stopIfTrue="1" operator="beginsWith" text="Functioning At Risk">
      <formula>LEFT(Q28,LEN("Functioning At Risk"))="Functioning At Risk"</formula>
    </cfRule>
    <cfRule type="beginsWith" dxfId="6872" priority="12" stopIfTrue="1" operator="beginsWith" text="Not Functioning">
      <formula>LEFT(Q28,LEN("Not Functioning"))="Not Functioning"</formula>
    </cfRule>
    <cfRule type="containsText" dxfId="6871" priority="13" operator="containsText" text="Functioning">
      <formula>NOT(ISERROR(SEARCH("Functioning",Q28)))</formula>
    </cfRule>
  </conditionalFormatting>
  <conditionalFormatting sqref="P28">
    <cfRule type="beginsWith" dxfId="6870" priority="8" stopIfTrue="1" operator="beginsWith" text="Functioning At Risk">
      <formula>LEFT(P28,LEN("Functioning At Risk"))="Functioning At Risk"</formula>
    </cfRule>
    <cfRule type="beginsWith" dxfId="6869" priority="9" stopIfTrue="1" operator="beginsWith" text="Not Functioning">
      <formula>LEFT(P28,LEN("Not Functioning"))="Not Functioning"</formula>
    </cfRule>
    <cfRule type="containsText" dxfId="6868" priority="10" operator="containsText" text="Functioning">
      <formula>NOT(ISERROR(SEARCH("Functioning",P28)))</formula>
    </cfRule>
  </conditionalFormatting>
  <conditionalFormatting sqref="P23:P24">
    <cfRule type="beginsWith" dxfId="6867" priority="32" stopIfTrue="1" operator="beginsWith" text="Functioning At Risk">
      <formula>LEFT(P23,LEN("Functioning At Risk"))="Functioning At Risk"</formula>
    </cfRule>
    <cfRule type="beginsWith" dxfId="6866" priority="33" stopIfTrue="1" operator="beginsWith" text="Not Functioning">
      <formula>LEFT(P23,LEN("Not Functioning"))="Not Functioning"</formula>
    </cfRule>
    <cfRule type="containsText" dxfId="6865" priority="34" operator="containsText" text="Functioning">
      <formula>NOT(ISERROR(SEARCH("Functioning",P23)))</formula>
    </cfRule>
  </conditionalFormatting>
  <conditionalFormatting sqref="A22">
    <cfRule type="beginsWith" dxfId="6864" priority="29" stopIfTrue="1" operator="beginsWith" text="Functioning At Risk">
      <formula>LEFT(A22,LEN("Functioning At Risk"))="Functioning At Risk"</formula>
    </cfRule>
    <cfRule type="beginsWith" dxfId="6863" priority="30" stopIfTrue="1" operator="beginsWith" text="Not Functioning">
      <formula>LEFT(A22,LEN("Not Functioning"))="Not Functioning"</formula>
    </cfRule>
    <cfRule type="containsText" dxfId="6862" priority="31" operator="containsText" text="Functioning">
      <formula>NOT(ISERROR(SEARCH("Functioning",A22)))</formula>
    </cfRule>
  </conditionalFormatting>
  <conditionalFormatting sqref="A28">
    <cfRule type="beginsWith" dxfId="6861" priority="26" stopIfTrue="1" operator="beginsWith" text="Functioning At Risk">
      <formula>LEFT(A28,LEN("Functioning At Risk"))="Functioning At Risk"</formula>
    </cfRule>
    <cfRule type="beginsWith" dxfId="6860" priority="27" stopIfTrue="1" operator="beginsWith" text="Not Functioning">
      <formula>LEFT(A28,LEN("Not Functioning"))="Not Functioning"</formula>
    </cfRule>
    <cfRule type="containsText" dxfId="6859" priority="28" operator="containsText" text="Functioning">
      <formula>NOT(ISERROR(SEARCH("Functioning",A28)))</formula>
    </cfRule>
  </conditionalFormatting>
  <conditionalFormatting sqref="A27">
    <cfRule type="beginsWith" dxfId="6858" priority="23" stopIfTrue="1" operator="beginsWith" text="Functioning At Risk">
      <formula>LEFT(A27,LEN("Functioning At Risk"))="Functioning At Risk"</formula>
    </cfRule>
    <cfRule type="beginsWith" dxfId="6857" priority="24" stopIfTrue="1" operator="beginsWith" text="Not Functioning">
      <formula>LEFT(A27,LEN("Not Functioning"))="Not Functioning"</formula>
    </cfRule>
    <cfRule type="containsText" dxfId="6856" priority="25" operator="containsText" text="Functioning">
      <formula>NOT(ISERROR(SEARCH("Functioning",A27)))</formula>
    </cfRule>
  </conditionalFormatting>
  <conditionalFormatting sqref="A26">
    <cfRule type="beginsWith" dxfId="6855" priority="20" stopIfTrue="1" operator="beginsWith" text="Functioning At Risk">
      <formula>LEFT(A26,LEN("Functioning At Risk"))="Functioning At Risk"</formula>
    </cfRule>
    <cfRule type="beginsWith" dxfId="6854" priority="21" stopIfTrue="1" operator="beginsWith" text="Not Functioning">
      <formula>LEFT(A26,LEN("Not Functioning"))="Not Functioning"</formula>
    </cfRule>
    <cfRule type="containsText" dxfId="6853" priority="22" operator="containsText" text="Functioning">
      <formula>NOT(ISERROR(SEARCH("Functioning",A26)))</formula>
    </cfRule>
  </conditionalFormatting>
  <conditionalFormatting sqref="A29">
    <cfRule type="beginsWith" dxfId="6852" priority="17" stopIfTrue="1" operator="beginsWith" text="Functioning At Risk">
      <formula>LEFT(A29,LEN("Functioning At Risk"))="Functioning At Risk"</formula>
    </cfRule>
    <cfRule type="beginsWith" dxfId="6851" priority="18" stopIfTrue="1" operator="beginsWith" text="Not Functioning">
      <formula>LEFT(A29,LEN("Not Functioning"))="Not Functioning"</formula>
    </cfRule>
    <cfRule type="containsText" dxfId="6850" priority="19" operator="containsText" text="Functioning">
      <formula>NOT(ISERROR(SEARCH("Functioning",A29)))</formula>
    </cfRule>
  </conditionalFormatting>
  <conditionalFormatting sqref="P29:S29 P26:S27">
    <cfRule type="beginsWith" dxfId="6849" priority="14" stopIfTrue="1" operator="beginsWith" text="Functioning At Risk">
      <formula>LEFT(P26,LEN("Functioning At Risk"))="Functioning At Risk"</formula>
    </cfRule>
    <cfRule type="beginsWith" dxfId="6848" priority="15" stopIfTrue="1" operator="beginsWith" text="Not Functioning">
      <formula>LEFT(P26,LEN("Not Functioning"))="Not Functioning"</formula>
    </cfRule>
    <cfRule type="containsText" dxfId="6847" priority="16" operator="containsText" text="Functioning">
      <formula>NOT(ISERROR(SEARCH("Functioning",P26)))</formula>
    </cfRule>
  </conditionalFormatting>
  <conditionalFormatting sqref="F4:O4">
    <cfRule type="containsErrors" dxfId="6846" priority="7">
      <formula>ISERROR(F4)</formula>
    </cfRule>
  </conditionalFormatting>
  <conditionalFormatting sqref="F24:O24">
    <cfRule type="containsErrors" dxfId="6845" priority="6">
      <formula>ISERROR(F24)</formula>
    </cfRule>
  </conditionalFormatting>
  <conditionalFormatting sqref="E30:O30">
    <cfRule type="containsErrors" dxfId="6844" priority="5">
      <formula>ISERROR(E30)</formula>
    </cfRule>
  </conditionalFormatting>
  <conditionalFormatting sqref="B16:B17 B14">
    <cfRule type="beginsWith" dxfId="6843" priority="2" stopIfTrue="1" operator="beginsWith" text="Functioning At Risk">
      <formula>LEFT(B14,LEN("Functioning At Risk"))="Functioning At Risk"</formula>
    </cfRule>
    <cfRule type="beginsWith" dxfId="6842" priority="3" stopIfTrue="1" operator="beginsWith" text="Not Functioning">
      <formula>LEFT(B14,LEN("Not Functioning"))="Not Functioning"</formula>
    </cfRule>
    <cfRule type="containsText" dxfId="6841" priority="4" operator="containsText" text="Functioning">
      <formula>NOT(ISERROR(SEARCH("Functioning",B14)))</formula>
    </cfRule>
  </conditionalFormatting>
  <pageMargins left="0.7" right="0.7" top="0.75" bottom="0.75" header="0.3" footer="0.3"/>
  <pageSetup paperSize="3" orientation="landscape" r:id="rId1"/>
  <headerFooter>
    <oddHeader>&amp;C&amp;"-,Bold"TN SQT v1.0
Data Summary Spreadsheet Reach 2</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DAFA34A6-1FBA-45C3-AC55-EB4C6EC6EC27}">
            <xm:f>'Quantification Tool R2'!$B$18="Ephemeral"</xm:f>
            <x14:dxf>
              <fill>
                <patternFill patternType="darkDown"/>
              </fill>
            </x14:dxf>
          </x14:cfRule>
          <xm:sqref>C7:O7 C11:O19 C26:O26 C28:O29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Project Assessment</vt:lpstr>
      <vt:lpstr>Watershed Assessment</vt:lpstr>
      <vt:lpstr>Parameter Selection Guide</vt:lpstr>
      <vt:lpstr>Quantification Tool R1</vt:lpstr>
      <vt:lpstr>Monitoring Data R1</vt:lpstr>
      <vt:lpstr>Data Summary R1</vt:lpstr>
      <vt:lpstr>Quantification Tool R2</vt:lpstr>
      <vt:lpstr>Monitoring Data R2</vt:lpstr>
      <vt:lpstr>Data Summary R2</vt:lpstr>
      <vt:lpstr>Quantification Tool R3</vt:lpstr>
      <vt:lpstr>Monitoring Data R3</vt:lpstr>
      <vt:lpstr>Data Summary R3</vt:lpstr>
      <vt:lpstr>Quantification Tool R4</vt:lpstr>
      <vt:lpstr>Monitoring Data R4</vt:lpstr>
      <vt:lpstr>Data Summary R4</vt:lpstr>
      <vt:lpstr>Quantification Tool R5</vt:lpstr>
      <vt:lpstr>Monitoring Data R5</vt:lpstr>
      <vt:lpstr>Data Summary R5</vt:lpstr>
      <vt:lpstr>Reference Standards</vt:lpstr>
      <vt:lpstr>Pull Down Notes</vt:lpstr>
      <vt:lpstr>BedMaterial</vt:lpstr>
      <vt:lpstr>BEHI.NBS</vt:lpstr>
      <vt:lpstr>CatchmentAssessment</vt:lpstr>
      <vt:lpstr>'Monitoring Data R1'!Print_Area</vt:lpstr>
      <vt:lpstr>'Monitoring Data R2'!Print_Area</vt:lpstr>
      <vt:lpstr>'Monitoring Data R3'!Print_Area</vt:lpstr>
      <vt:lpstr>'Monitoring Data R4'!Print_Area</vt:lpstr>
      <vt:lpstr>'Monitoring Data R5'!Print_Area</vt:lpstr>
      <vt:lpstr>'Parameter Selection Guide'!Print_Area</vt:lpstr>
      <vt:lpstr>'Quantification Tool R1'!Print_Area</vt:lpstr>
      <vt:lpstr>'Quantification Tool R2'!Print_Area</vt:lpstr>
      <vt:lpstr>'Quantification Tool R3'!Print_Area</vt:lpstr>
      <vt:lpstr>'Quantification Tool R4'!Print_Area</vt:lpstr>
      <vt:lpstr>'Quantification Tool R5'!Print_Area</vt:lpstr>
      <vt:lpstr>'Reference Standards'!Print_Area</vt:lpstr>
      <vt:lpstr>ProgramGoals</vt:lpstr>
      <vt:lpstr>Region</vt:lpstr>
      <vt:lpstr>StreamType</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Vena L. Jones</cp:lastModifiedBy>
  <cp:lastPrinted>2018-10-01T19:01:19Z</cp:lastPrinted>
  <dcterms:created xsi:type="dcterms:W3CDTF">2014-08-22T20:36:47Z</dcterms:created>
  <dcterms:modified xsi:type="dcterms:W3CDTF">2019-05-02T16:24:43Z</dcterms:modified>
</cp:coreProperties>
</file>