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975" yWindow="30" windowWidth="18990" windowHeight="12090"/>
  </bookViews>
  <sheets>
    <sheet name="Intro" sheetId="9" r:id="rId1"/>
    <sheet name="CC Formula" sheetId="2" r:id="rId2"/>
    <sheet name="Univ Formula" sheetId="3" r:id="rId3"/>
    <sheet name="2015-16 Recommendation" sheetId="8" r:id="rId4"/>
  </sheets>
  <externalReferences>
    <externalReference r:id="rId5"/>
    <externalReference r:id="rId6"/>
    <externalReference r:id="rId7"/>
    <externalReference r:id="rId8"/>
  </externalReferences>
  <definedNames>
    <definedName name="_">#REF!</definedName>
    <definedName name="_CEN1">#REF!</definedName>
    <definedName name="_SA3">#REF!</definedName>
    <definedName name="_SC2">#REF!</definedName>
    <definedName name="_Scd10">#REF!</definedName>
    <definedName name="_Scd11">#REF!</definedName>
    <definedName name="_Scd12">#REF!</definedName>
    <definedName name="_Scd2">#REF!</definedName>
    <definedName name="_Scd3">#REF!</definedName>
    <definedName name="_Scd4">#REF!</definedName>
    <definedName name="_SCD5">#REF!</definedName>
    <definedName name="_Scd6">#REF!</definedName>
    <definedName name="_Scd7">#REF!</definedName>
    <definedName name="_Scd8">#REF!</definedName>
    <definedName name="_Scd9">#REF!</definedName>
    <definedName name="A">#REF!</definedName>
    <definedName name="A3Inst">#REF!</definedName>
    <definedName name="B">#REF!</definedName>
    <definedName name="Button5">"Button 5"</definedName>
    <definedName name="cbh">#REF!</definedName>
    <definedName name="CBInst">#REF!</definedName>
    <definedName name="cempapp">#REF!</definedName>
    <definedName name="CEMPEAPP">#REF!</definedName>
    <definedName name="CEMPEGT">#REF!</definedName>
    <definedName name="CEMPEINS">#REF!</definedName>
    <definedName name="CEMPEMAT">#REF!</definedName>
    <definedName name="cempmat">#REF!</definedName>
    <definedName name="cemptot">#REF!</definedName>
    <definedName name="EInst">#REF!</definedName>
    <definedName name="FInst">#REF!</definedName>
    <definedName name="FMRGRAD">#REF!</definedName>
    <definedName name="FMRPFTE">#REF!</definedName>
    <definedName name="FMRPFTET">#REF!</definedName>
    <definedName name="FMRPGRAD">#REF!</definedName>
    <definedName name="FTERESENR">#REF!</definedName>
    <definedName name="NETRESACT">#REF!</definedName>
    <definedName name="PNFADDAPP">#REF!</definedName>
    <definedName name="PNFOC">#REF!</definedName>
    <definedName name="PNFTotExp">#REF!</definedName>
    <definedName name="PNFTotRev">#REF!</definedName>
    <definedName name="_xlnm.Print_Area" localSheetId="3">'2015-16 Recommendation'!$B$1:$J$48</definedName>
    <definedName name="_xlnm.Print_Area" localSheetId="1">'CC Formula'!$B$2:$O$126</definedName>
    <definedName name="_xlnm.Print_Area" localSheetId="2">'Univ Formula'!$B$2:$K$110</definedName>
    <definedName name="_xlnm.Print_Titles" localSheetId="2">'Univ Formula'!$2:$2</definedName>
    <definedName name="russ">#REF!</definedName>
    <definedName name="S13A">#REF!</definedName>
    <definedName name="S13B">#REF!</definedName>
    <definedName name="S13C">#REF!</definedName>
    <definedName name="S14A">#REF!</definedName>
    <definedName name="S14B">#REF!</definedName>
    <definedName name="S14C">#REF!</definedName>
    <definedName name="S15A">#REF!</definedName>
    <definedName name="S15B">#REF!</definedName>
    <definedName name="S15C">#REF!</definedName>
    <definedName name="Scd12Ins">#REF!</definedName>
    <definedName name="Scd2Org">#REF!</definedName>
    <definedName name="Scd3Org">#REF!</definedName>
    <definedName name="Scd3TBL">#REF!</definedName>
    <definedName name="Scd4Ins">#REF!</definedName>
    <definedName name="Scd4Org">#REF!</definedName>
    <definedName name="Scd6Org">#REF!</definedName>
    <definedName name="Scd7Org">#REF!</definedName>
    <definedName name="Scd8Org">#REF!</definedName>
    <definedName name="Scd9Ins">#REF!</definedName>
    <definedName name="Scd9Prog">#REF!</definedName>
    <definedName name="ScdIns">#REF!</definedName>
    <definedName name="ScdOrg">#REF!</definedName>
    <definedName name="SchedA">#REF!</definedName>
    <definedName name="SE">#REF!</definedName>
    <definedName name="SF">#REF!</definedName>
    <definedName name="SI">#REF!</definedName>
    <definedName name="SPFTE">#REF!</definedName>
    <definedName name="SPSCH">#REF!</definedName>
    <definedName name="SPTFTE">#REF!</definedName>
    <definedName name="SPTSCH">#REF!</definedName>
    <definedName name="Stud1995">#REF!</definedName>
    <definedName name="Stud1996">#REF!</definedName>
    <definedName name="Stud1997">#REF!</definedName>
    <definedName name="Tben">#REF!</definedName>
    <definedName name="TEIRPS" localSheetId="0">'[1]Schedule J'!#REF!</definedName>
    <definedName name="TEIRPS">'[2]Schedule J'!#REF!</definedName>
    <definedName name="TERESACT">#REF!</definedName>
    <definedName name="TFUELUTIL">#REF!</definedName>
    <definedName name="TitleText">#REF!</definedName>
    <definedName name="total">#REF!</definedName>
    <definedName name="TotExp">#REF!</definedName>
    <definedName name="TOTFUELS">#REF!</definedName>
    <definedName name="TotImp" localSheetId="0">'[3]Schedule 1'!#REF!</definedName>
    <definedName name="TotImp">'[4]Schedule 1'!#REF!</definedName>
    <definedName name="TOTUTIL">#REF!</definedName>
    <definedName name="TRENTSTAT">#REF!</definedName>
    <definedName name="TRRESACT">#REF!</definedName>
    <definedName name="TSal">#REF!</definedName>
  </definedNames>
  <calcPr calcId="145621" concurrentCalc="0"/>
</workbook>
</file>

<file path=xl/calcChain.xml><?xml version="1.0" encoding="utf-8"?>
<calcChain xmlns="http://schemas.openxmlformats.org/spreadsheetml/2006/main">
  <c r="C85" i="3" l="1"/>
  <c r="C29" i="3"/>
  <c r="C42" i="3"/>
  <c r="C46" i="3"/>
  <c r="C67" i="3"/>
  <c r="C30" i="3"/>
  <c r="C43" i="3"/>
  <c r="C47" i="3"/>
  <c r="C68" i="3"/>
  <c r="C31" i="3"/>
  <c r="C44" i="3"/>
  <c r="C48" i="3"/>
  <c r="C69" i="3"/>
  <c r="C32" i="3"/>
  <c r="C45" i="3"/>
  <c r="C49" i="3"/>
  <c r="C70" i="3"/>
  <c r="C33" i="3"/>
  <c r="C71" i="3"/>
  <c r="C34" i="3"/>
  <c r="C72" i="3"/>
  <c r="C35" i="3"/>
  <c r="C73" i="3"/>
  <c r="C36" i="3"/>
  <c r="C74" i="3"/>
  <c r="C37" i="3"/>
  <c r="C75" i="3"/>
  <c r="C38" i="3"/>
  <c r="C76" i="3"/>
  <c r="C77" i="3"/>
  <c r="C80" i="3"/>
  <c r="C87" i="3"/>
  <c r="C92" i="3"/>
  <c r="C95" i="3"/>
  <c r="C114" i="3"/>
  <c r="C116" i="3"/>
  <c r="C97" i="3"/>
  <c r="C98" i="3"/>
  <c r="C102" i="3"/>
  <c r="C103" i="3"/>
  <c r="C107" i="3"/>
  <c r="D37" i="8"/>
  <c r="K85" i="3"/>
  <c r="K29" i="3"/>
  <c r="K42" i="3"/>
  <c r="K46" i="3"/>
  <c r="K67" i="3"/>
  <c r="K30" i="3"/>
  <c r="K43" i="3"/>
  <c r="K47" i="3"/>
  <c r="K68" i="3"/>
  <c r="K31" i="3"/>
  <c r="K44" i="3"/>
  <c r="K48" i="3"/>
  <c r="K69" i="3"/>
  <c r="K32" i="3"/>
  <c r="K45" i="3"/>
  <c r="K49" i="3"/>
  <c r="K70" i="3"/>
  <c r="K33" i="3"/>
  <c r="K71" i="3"/>
  <c r="K34" i="3"/>
  <c r="K72" i="3"/>
  <c r="K35" i="3"/>
  <c r="K73" i="3"/>
  <c r="K36" i="3"/>
  <c r="K74" i="3"/>
  <c r="K37" i="3"/>
  <c r="K75" i="3"/>
  <c r="K38" i="3"/>
  <c r="K76" i="3"/>
  <c r="K77" i="3"/>
  <c r="K80" i="3"/>
  <c r="K87" i="3"/>
  <c r="K92" i="3"/>
  <c r="K95" i="3"/>
  <c r="K114" i="3"/>
  <c r="K116" i="3"/>
  <c r="K97" i="3"/>
  <c r="K98" i="3"/>
  <c r="K102" i="3"/>
  <c r="K103" i="3"/>
  <c r="K107" i="3"/>
  <c r="D36" i="8"/>
  <c r="F85" i="3"/>
  <c r="F29" i="3"/>
  <c r="F42" i="3"/>
  <c r="F46" i="3"/>
  <c r="F67" i="3"/>
  <c r="F30" i="3"/>
  <c r="F43" i="3"/>
  <c r="F47" i="3"/>
  <c r="F68" i="3"/>
  <c r="F31" i="3"/>
  <c r="F44" i="3"/>
  <c r="F48" i="3"/>
  <c r="F69" i="3"/>
  <c r="F32" i="3"/>
  <c r="F45" i="3"/>
  <c r="F49" i="3"/>
  <c r="F70" i="3"/>
  <c r="F33" i="3"/>
  <c r="F71" i="3"/>
  <c r="F34" i="3"/>
  <c r="F72" i="3"/>
  <c r="F35" i="3"/>
  <c r="F73" i="3"/>
  <c r="F36" i="3"/>
  <c r="F74" i="3"/>
  <c r="F37" i="3"/>
  <c r="F75" i="3"/>
  <c r="F38" i="3"/>
  <c r="F76" i="3"/>
  <c r="F77" i="3"/>
  <c r="F80" i="3"/>
  <c r="F87" i="3"/>
  <c r="F92" i="3"/>
  <c r="F95" i="3"/>
  <c r="F114" i="3"/>
  <c r="F116" i="3"/>
  <c r="F97" i="3"/>
  <c r="F98" i="3"/>
  <c r="F102" i="3"/>
  <c r="F103" i="3"/>
  <c r="F107" i="3"/>
  <c r="D35" i="8"/>
  <c r="J85" i="3"/>
  <c r="J29" i="3"/>
  <c r="J42" i="3"/>
  <c r="J46" i="3"/>
  <c r="J67" i="3"/>
  <c r="J30" i="3"/>
  <c r="J43" i="3"/>
  <c r="J47" i="3"/>
  <c r="J68" i="3"/>
  <c r="J31" i="3"/>
  <c r="J44" i="3"/>
  <c r="J48" i="3"/>
  <c r="J69" i="3"/>
  <c r="J32" i="3"/>
  <c r="J45" i="3"/>
  <c r="J49" i="3"/>
  <c r="J70" i="3"/>
  <c r="J33" i="3"/>
  <c r="J71" i="3"/>
  <c r="J34" i="3"/>
  <c r="J72" i="3"/>
  <c r="J35" i="3"/>
  <c r="J73" i="3"/>
  <c r="J36" i="3"/>
  <c r="J74" i="3"/>
  <c r="J37" i="3"/>
  <c r="J75" i="3"/>
  <c r="J38" i="3"/>
  <c r="J76" i="3"/>
  <c r="J77" i="3"/>
  <c r="J80" i="3"/>
  <c r="J87" i="3"/>
  <c r="J92" i="3"/>
  <c r="J95" i="3"/>
  <c r="J114" i="3"/>
  <c r="J116" i="3"/>
  <c r="J97" i="3"/>
  <c r="J98" i="3"/>
  <c r="J102" i="3"/>
  <c r="J103" i="3"/>
  <c r="J107" i="3"/>
  <c r="D15" i="8"/>
  <c r="E85" i="3"/>
  <c r="E29" i="3"/>
  <c r="E42" i="3"/>
  <c r="E46" i="3"/>
  <c r="E67" i="3"/>
  <c r="E30" i="3"/>
  <c r="E43" i="3"/>
  <c r="E47" i="3"/>
  <c r="E68" i="3"/>
  <c r="E31" i="3"/>
  <c r="E44" i="3"/>
  <c r="E48" i="3"/>
  <c r="E69" i="3"/>
  <c r="E32" i="3"/>
  <c r="E45" i="3"/>
  <c r="E49" i="3"/>
  <c r="E70" i="3"/>
  <c r="E33" i="3"/>
  <c r="E71" i="3"/>
  <c r="E34" i="3"/>
  <c r="E72" i="3"/>
  <c r="E35" i="3"/>
  <c r="E73" i="3"/>
  <c r="E36" i="3"/>
  <c r="E74" i="3"/>
  <c r="E37" i="3"/>
  <c r="E75" i="3"/>
  <c r="E38" i="3"/>
  <c r="E76" i="3"/>
  <c r="E77" i="3"/>
  <c r="E80" i="3"/>
  <c r="E87" i="3"/>
  <c r="E92" i="3"/>
  <c r="E95" i="3"/>
  <c r="E114" i="3"/>
  <c r="E116" i="3"/>
  <c r="E97" i="3"/>
  <c r="E98" i="3"/>
  <c r="E102" i="3"/>
  <c r="E103" i="3"/>
  <c r="E107" i="3"/>
  <c r="D14" i="8"/>
  <c r="I85" i="3"/>
  <c r="I29" i="3"/>
  <c r="I42" i="3"/>
  <c r="I46" i="3"/>
  <c r="I67" i="3"/>
  <c r="I30" i="3"/>
  <c r="I43" i="3"/>
  <c r="I47" i="3"/>
  <c r="I68" i="3"/>
  <c r="I31" i="3"/>
  <c r="I44" i="3"/>
  <c r="I48" i="3"/>
  <c r="I69" i="3"/>
  <c r="I32" i="3"/>
  <c r="I45" i="3"/>
  <c r="I49" i="3"/>
  <c r="I70" i="3"/>
  <c r="I33" i="3"/>
  <c r="I71" i="3"/>
  <c r="I34" i="3"/>
  <c r="I72" i="3"/>
  <c r="I35" i="3"/>
  <c r="I73" i="3"/>
  <c r="I36" i="3"/>
  <c r="I74" i="3"/>
  <c r="I37" i="3"/>
  <c r="I75" i="3"/>
  <c r="I38" i="3"/>
  <c r="I76" i="3"/>
  <c r="I77" i="3"/>
  <c r="I80" i="3"/>
  <c r="I87" i="3"/>
  <c r="I92" i="3"/>
  <c r="I95" i="3"/>
  <c r="I114" i="3"/>
  <c r="I116" i="3"/>
  <c r="I97" i="3"/>
  <c r="I98" i="3"/>
  <c r="I102" i="3"/>
  <c r="I103" i="3"/>
  <c r="I107" i="3"/>
  <c r="D13" i="8"/>
  <c r="G85" i="3"/>
  <c r="G29" i="3"/>
  <c r="G42" i="3"/>
  <c r="G46" i="3"/>
  <c r="G67" i="3"/>
  <c r="G30" i="3"/>
  <c r="G43" i="3"/>
  <c r="G47" i="3"/>
  <c r="G68" i="3"/>
  <c r="G31" i="3"/>
  <c r="G44" i="3"/>
  <c r="G48" i="3"/>
  <c r="G69" i="3"/>
  <c r="G32" i="3"/>
  <c r="G45" i="3"/>
  <c r="G49" i="3"/>
  <c r="G70" i="3"/>
  <c r="G33" i="3"/>
  <c r="G71" i="3"/>
  <c r="G34" i="3"/>
  <c r="G72" i="3"/>
  <c r="G35" i="3"/>
  <c r="G73" i="3"/>
  <c r="G36" i="3"/>
  <c r="G74" i="3"/>
  <c r="G37" i="3"/>
  <c r="G75" i="3"/>
  <c r="G38" i="3"/>
  <c r="G76" i="3"/>
  <c r="G77" i="3"/>
  <c r="G80" i="3"/>
  <c r="G87" i="3"/>
  <c r="G92" i="3"/>
  <c r="G95" i="3"/>
  <c r="G114" i="3"/>
  <c r="G116" i="3"/>
  <c r="G97" i="3"/>
  <c r="G98" i="3"/>
  <c r="G102" i="3"/>
  <c r="G103" i="3"/>
  <c r="G107" i="3"/>
  <c r="D12" i="8"/>
  <c r="H85" i="3"/>
  <c r="H29" i="3"/>
  <c r="H42" i="3"/>
  <c r="H46" i="3"/>
  <c r="H67" i="3"/>
  <c r="H30" i="3"/>
  <c r="H43" i="3"/>
  <c r="H47" i="3"/>
  <c r="H68" i="3"/>
  <c r="H31" i="3"/>
  <c r="H44" i="3"/>
  <c r="H48" i="3"/>
  <c r="H69" i="3"/>
  <c r="H32" i="3"/>
  <c r="H45" i="3"/>
  <c r="H49" i="3"/>
  <c r="H70" i="3"/>
  <c r="H33" i="3"/>
  <c r="H71" i="3"/>
  <c r="H34" i="3"/>
  <c r="H72" i="3"/>
  <c r="H35" i="3"/>
  <c r="H73" i="3"/>
  <c r="H36" i="3"/>
  <c r="H74" i="3"/>
  <c r="H37" i="3"/>
  <c r="H75" i="3"/>
  <c r="H38" i="3"/>
  <c r="H76" i="3"/>
  <c r="H77" i="3"/>
  <c r="H80" i="3"/>
  <c r="H87" i="3"/>
  <c r="H92" i="3"/>
  <c r="H95" i="3"/>
  <c r="H114" i="3"/>
  <c r="H116" i="3"/>
  <c r="H97" i="3"/>
  <c r="H98" i="3"/>
  <c r="H102" i="3"/>
  <c r="H103" i="3"/>
  <c r="H107" i="3"/>
  <c r="D11" i="8"/>
  <c r="D85" i="3"/>
  <c r="D29" i="3"/>
  <c r="D42" i="3"/>
  <c r="D46" i="3"/>
  <c r="D67" i="3"/>
  <c r="D30" i="3"/>
  <c r="D43" i="3"/>
  <c r="D47" i="3"/>
  <c r="D68" i="3"/>
  <c r="D31" i="3"/>
  <c r="D44" i="3"/>
  <c r="D48" i="3"/>
  <c r="D69" i="3"/>
  <c r="D32" i="3"/>
  <c r="D45" i="3"/>
  <c r="D49" i="3"/>
  <c r="D70" i="3"/>
  <c r="D33" i="3"/>
  <c r="D71" i="3"/>
  <c r="D34" i="3"/>
  <c r="D72" i="3"/>
  <c r="D35" i="3"/>
  <c r="D73" i="3"/>
  <c r="D36" i="3"/>
  <c r="D74" i="3"/>
  <c r="D37" i="3"/>
  <c r="D75" i="3"/>
  <c r="D38" i="3"/>
  <c r="D76" i="3"/>
  <c r="D77" i="3"/>
  <c r="D80" i="3"/>
  <c r="D87" i="3"/>
  <c r="D92" i="3"/>
  <c r="D95" i="3"/>
  <c r="D114" i="3"/>
  <c r="D116" i="3"/>
  <c r="D97" i="3"/>
  <c r="D98" i="3"/>
  <c r="D102" i="3"/>
  <c r="D103" i="3"/>
  <c r="D107" i="3"/>
  <c r="D10" i="8"/>
  <c r="O101" i="2"/>
  <c r="O36" i="2"/>
  <c r="O50" i="2"/>
  <c r="O56" i="2"/>
  <c r="O81" i="2"/>
  <c r="O37" i="2"/>
  <c r="O51" i="2"/>
  <c r="O57" i="2"/>
  <c r="O82" i="2"/>
  <c r="O38" i="2"/>
  <c r="O52" i="2"/>
  <c r="O58" i="2"/>
  <c r="O83" i="2"/>
  <c r="O39" i="2"/>
  <c r="O84" i="2"/>
  <c r="O40" i="2"/>
  <c r="O53" i="2"/>
  <c r="O59" i="2"/>
  <c r="O85" i="2"/>
  <c r="O41" i="2"/>
  <c r="O54" i="2"/>
  <c r="O60" i="2"/>
  <c r="O86" i="2"/>
  <c r="O42" i="2"/>
  <c r="O55" i="2"/>
  <c r="O61" i="2"/>
  <c r="O87" i="2"/>
  <c r="O43" i="2"/>
  <c r="O88" i="2"/>
  <c r="O44" i="2"/>
  <c r="O89" i="2"/>
  <c r="O45" i="2"/>
  <c r="O90" i="2"/>
  <c r="O46" i="2"/>
  <c r="O91" i="2"/>
  <c r="O47" i="2"/>
  <c r="O92" i="2"/>
  <c r="O93" i="2"/>
  <c r="O96" i="2"/>
  <c r="O103" i="2"/>
  <c r="O108" i="2"/>
  <c r="O110" i="2"/>
  <c r="O111" i="2"/>
  <c r="O130" i="2"/>
  <c r="O132" i="2"/>
  <c r="O113" i="2"/>
  <c r="O114" i="2"/>
  <c r="O118" i="2"/>
  <c r="O119" i="2"/>
  <c r="O123" i="2"/>
  <c r="D31" i="8"/>
  <c r="N101" i="2"/>
  <c r="N36" i="2"/>
  <c r="N50" i="2"/>
  <c r="N56" i="2"/>
  <c r="N81" i="2"/>
  <c r="N37" i="2"/>
  <c r="N51" i="2"/>
  <c r="N57" i="2"/>
  <c r="N82" i="2"/>
  <c r="N38" i="2"/>
  <c r="N52" i="2"/>
  <c r="N58" i="2"/>
  <c r="N83" i="2"/>
  <c r="N39" i="2"/>
  <c r="N84" i="2"/>
  <c r="N40" i="2"/>
  <c r="N53" i="2"/>
  <c r="N59" i="2"/>
  <c r="N85" i="2"/>
  <c r="N41" i="2"/>
  <c r="N54" i="2"/>
  <c r="N60" i="2"/>
  <c r="N86" i="2"/>
  <c r="N42" i="2"/>
  <c r="N55" i="2"/>
  <c r="N61" i="2"/>
  <c r="N87" i="2"/>
  <c r="N43" i="2"/>
  <c r="N88" i="2"/>
  <c r="N44" i="2"/>
  <c r="N89" i="2"/>
  <c r="N45" i="2"/>
  <c r="N90" i="2"/>
  <c r="N46" i="2"/>
  <c r="N91" i="2"/>
  <c r="N47" i="2"/>
  <c r="N92" i="2"/>
  <c r="N93" i="2"/>
  <c r="N96" i="2"/>
  <c r="N103" i="2"/>
  <c r="N108" i="2"/>
  <c r="N110" i="2"/>
  <c r="N111" i="2"/>
  <c r="N130" i="2"/>
  <c r="N132" i="2"/>
  <c r="N113" i="2"/>
  <c r="N114" i="2"/>
  <c r="N118" i="2"/>
  <c r="N119" i="2"/>
  <c r="N123" i="2"/>
  <c r="D30" i="8"/>
  <c r="M101" i="2"/>
  <c r="M36" i="2"/>
  <c r="M50" i="2"/>
  <c r="M56" i="2"/>
  <c r="M81" i="2"/>
  <c r="M37" i="2"/>
  <c r="M51" i="2"/>
  <c r="M57" i="2"/>
  <c r="M82" i="2"/>
  <c r="M38" i="2"/>
  <c r="M52" i="2"/>
  <c r="M58" i="2"/>
  <c r="M83" i="2"/>
  <c r="M39" i="2"/>
  <c r="M84" i="2"/>
  <c r="M40" i="2"/>
  <c r="M53" i="2"/>
  <c r="M59" i="2"/>
  <c r="M85" i="2"/>
  <c r="M41" i="2"/>
  <c r="M54" i="2"/>
  <c r="M60" i="2"/>
  <c r="M86" i="2"/>
  <c r="M42" i="2"/>
  <c r="M55" i="2"/>
  <c r="M61" i="2"/>
  <c r="M87" i="2"/>
  <c r="M43" i="2"/>
  <c r="M88" i="2"/>
  <c r="M44" i="2"/>
  <c r="M89" i="2"/>
  <c r="M45" i="2"/>
  <c r="M90" i="2"/>
  <c r="M46" i="2"/>
  <c r="M91" i="2"/>
  <c r="M47" i="2"/>
  <c r="M92" i="2"/>
  <c r="M93" i="2"/>
  <c r="M96" i="2"/>
  <c r="M103" i="2"/>
  <c r="M108" i="2"/>
  <c r="M110" i="2"/>
  <c r="M111" i="2"/>
  <c r="M130" i="2"/>
  <c r="M132" i="2"/>
  <c r="M113" i="2"/>
  <c r="M114" i="2"/>
  <c r="M118" i="2"/>
  <c r="M119" i="2"/>
  <c r="M123" i="2"/>
  <c r="D29" i="8"/>
  <c r="L101" i="2"/>
  <c r="L36" i="2"/>
  <c r="L50" i="2"/>
  <c r="L56" i="2"/>
  <c r="L81" i="2"/>
  <c r="L37" i="2"/>
  <c r="L51" i="2"/>
  <c r="L57" i="2"/>
  <c r="L82" i="2"/>
  <c r="L38" i="2"/>
  <c r="L52" i="2"/>
  <c r="L58" i="2"/>
  <c r="L83" i="2"/>
  <c r="L39" i="2"/>
  <c r="L84" i="2"/>
  <c r="L40" i="2"/>
  <c r="L53" i="2"/>
  <c r="L59" i="2"/>
  <c r="L85" i="2"/>
  <c r="L41" i="2"/>
  <c r="L54" i="2"/>
  <c r="L60" i="2"/>
  <c r="L86" i="2"/>
  <c r="L42" i="2"/>
  <c r="L55" i="2"/>
  <c r="L61" i="2"/>
  <c r="L87" i="2"/>
  <c r="L43" i="2"/>
  <c r="L88" i="2"/>
  <c r="L44" i="2"/>
  <c r="L89" i="2"/>
  <c r="L45" i="2"/>
  <c r="L90" i="2"/>
  <c r="L46" i="2"/>
  <c r="L91" i="2"/>
  <c r="L47" i="2"/>
  <c r="L92" i="2"/>
  <c r="L93" i="2"/>
  <c r="L96" i="2"/>
  <c r="L103" i="2"/>
  <c r="L108" i="2"/>
  <c r="L110" i="2"/>
  <c r="L111" i="2"/>
  <c r="L130" i="2"/>
  <c r="L132" i="2"/>
  <c r="L113" i="2"/>
  <c r="L114" i="2"/>
  <c r="L118" i="2"/>
  <c r="L119" i="2"/>
  <c r="L123" i="2"/>
  <c r="D28" i="8"/>
  <c r="K101" i="2"/>
  <c r="K36" i="2"/>
  <c r="K50" i="2"/>
  <c r="K56" i="2"/>
  <c r="K81" i="2"/>
  <c r="K37" i="2"/>
  <c r="K51" i="2"/>
  <c r="K57" i="2"/>
  <c r="K82" i="2"/>
  <c r="K38" i="2"/>
  <c r="K52" i="2"/>
  <c r="K58" i="2"/>
  <c r="K83" i="2"/>
  <c r="K39" i="2"/>
  <c r="K84" i="2"/>
  <c r="K40" i="2"/>
  <c r="K53" i="2"/>
  <c r="K59" i="2"/>
  <c r="K85" i="2"/>
  <c r="K41" i="2"/>
  <c r="K54" i="2"/>
  <c r="K60" i="2"/>
  <c r="K86" i="2"/>
  <c r="K42" i="2"/>
  <c r="K55" i="2"/>
  <c r="K61" i="2"/>
  <c r="K87" i="2"/>
  <c r="K43" i="2"/>
  <c r="K88" i="2"/>
  <c r="K44" i="2"/>
  <c r="K89" i="2"/>
  <c r="K45" i="2"/>
  <c r="K90" i="2"/>
  <c r="K46" i="2"/>
  <c r="K91" i="2"/>
  <c r="K47" i="2"/>
  <c r="K92" i="2"/>
  <c r="K93" i="2"/>
  <c r="K96" i="2"/>
  <c r="K103" i="2"/>
  <c r="K108" i="2"/>
  <c r="K110" i="2"/>
  <c r="K111" i="2"/>
  <c r="K130" i="2"/>
  <c r="K132" i="2"/>
  <c r="K113" i="2"/>
  <c r="K114" i="2"/>
  <c r="K118" i="2"/>
  <c r="K119" i="2"/>
  <c r="K123" i="2"/>
  <c r="D27" i="8"/>
  <c r="J101" i="2"/>
  <c r="J36" i="2"/>
  <c r="J50" i="2"/>
  <c r="J56" i="2"/>
  <c r="J81" i="2"/>
  <c r="J37" i="2"/>
  <c r="J51" i="2"/>
  <c r="J57" i="2"/>
  <c r="J82" i="2"/>
  <c r="J38" i="2"/>
  <c r="J52" i="2"/>
  <c r="J58" i="2"/>
  <c r="J83" i="2"/>
  <c r="J39" i="2"/>
  <c r="J84" i="2"/>
  <c r="J40" i="2"/>
  <c r="J53" i="2"/>
  <c r="J59" i="2"/>
  <c r="J85" i="2"/>
  <c r="J41" i="2"/>
  <c r="J54" i="2"/>
  <c r="J60" i="2"/>
  <c r="J86" i="2"/>
  <c r="J42" i="2"/>
  <c r="J55" i="2"/>
  <c r="J61" i="2"/>
  <c r="J87" i="2"/>
  <c r="J43" i="2"/>
  <c r="J88" i="2"/>
  <c r="J44" i="2"/>
  <c r="J89" i="2"/>
  <c r="J45" i="2"/>
  <c r="J90" i="2"/>
  <c r="J46" i="2"/>
  <c r="J91" i="2"/>
  <c r="J47" i="2"/>
  <c r="J92" i="2"/>
  <c r="J93" i="2"/>
  <c r="J96" i="2"/>
  <c r="J103" i="2"/>
  <c r="J108" i="2"/>
  <c r="J110" i="2"/>
  <c r="J111" i="2"/>
  <c r="J130" i="2"/>
  <c r="J132" i="2"/>
  <c r="J113" i="2"/>
  <c r="J114" i="2"/>
  <c r="J118" i="2"/>
  <c r="J119" i="2"/>
  <c r="J123" i="2"/>
  <c r="D26" i="8"/>
  <c r="I101" i="2"/>
  <c r="I36" i="2"/>
  <c r="I50" i="2"/>
  <c r="I56" i="2"/>
  <c r="I81" i="2"/>
  <c r="I37" i="2"/>
  <c r="I51" i="2"/>
  <c r="I57" i="2"/>
  <c r="I82" i="2"/>
  <c r="I38" i="2"/>
  <c r="I52" i="2"/>
  <c r="I58" i="2"/>
  <c r="I83" i="2"/>
  <c r="I39" i="2"/>
  <c r="I84" i="2"/>
  <c r="I40" i="2"/>
  <c r="I53" i="2"/>
  <c r="I59" i="2"/>
  <c r="I85" i="2"/>
  <c r="I41" i="2"/>
  <c r="I54" i="2"/>
  <c r="I60" i="2"/>
  <c r="I86" i="2"/>
  <c r="I42" i="2"/>
  <c r="I55" i="2"/>
  <c r="I61" i="2"/>
  <c r="I87" i="2"/>
  <c r="I43" i="2"/>
  <c r="I88" i="2"/>
  <c r="I44" i="2"/>
  <c r="I89" i="2"/>
  <c r="I45" i="2"/>
  <c r="I90" i="2"/>
  <c r="I46" i="2"/>
  <c r="I91" i="2"/>
  <c r="I47" i="2"/>
  <c r="I92" i="2"/>
  <c r="I93" i="2"/>
  <c r="I96" i="2"/>
  <c r="I103" i="2"/>
  <c r="I108" i="2"/>
  <c r="I110" i="2"/>
  <c r="I111" i="2"/>
  <c r="I130" i="2"/>
  <c r="I132" i="2"/>
  <c r="I113" i="2"/>
  <c r="I114" i="2"/>
  <c r="I118" i="2"/>
  <c r="I119" i="2"/>
  <c r="I123" i="2"/>
  <c r="D25" i="8"/>
  <c r="H101" i="2"/>
  <c r="H36" i="2"/>
  <c r="H50" i="2"/>
  <c r="H56" i="2"/>
  <c r="H81" i="2"/>
  <c r="H37" i="2"/>
  <c r="H51" i="2"/>
  <c r="H57" i="2"/>
  <c r="H82" i="2"/>
  <c r="H38" i="2"/>
  <c r="H52" i="2"/>
  <c r="H58" i="2"/>
  <c r="H83" i="2"/>
  <c r="H39" i="2"/>
  <c r="H84" i="2"/>
  <c r="H40" i="2"/>
  <c r="H53" i="2"/>
  <c r="H59" i="2"/>
  <c r="H85" i="2"/>
  <c r="H41" i="2"/>
  <c r="H54" i="2"/>
  <c r="H60" i="2"/>
  <c r="H86" i="2"/>
  <c r="H42" i="2"/>
  <c r="H55" i="2"/>
  <c r="H61" i="2"/>
  <c r="H87" i="2"/>
  <c r="H43" i="2"/>
  <c r="H88" i="2"/>
  <c r="H44" i="2"/>
  <c r="H89" i="2"/>
  <c r="H45" i="2"/>
  <c r="H90" i="2"/>
  <c r="H46" i="2"/>
  <c r="H91" i="2"/>
  <c r="H47" i="2"/>
  <c r="H92" i="2"/>
  <c r="H93" i="2"/>
  <c r="H96" i="2"/>
  <c r="H103" i="2"/>
  <c r="H108" i="2"/>
  <c r="H110" i="2"/>
  <c r="H111" i="2"/>
  <c r="H130" i="2"/>
  <c r="H132" i="2"/>
  <c r="H113" i="2"/>
  <c r="H114" i="2"/>
  <c r="H118" i="2"/>
  <c r="H119" i="2"/>
  <c r="H123" i="2"/>
  <c r="D24" i="8"/>
  <c r="G101" i="2"/>
  <c r="G36" i="2"/>
  <c r="G50" i="2"/>
  <c r="G56" i="2"/>
  <c r="G81" i="2"/>
  <c r="G37" i="2"/>
  <c r="G51" i="2"/>
  <c r="G57" i="2"/>
  <c r="G82" i="2"/>
  <c r="G38" i="2"/>
  <c r="G52" i="2"/>
  <c r="G58" i="2"/>
  <c r="G83" i="2"/>
  <c r="G39" i="2"/>
  <c r="G84" i="2"/>
  <c r="G40" i="2"/>
  <c r="G53" i="2"/>
  <c r="G59" i="2"/>
  <c r="G85" i="2"/>
  <c r="G41" i="2"/>
  <c r="G54" i="2"/>
  <c r="G60" i="2"/>
  <c r="G86" i="2"/>
  <c r="G42" i="2"/>
  <c r="G55" i="2"/>
  <c r="G61" i="2"/>
  <c r="G87" i="2"/>
  <c r="G43" i="2"/>
  <c r="G88" i="2"/>
  <c r="G44" i="2"/>
  <c r="G89" i="2"/>
  <c r="G45" i="2"/>
  <c r="G90" i="2"/>
  <c r="G46" i="2"/>
  <c r="G91" i="2"/>
  <c r="G47" i="2"/>
  <c r="G92" i="2"/>
  <c r="G93" i="2"/>
  <c r="G96" i="2"/>
  <c r="G103" i="2"/>
  <c r="G108" i="2"/>
  <c r="G110" i="2"/>
  <c r="G111" i="2"/>
  <c r="G130" i="2"/>
  <c r="G132" i="2"/>
  <c r="G113" i="2"/>
  <c r="G114" i="2"/>
  <c r="G118" i="2"/>
  <c r="G119" i="2"/>
  <c r="G123" i="2"/>
  <c r="D23" i="8"/>
  <c r="F101" i="2"/>
  <c r="F36" i="2"/>
  <c r="F50" i="2"/>
  <c r="F56" i="2"/>
  <c r="F81" i="2"/>
  <c r="F37" i="2"/>
  <c r="F51" i="2"/>
  <c r="F57" i="2"/>
  <c r="F82" i="2"/>
  <c r="F38" i="2"/>
  <c r="F52" i="2"/>
  <c r="F58" i="2"/>
  <c r="F83" i="2"/>
  <c r="F39" i="2"/>
  <c r="F84" i="2"/>
  <c r="F40" i="2"/>
  <c r="F53" i="2"/>
  <c r="F59" i="2"/>
  <c r="F85" i="2"/>
  <c r="F41" i="2"/>
  <c r="F54" i="2"/>
  <c r="F60" i="2"/>
  <c r="F86" i="2"/>
  <c r="F42" i="2"/>
  <c r="F55" i="2"/>
  <c r="F61" i="2"/>
  <c r="F87" i="2"/>
  <c r="F43" i="2"/>
  <c r="F88" i="2"/>
  <c r="F44" i="2"/>
  <c r="F89" i="2"/>
  <c r="F45" i="2"/>
  <c r="F90" i="2"/>
  <c r="F46" i="2"/>
  <c r="F91" i="2"/>
  <c r="F47" i="2"/>
  <c r="F92" i="2"/>
  <c r="F93" i="2"/>
  <c r="F96" i="2"/>
  <c r="F103" i="2"/>
  <c r="F108" i="2"/>
  <c r="F110" i="2"/>
  <c r="F111" i="2"/>
  <c r="F130" i="2"/>
  <c r="F132" i="2"/>
  <c r="F113" i="2"/>
  <c r="F114" i="2"/>
  <c r="F118" i="2"/>
  <c r="F119" i="2"/>
  <c r="F123" i="2"/>
  <c r="D22" i="8"/>
  <c r="E101" i="2"/>
  <c r="E36" i="2"/>
  <c r="E50" i="2"/>
  <c r="E56" i="2"/>
  <c r="E81" i="2"/>
  <c r="E37" i="2"/>
  <c r="E51" i="2"/>
  <c r="E57" i="2"/>
  <c r="E82" i="2"/>
  <c r="E38" i="2"/>
  <c r="E52" i="2"/>
  <c r="E58" i="2"/>
  <c r="E83" i="2"/>
  <c r="E39" i="2"/>
  <c r="E84" i="2"/>
  <c r="E40" i="2"/>
  <c r="E53" i="2"/>
  <c r="E59" i="2"/>
  <c r="E85" i="2"/>
  <c r="E41" i="2"/>
  <c r="E54" i="2"/>
  <c r="E60" i="2"/>
  <c r="E86" i="2"/>
  <c r="E42" i="2"/>
  <c r="E55" i="2"/>
  <c r="E61" i="2"/>
  <c r="E87" i="2"/>
  <c r="E43" i="2"/>
  <c r="E88" i="2"/>
  <c r="E44" i="2"/>
  <c r="E89" i="2"/>
  <c r="E45" i="2"/>
  <c r="E90" i="2"/>
  <c r="E46" i="2"/>
  <c r="E91" i="2"/>
  <c r="E47" i="2"/>
  <c r="E92" i="2"/>
  <c r="E93" i="2"/>
  <c r="E96" i="2"/>
  <c r="E103" i="2"/>
  <c r="E108" i="2"/>
  <c r="E110" i="2"/>
  <c r="E111" i="2"/>
  <c r="E130" i="2"/>
  <c r="E132" i="2"/>
  <c r="E113" i="2"/>
  <c r="E114" i="2"/>
  <c r="E118" i="2"/>
  <c r="E119" i="2"/>
  <c r="E123" i="2"/>
  <c r="D21" i="8"/>
  <c r="D101" i="2"/>
  <c r="D36" i="2"/>
  <c r="D50" i="2"/>
  <c r="D56" i="2"/>
  <c r="D81" i="2"/>
  <c r="D37" i="2"/>
  <c r="D51" i="2"/>
  <c r="D57" i="2"/>
  <c r="D82" i="2"/>
  <c r="D38" i="2"/>
  <c r="D52" i="2"/>
  <c r="D58" i="2"/>
  <c r="D83" i="2"/>
  <c r="D39" i="2"/>
  <c r="D84" i="2"/>
  <c r="D40" i="2"/>
  <c r="D53" i="2"/>
  <c r="D59" i="2"/>
  <c r="D85" i="2"/>
  <c r="D41" i="2"/>
  <c r="D54" i="2"/>
  <c r="D60" i="2"/>
  <c r="D86" i="2"/>
  <c r="D42" i="2"/>
  <c r="D55" i="2"/>
  <c r="D61" i="2"/>
  <c r="D87" i="2"/>
  <c r="D43" i="2"/>
  <c r="D88" i="2"/>
  <c r="D44" i="2"/>
  <c r="D89" i="2"/>
  <c r="D45" i="2"/>
  <c r="D90" i="2"/>
  <c r="D46" i="2"/>
  <c r="D91" i="2"/>
  <c r="D47" i="2"/>
  <c r="D92" i="2"/>
  <c r="D93" i="2"/>
  <c r="D96" i="2"/>
  <c r="D103" i="2"/>
  <c r="D108" i="2"/>
  <c r="D110" i="2"/>
  <c r="D111" i="2"/>
  <c r="D130" i="2"/>
  <c r="D132" i="2"/>
  <c r="D113" i="2"/>
  <c r="D114" i="2"/>
  <c r="D118" i="2"/>
  <c r="D119" i="2"/>
  <c r="D123" i="2"/>
  <c r="D20" i="8"/>
  <c r="C101" i="2"/>
  <c r="C36" i="2"/>
  <c r="C50" i="2"/>
  <c r="C56" i="2"/>
  <c r="C81" i="2"/>
  <c r="C37" i="2"/>
  <c r="C51" i="2"/>
  <c r="C57" i="2"/>
  <c r="C82" i="2"/>
  <c r="C38" i="2"/>
  <c r="C52" i="2"/>
  <c r="C58" i="2"/>
  <c r="C83" i="2"/>
  <c r="C39" i="2"/>
  <c r="C84" i="2"/>
  <c r="C40" i="2"/>
  <c r="C53" i="2"/>
  <c r="C59" i="2"/>
  <c r="C85" i="2"/>
  <c r="C41" i="2"/>
  <c r="C54" i="2"/>
  <c r="C60" i="2"/>
  <c r="C86" i="2"/>
  <c r="C42" i="2"/>
  <c r="C55" i="2"/>
  <c r="C61" i="2"/>
  <c r="C87" i="2"/>
  <c r="C43" i="2"/>
  <c r="C88" i="2"/>
  <c r="C44" i="2"/>
  <c r="C89" i="2"/>
  <c r="C45" i="2"/>
  <c r="C90" i="2"/>
  <c r="C46" i="2"/>
  <c r="C91" i="2"/>
  <c r="C47" i="2"/>
  <c r="C92" i="2"/>
  <c r="C93" i="2"/>
  <c r="C96" i="2"/>
  <c r="C103" i="2"/>
  <c r="C108" i="2"/>
  <c r="C110" i="2"/>
  <c r="C111" i="2"/>
  <c r="C130" i="2"/>
  <c r="C132" i="2"/>
  <c r="C113" i="2"/>
  <c r="C114" i="2"/>
  <c r="C118" i="2"/>
  <c r="C119" i="2"/>
  <c r="C123" i="2"/>
  <c r="D19" i="8"/>
  <c r="C36" i="8"/>
  <c r="C37" i="8"/>
  <c r="C38" i="8"/>
  <c r="C32" i="8"/>
  <c r="C16" i="8"/>
  <c r="C40" i="8"/>
  <c r="C44" i="8"/>
  <c r="D38" i="8"/>
  <c r="D32" i="8"/>
  <c r="D16" i="8"/>
  <c r="D40" i="8"/>
  <c r="D44" i="8"/>
  <c r="E42" i="8"/>
  <c r="F42" i="8"/>
  <c r="G42" i="8"/>
  <c r="H42" i="8"/>
  <c r="E10" i="8"/>
  <c r="F10" i="8"/>
  <c r="G10" i="8"/>
  <c r="H10" i="8"/>
  <c r="E11" i="8"/>
  <c r="F11" i="8"/>
  <c r="G11" i="8"/>
  <c r="H11" i="8"/>
  <c r="E12" i="8"/>
  <c r="F12" i="8"/>
  <c r="G12" i="8"/>
  <c r="H12" i="8"/>
  <c r="E13" i="8"/>
  <c r="F13" i="8"/>
  <c r="G13" i="8"/>
  <c r="H13" i="8"/>
  <c r="E14" i="8"/>
  <c r="F14" i="8"/>
  <c r="G14" i="8"/>
  <c r="H14" i="8"/>
  <c r="E15" i="8"/>
  <c r="F15" i="8"/>
  <c r="G15" i="8"/>
  <c r="H15" i="8"/>
  <c r="H16" i="8"/>
  <c r="E19" i="8"/>
  <c r="F19" i="8"/>
  <c r="G19" i="8"/>
  <c r="H19" i="8"/>
  <c r="E20" i="8"/>
  <c r="F20" i="8"/>
  <c r="G20" i="8"/>
  <c r="H20" i="8"/>
  <c r="E21" i="8"/>
  <c r="F21" i="8"/>
  <c r="G21" i="8"/>
  <c r="H21" i="8"/>
  <c r="E22" i="8"/>
  <c r="F22" i="8"/>
  <c r="G22" i="8"/>
  <c r="H22" i="8"/>
  <c r="E23" i="8"/>
  <c r="F23" i="8"/>
  <c r="G23" i="8"/>
  <c r="H23" i="8"/>
  <c r="E24" i="8"/>
  <c r="F24" i="8"/>
  <c r="G24" i="8"/>
  <c r="H24" i="8"/>
  <c r="E25" i="8"/>
  <c r="F25" i="8"/>
  <c r="G25" i="8"/>
  <c r="H25" i="8"/>
  <c r="E26" i="8"/>
  <c r="F26" i="8"/>
  <c r="G26" i="8"/>
  <c r="H26" i="8"/>
  <c r="E27" i="8"/>
  <c r="F27" i="8"/>
  <c r="G27" i="8"/>
  <c r="H27" i="8"/>
  <c r="E28" i="8"/>
  <c r="F28" i="8"/>
  <c r="G28" i="8"/>
  <c r="H28" i="8"/>
  <c r="E29" i="8"/>
  <c r="F29" i="8"/>
  <c r="G29" i="8"/>
  <c r="H29" i="8"/>
  <c r="E30" i="8"/>
  <c r="F30" i="8"/>
  <c r="G30" i="8"/>
  <c r="H30" i="8"/>
  <c r="E31" i="8"/>
  <c r="F31" i="8"/>
  <c r="G31" i="8"/>
  <c r="H31" i="8"/>
  <c r="H32" i="8"/>
  <c r="E35" i="8"/>
  <c r="F35" i="8"/>
  <c r="G35" i="8"/>
  <c r="H35" i="8"/>
  <c r="E36" i="8"/>
  <c r="F36" i="8"/>
  <c r="G36" i="8"/>
  <c r="H36" i="8"/>
  <c r="E37" i="8"/>
  <c r="F37" i="8"/>
  <c r="G37" i="8"/>
  <c r="H37" i="8"/>
  <c r="H38" i="8"/>
  <c r="H40" i="8"/>
  <c r="H44" i="8"/>
  <c r="K44" i="8"/>
  <c r="J44" i="8"/>
  <c r="G16" i="8"/>
  <c r="G32" i="8"/>
  <c r="G38" i="8"/>
  <c r="G40" i="8"/>
  <c r="G44" i="8"/>
  <c r="I44" i="8"/>
  <c r="F16" i="8"/>
  <c r="F32" i="8"/>
  <c r="F38" i="8"/>
  <c r="F40" i="8"/>
  <c r="F44" i="8"/>
  <c r="E16" i="8"/>
  <c r="E32" i="8"/>
  <c r="E38" i="8"/>
  <c r="E40" i="8"/>
  <c r="E44" i="8"/>
  <c r="K42" i="8"/>
  <c r="J42" i="8"/>
  <c r="I42" i="8"/>
  <c r="K40" i="8"/>
  <c r="J40" i="8"/>
  <c r="I40" i="8"/>
  <c r="K38" i="8"/>
  <c r="J38" i="8"/>
  <c r="I38" i="8"/>
  <c r="K37" i="8"/>
  <c r="J37" i="8"/>
  <c r="I37" i="8"/>
  <c r="K36" i="8"/>
  <c r="J36" i="8"/>
  <c r="I36" i="8"/>
  <c r="K35" i="8"/>
  <c r="J35" i="8"/>
  <c r="I35" i="8"/>
  <c r="K32" i="8"/>
  <c r="J32" i="8"/>
  <c r="I32" i="8"/>
  <c r="K31" i="8"/>
  <c r="J31" i="8"/>
  <c r="I31" i="8"/>
  <c r="K30" i="8"/>
  <c r="J30" i="8"/>
  <c r="I30" i="8"/>
  <c r="K29" i="8"/>
  <c r="J29" i="8"/>
  <c r="I29" i="8"/>
  <c r="K28" i="8"/>
  <c r="J28" i="8"/>
  <c r="I28" i="8"/>
  <c r="K27" i="8"/>
  <c r="J27" i="8"/>
  <c r="I27" i="8"/>
  <c r="K26" i="8"/>
  <c r="J26" i="8"/>
  <c r="I26" i="8"/>
  <c r="K25" i="8"/>
  <c r="J25" i="8"/>
  <c r="I25" i="8"/>
  <c r="K24" i="8"/>
  <c r="J24" i="8"/>
  <c r="I24" i="8"/>
  <c r="K23" i="8"/>
  <c r="J23" i="8"/>
  <c r="I23" i="8"/>
  <c r="K22" i="8"/>
  <c r="J22" i="8"/>
  <c r="I22" i="8"/>
  <c r="K21" i="8"/>
  <c r="J21" i="8"/>
  <c r="I21" i="8"/>
  <c r="K20" i="8"/>
  <c r="J20" i="8"/>
  <c r="I20" i="8"/>
  <c r="K19" i="8"/>
  <c r="J19" i="8"/>
  <c r="I19" i="8"/>
  <c r="K16" i="8"/>
  <c r="J16" i="8"/>
  <c r="I16" i="8"/>
  <c r="K15" i="8"/>
  <c r="J15" i="8"/>
  <c r="I15" i="8"/>
  <c r="K14" i="8"/>
  <c r="J14" i="8"/>
  <c r="I14" i="8"/>
  <c r="K13" i="8"/>
  <c r="J13" i="8"/>
  <c r="I13" i="8"/>
  <c r="K12" i="8"/>
  <c r="J12" i="8"/>
  <c r="I12" i="8"/>
  <c r="K11" i="8"/>
  <c r="J11" i="8"/>
  <c r="I11" i="8"/>
  <c r="K10" i="8"/>
  <c r="J10" i="8"/>
  <c r="I10" i="8"/>
  <c r="C134" i="2"/>
  <c r="C135" i="2"/>
  <c r="C63" i="3"/>
  <c r="C77" i="2"/>
  <c r="D134" i="2"/>
  <c r="E134" i="2"/>
  <c r="E135" i="2"/>
  <c r="F134" i="2"/>
  <c r="F135" i="2"/>
  <c r="G134" i="2"/>
  <c r="G135" i="2"/>
  <c r="H134" i="2"/>
  <c r="H135" i="2"/>
  <c r="I134" i="2"/>
  <c r="I135" i="2"/>
  <c r="J134" i="2"/>
  <c r="J135" i="2"/>
  <c r="K134" i="2"/>
  <c r="K135" i="2"/>
  <c r="L134" i="2"/>
  <c r="L135" i="2"/>
  <c r="M134" i="2"/>
  <c r="M135" i="2"/>
  <c r="N134" i="2"/>
  <c r="N135" i="2"/>
  <c r="O134" i="2"/>
  <c r="O135" i="2"/>
  <c r="D135" i="2"/>
  <c r="D118" i="3"/>
  <c r="D119" i="3"/>
  <c r="E118" i="3"/>
  <c r="E119" i="3"/>
  <c r="F118" i="3"/>
  <c r="F119" i="3"/>
  <c r="G118" i="3"/>
  <c r="G119" i="3"/>
  <c r="H118" i="3"/>
  <c r="H119" i="3"/>
  <c r="I118" i="3"/>
  <c r="I119" i="3"/>
  <c r="J118" i="3"/>
  <c r="J119" i="3"/>
  <c r="K118" i="3"/>
  <c r="K119" i="3"/>
  <c r="C118" i="3"/>
  <c r="C119" i="3"/>
  <c r="G77" i="2"/>
  <c r="E77" i="2"/>
  <c r="D63" i="3"/>
  <c r="E63" i="3"/>
  <c r="F63" i="3"/>
  <c r="G63" i="3"/>
  <c r="H63" i="3"/>
  <c r="I63" i="3"/>
  <c r="J63" i="3"/>
  <c r="K63" i="3"/>
  <c r="D77" i="2"/>
  <c r="F77" i="2"/>
  <c r="H77" i="2"/>
  <c r="I77" i="2"/>
  <c r="J77" i="2"/>
  <c r="K77" i="2"/>
  <c r="L77" i="2"/>
  <c r="M77" i="2"/>
  <c r="N77" i="2"/>
  <c r="O77" i="2"/>
  <c r="H137" i="3"/>
  <c r="I137" i="3"/>
  <c r="K133" i="3"/>
  <c r="M166" i="2"/>
  <c r="C133" i="3"/>
  <c r="L149" i="2"/>
  <c r="L166" i="2"/>
  <c r="G155" i="2"/>
  <c r="G166" i="2"/>
  <c r="J160" i="2"/>
  <c r="J166" i="2"/>
  <c r="I157" i="2"/>
  <c r="I166" i="2"/>
  <c r="N149" i="2"/>
  <c r="N166" i="2"/>
  <c r="H149" i="2"/>
  <c r="H166" i="2"/>
  <c r="E149" i="2"/>
  <c r="E166" i="2"/>
  <c r="K155" i="2"/>
  <c r="K166" i="2"/>
  <c r="O154" i="2"/>
  <c r="O166" i="2"/>
  <c r="F158" i="2"/>
  <c r="F166" i="2"/>
  <c r="D133" i="3"/>
  <c r="H141" i="3"/>
  <c r="H134" i="3"/>
  <c r="H139" i="3"/>
  <c r="H133" i="3"/>
  <c r="H142" i="3"/>
  <c r="H138" i="3"/>
  <c r="H136" i="3"/>
  <c r="H135" i="3"/>
  <c r="H140" i="3"/>
  <c r="G142" i="3"/>
  <c r="G139" i="3"/>
  <c r="G140" i="3"/>
  <c r="G148" i="3"/>
  <c r="G133" i="3"/>
  <c r="G141" i="3"/>
  <c r="G135" i="3"/>
  <c r="G138" i="3"/>
  <c r="G137" i="3"/>
  <c r="G134" i="3"/>
  <c r="G136" i="3"/>
  <c r="E134" i="3"/>
  <c r="H148" i="3"/>
  <c r="F155" i="2"/>
  <c r="O149" i="2"/>
  <c r="F151" i="2"/>
  <c r="F157" i="2"/>
  <c r="F152" i="2"/>
  <c r="F160" i="2"/>
  <c r="F150" i="2"/>
  <c r="J153" i="2"/>
  <c r="F156" i="2"/>
  <c r="F149" i="2"/>
  <c r="F153" i="2"/>
  <c r="F154" i="2"/>
  <c r="F159" i="2"/>
  <c r="J154" i="2"/>
  <c r="H150" i="2"/>
  <c r="E155" i="2"/>
  <c r="E152" i="2"/>
  <c r="E160" i="2"/>
  <c r="E156" i="2"/>
  <c r="E151" i="2"/>
  <c r="E158" i="2"/>
  <c r="E159" i="2"/>
  <c r="E157" i="2"/>
  <c r="L150" i="2"/>
  <c r="E150" i="2"/>
  <c r="E154" i="2"/>
  <c r="E153" i="2"/>
  <c r="G149" i="2"/>
  <c r="G159" i="2"/>
  <c r="M159" i="2"/>
  <c r="M150" i="2"/>
  <c r="M157" i="2"/>
  <c r="M158" i="2"/>
  <c r="M155" i="2"/>
  <c r="M149" i="2"/>
  <c r="M152" i="2"/>
  <c r="M156" i="2"/>
  <c r="M160" i="2"/>
  <c r="M151" i="2"/>
  <c r="M154" i="2"/>
  <c r="M153" i="2"/>
  <c r="O159" i="2"/>
  <c r="O150" i="2"/>
  <c r="O157" i="2"/>
  <c r="O156" i="2"/>
  <c r="O153" i="2"/>
  <c r="O158" i="2"/>
  <c r="O152" i="2"/>
  <c r="O155" i="2"/>
  <c r="O151" i="2"/>
  <c r="O160" i="2"/>
  <c r="I133" i="3"/>
  <c r="I148" i="3"/>
  <c r="I135" i="3"/>
  <c r="I139" i="3"/>
  <c r="I142" i="3"/>
  <c r="I141" i="3"/>
  <c r="I138" i="3"/>
  <c r="I140" i="3"/>
  <c r="I134" i="3"/>
  <c r="K149" i="2"/>
  <c r="G156" i="2"/>
  <c r="G158" i="2"/>
  <c r="G151" i="2"/>
  <c r="G150" i="2"/>
  <c r="G152" i="2"/>
  <c r="G154" i="2"/>
  <c r="G160" i="2"/>
  <c r="G157" i="2"/>
  <c r="G153" i="2"/>
  <c r="H154" i="2"/>
  <c r="H151" i="2"/>
  <c r="H155" i="2"/>
  <c r="H157" i="2"/>
  <c r="H152" i="2"/>
  <c r="H153" i="2"/>
  <c r="H156" i="2"/>
  <c r="H158" i="2"/>
  <c r="H159" i="2"/>
  <c r="I136" i="3"/>
  <c r="H160" i="2"/>
  <c r="L157" i="2"/>
  <c r="L151" i="2"/>
  <c r="L153" i="2"/>
  <c r="L155" i="2"/>
  <c r="L159" i="2"/>
  <c r="L156" i="2"/>
  <c r="L158" i="2"/>
  <c r="L154" i="2"/>
  <c r="L160" i="2"/>
  <c r="L152" i="2"/>
  <c r="K159" i="2"/>
  <c r="K151" i="2"/>
  <c r="K157" i="2"/>
  <c r="K154" i="2"/>
  <c r="K156" i="2"/>
  <c r="K158" i="2"/>
  <c r="K150" i="2"/>
  <c r="K152" i="2"/>
  <c r="N152" i="2"/>
  <c r="N156" i="2"/>
  <c r="N151" i="2"/>
  <c r="N158" i="2"/>
  <c r="N157" i="2"/>
  <c r="N154" i="2"/>
  <c r="N153" i="2"/>
  <c r="N150" i="2"/>
  <c r="N159" i="2"/>
  <c r="N155" i="2"/>
  <c r="N160" i="2"/>
  <c r="K142" i="3"/>
  <c r="K139" i="3"/>
  <c r="K137" i="3"/>
  <c r="K134" i="3"/>
  <c r="K136" i="3"/>
  <c r="K141" i="3"/>
  <c r="K138" i="3"/>
  <c r="K148" i="3"/>
  <c r="K135" i="3"/>
  <c r="K140" i="3"/>
  <c r="K160" i="2"/>
  <c r="I152" i="2"/>
  <c r="I160" i="2"/>
  <c r="I155" i="2"/>
  <c r="I154" i="2"/>
  <c r="I150" i="2"/>
  <c r="I156" i="2"/>
  <c r="I149" i="2"/>
  <c r="I159" i="2"/>
  <c r="I158" i="2"/>
  <c r="J135" i="3"/>
  <c r="K153" i="2"/>
  <c r="I153" i="2"/>
  <c r="J159" i="2"/>
  <c r="J158" i="2"/>
  <c r="J150" i="2"/>
  <c r="J156" i="2"/>
  <c r="J151" i="2"/>
  <c r="J152" i="2"/>
  <c r="J157" i="2"/>
  <c r="J155" i="2"/>
  <c r="J149" i="2"/>
  <c r="I151" i="2"/>
  <c r="C149" i="2"/>
  <c r="C150" i="2"/>
  <c r="D154" i="2"/>
  <c r="D166" i="2"/>
  <c r="C166" i="2"/>
  <c r="F137" i="3"/>
  <c r="D140" i="3"/>
  <c r="D138" i="3"/>
  <c r="D139" i="3"/>
  <c r="D134" i="3"/>
  <c r="D136" i="3"/>
  <c r="D135" i="3"/>
  <c r="D141" i="3"/>
  <c r="D137" i="3"/>
  <c r="D148" i="3"/>
  <c r="D142" i="3"/>
  <c r="F135" i="3"/>
  <c r="F133" i="3"/>
  <c r="F141" i="3"/>
  <c r="F148" i="3"/>
  <c r="F134" i="3"/>
  <c r="F140" i="3"/>
  <c r="F139" i="3"/>
  <c r="F142" i="3"/>
  <c r="F136" i="3"/>
  <c r="F138" i="3"/>
  <c r="E148" i="3"/>
  <c r="E142" i="3"/>
  <c r="E139" i="3"/>
  <c r="H143" i="3"/>
  <c r="G143" i="3"/>
  <c r="J138" i="3"/>
  <c r="E138" i="3"/>
  <c r="E133" i="3"/>
  <c r="E137" i="3"/>
  <c r="E141" i="3"/>
  <c r="E135" i="3"/>
  <c r="E140" i="3"/>
  <c r="E136" i="3"/>
  <c r="K143" i="3"/>
  <c r="F161" i="2"/>
  <c r="D150" i="2"/>
  <c r="D156" i="2"/>
  <c r="D158" i="2"/>
  <c r="D155" i="2"/>
  <c r="D151" i="2"/>
  <c r="D157" i="2"/>
  <c r="D159" i="2"/>
  <c r="D160" i="2"/>
  <c r="E161" i="2"/>
  <c r="H161" i="2"/>
  <c r="D149" i="2"/>
  <c r="D153" i="2"/>
  <c r="D152" i="2"/>
  <c r="L161" i="2"/>
  <c r="G161" i="2"/>
  <c r="N161" i="2"/>
  <c r="O161" i="2"/>
  <c r="C142" i="3"/>
  <c r="C139" i="3"/>
  <c r="C140" i="3"/>
  <c r="C148" i="3"/>
  <c r="C135" i="3"/>
  <c r="C136" i="3"/>
  <c r="C141" i="3"/>
  <c r="C134" i="3"/>
  <c r="C138" i="3"/>
  <c r="K161" i="2"/>
  <c r="M161" i="2"/>
  <c r="C160" i="2"/>
  <c r="C158" i="2"/>
  <c r="J161" i="2"/>
  <c r="I161" i="2"/>
  <c r="J139" i="3"/>
  <c r="J140" i="3"/>
  <c r="J148" i="3"/>
  <c r="J133" i="3"/>
  <c r="J136" i="3"/>
  <c r="J142" i="3"/>
  <c r="J141" i="3"/>
  <c r="J134" i="3"/>
  <c r="J137" i="3"/>
  <c r="C137" i="3"/>
  <c r="I143" i="3"/>
  <c r="C156" i="2"/>
  <c r="C153" i="2"/>
  <c r="C159" i="2"/>
  <c r="C155" i="2"/>
  <c r="C152" i="2"/>
  <c r="C151" i="2"/>
  <c r="C154" i="2"/>
  <c r="C157" i="2"/>
  <c r="C143" i="3"/>
  <c r="D143" i="3"/>
  <c r="F143" i="3"/>
  <c r="E143" i="3"/>
  <c r="C161" i="2"/>
  <c r="D161" i="2"/>
  <c r="J143" i="3"/>
  <c r="F139" i="2"/>
  <c r="O139" i="2"/>
  <c r="G139" i="2"/>
  <c r="I139" i="2"/>
  <c r="H139" i="2"/>
  <c r="D139" i="2"/>
  <c r="N139" i="2"/>
  <c r="L139" i="2"/>
  <c r="M139" i="2"/>
  <c r="J139" i="2"/>
  <c r="K139" i="2"/>
  <c r="E139" i="2"/>
  <c r="G126" i="2"/>
  <c r="M126" i="2"/>
  <c r="H126" i="2"/>
  <c r="L126" i="2"/>
  <c r="F126" i="2"/>
  <c r="J126" i="2"/>
  <c r="I126" i="2"/>
  <c r="O138" i="2"/>
  <c r="O142" i="2"/>
  <c r="O145" i="2"/>
  <c r="E138" i="2"/>
  <c r="E142" i="2"/>
  <c r="E145" i="2"/>
  <c r="D138" i="2"/>
  <c r="D142" i="2"/>
  <c r="D145" i="2"/>
  <c r="N138" i="2"/>
  <c r="N142" i="2"/>
  <c r="N145" i="2"/>
  <c r="K138" i="2"/>
  <c r="K142" i="2"/>
  <c r="K145" i="2"/>
  <c r="I138" i="2"/>
  <c r="I142" i="2"/>
  <c r="I145" i="2"/>
  <c r="F138" i="2"/>
  <c r="F142" i="2"/>
  <c r="F145" i="2"/>
  <c r="M138" i="2"/>
  <c r="M142" i="2"/>
  <c r="M145" i="2"/>
  <c r="L138" i="2"/>
  <c r="L142" i="2"/>
  <c r="L145" i="2"/>
  <c r="J138" i="2"/>
  <c r="J142" i="2"/>
  <c r="J145" i="2"/>
  <c r="H138" i="2"/>
  <c r="H142" i="2"/>
  <c r="H145" i="2"/>
  <c r="G138" i="2"/>
  <c r="G142" i="2"/>
  <c r="G145" i="2"/>
  <c r="D126" i="2"/>
  <c r="O126" i="2"/>
  <c r="N126" i="2"/>
  <c r="E126" i="2"/>
  <c r="K126" i="2"/>
  <c r="C139" i="2"/>
  <c r="C138" i="2"/>
  <c r="C142" i="2"/>
  <c r="C145" i="2"/>
  <c r="C126" i="2"/>
  <c r="G123" i="3"/>
  <c r="J123" i="3"/>
  <c r="I123" i="3"/>
  <c r="H123" i="3"/>
  <c r="C123" i="3"/>
  <c r="G122" i="3"/>
  <c r="G126" i="3"/>
  <c r="G129" i="3"/>
  <c r="H122" i="3"/>
  <c r="H126" i="3"/>
  <c r="H129" i="3"/>
  <c r="I122" i="3"/>
  <c r="I126" i="3"/>
  <c r="I129" i="3"/>
  <c r="J122" i="3"/>
  <c r="J126" i="3"/>
  <c r="J129" i="3"/>
  <c r="H110" i="3"/>
  <c r="I110" i="3"/>
  <c r="G110" i="3"/>
  <c r="J110" i="3"/>
  <c r="D123" i="3"/>
  <c r="E123" i="3"/>
  <c r="F123" i="3"/>
  <c r="C122" i="3"/>
  <c r="C126" i="3"/>
  <c r="C129" i="3"/>
  <c r="D122" i="3"/>
  <c r="D126" i="3"/>
  <c r="D129" i="3"/>
  <c r="E122" i="3"/>
  <c r="E126" i="3"/>
  <c r="E129" i="3"/>
  <c r="F122" i="3"/>
  <c r="F126" i="3"/>
  <c r="F129" i="3"/>
  <c r="K123" i="3"/>
  <c r="D110" i="3"/>
  <c r="E110" i="3"/>
  <c r="F110" i="3"/>
  <c r="C110" i="3"/>
  <c r="K122" i="3"/>
  <c r="K126" i="3"/>
  <c r="K129" i="3"/>
  <c r="K110" i="3"/>
</calcChain>
</file>

<file path=xl/sharedStrings.xml><?xml version="1.0" encoding="utf-8"?>
<sst xmlns="http://schemas.openxmlformats.org/spreadsheetml/2006/main" count="564" uniqueCount="183">
  <si>
    <t>APSU</t>
  </si>
  <si>
    <t>UTM</t>
  </si>
  <si>
    <t>TTU</t>
  </si>
  <si>
    <t>UTC</t>
  </si>
  <si>
    <t>MTSU</t>
  </si>
  <si>
    <t>ETSU</t>
  </si>
  <si>
    <t>TSU</t>
  </si>
  <si>
    <t>UM</t>
  </si>
  <si>
    <t>UTK</t>
  </si>
  <si>
    <t>Students Accumulating 24 hrs</t>
  </si>
  <si>
    <t>Students Accumulating 48 hrs</t>
  </si>
  <si>
    <t>Students Accumulating 72 hrs</t>
  </si>
  <si>
    <t>Bachelors and Associates</t>
  </si>
  <si>
    <t>Masters/Ed Specialist Degrees</t>
  </si>
  <si>
    <t>Doctoral / Law Degrees</t>
  </si>
  <si>
    <t>Research and Service</t>
  </si>
  <si>
    <t>Transfers Out with 12 hrs</t>
  </si>
  <si>
    <t>Degrees per 100 FTE</t>
  </si>
  <si>
    <t>Six-Year Graduation Rate</t>
  </si>
  <si>
    <t>Adults Accumulating 24 hrs</t>
  </si>
  <si>
    <t>Adults Accumulating 48 hrs</t>
  </si>
  <si>
    <t>Adults Accumulating 72 hrs</t>
  </si>
  <si>
    <t>Adults Bachelors and Associates</t>
  </si>
  <si>
    <t>Low-income Accumulating 24 hrs</t>
  </si>
  <si>
    <t>Low-income Accumulating 48 hrs</t>
  </si>
  <si>
    <t>Low-income Accumulating 72 hrs</t>
  </si>
  <si>
    <t xml:space="preserve"> Low-income Bachelors and Associates</t>
  </si>
  <si>
    <t>Sub-population Premium = 40%</t>
  </si>
  <si>
    <t>Scale</t>
  </si>
  <si>
    <t>Students Accumulating 24 hrs (Scale=1)</t>
  </si>
  <si>
    <t>Students Accumulating 48 hrs (Scale=1)</t>
  </si>
  <si>
    <t>Students Accumulating 72 hrs (Scale=1)</t>
  </si>
  <si>
    <t>Masters/Ed Specialist Degrees (Scale=0.3)</t>
  </si>
  <si>
    <t>Research and Service (Scale=20,000)</t>
  </si>
  <si>
    <t>Transfers Out with 12 hrs (Scale=1)</t>
  </si>
  <si>
    <t>Weights Based on Institutional Mission</t>
  </si>
  <si>
    <t>Masters / Ed Specialists</t>
  </si>
  <si>
    <t>Doctoral / Law Degree</t>
  </si>
  <si>
    <t>Total</t>
  </si>
  <si>
    <t>Outcome Based Performance</t>
  </si>
  <si>
    <t>Fixed Costs</t>
  </si>
  <si>
    <t>M&amp;O &amp; Utilities</t>
  </si>
  <si>
    <t>Equipment Replacement</t>
  </si>
  <si>
    <t>Fixed Costs Subtotal</t>
  </si>
  <si>
    <t>Formula Subtotal</t>
  </si>
  <si>
    <t>Chattanooga</t>
  </si>
  <si>
    <t>Cleveland</t>
  </si>
  <si>
    <t>Columbia</t>
  </si>
  <si>
    <t>Dyersburg</t>
  </si>
  <si>
    <t>Jackson</t>
  </si>
  <si>
    <t>Motlow</t>
  </si>
  <si>
    <t>Nashville</t>
  </si>
  <si>
    <t>Northeast</t>
  </si>
  <si>
    <t>Pellissippi</t>
  </si>
  <si>
    <t>Roane</t>
  </si>
  <si>
    <t>Southwest</t>
  </si>
  <si>
    <t>Volunteer</t>
  </si>
  <si>
    <t>Walters</t>
  </si>
  <si>
    <t>Students Accumulating 12 hrs</t>
  </si>
  <si>
    <t>Students Accumulating 36 hrs</t>
  </si>
  <si>
    <t>Dual Enrollment</t>
  </si>
  <si>
    <t>Associates</t>
  </si>
  <si>
    <t>Job Placements</t>
  </si>
  <si>
    <t>Remedial &amp; Developmental Success</t>
  </si>
  <si>
    <t>Workforce Training (Contact Hours)</t>
  </si>
  <si>
    <t>Awards per 100 FTE</t>
  </si>
  <si>
    <t>Adults Accumulating 12 hrs</t>
  </si>
  <si>
    <t>Adults Accumulating 36 hrs</t>
  </si>
  <si>
    <t>Adult Associates</t>
  </si>
  <si>
    <t>Low-income Accumulating 12 hrs</t>
  </si>
  <si>
    <t>Low-income Accumulating 36 hrs</t>
  </si>
  <si>
    <t>Low-income Associates</t>
  </si>
  <si>
    <t>Students Accumulating 12 hrs (Scale=2)</t>
  </si>
  <si>
    <t>Students Accumulating 24 hrs(Scale=2)</t>
  </si>
  <si>
    <t>Students Accumulating 36 hrs (Scale=2)</t>
  </si>
  <si>
    <t>Dual Enrollment (Scale=2)</t>
  </si>
  <si>
    <t>Associates (Scale=1.5)</t>
  </si>
  <si>
    <t>Job Placements (Scale=0.5)</t>
  </si>
  <si>
    <t>Remedial &amp; Developmental Success (Scale=5)</t>
  </si>
  <si>
    <t>Transfers Out with 12 hrs (Scale=2)</t>
  </si>
  <si>
    <t>Workforce Training (Contact Hours) (Scale=50)</t>
  </si>
  <si>
    <t>Awards per 100 FTE (Scale=0.05)</t>
  </si>
  <si>
    <t>Bachelors and Associates (Scale=1)</t>
  </si>
  <si>
    <t>Weighted Outcomes</t>
  </si>
  <si>
    <t>SREB Carnegie Type Avg Salary</t>
  </si>
  <si>
    <t>Weighted Outcomes Breakdown</t>
  </si>
  <si>
    <t>SREB Avg Salary</t>
  </si>
  <si>
    <t>% Change</t>
  </si>
  <si>
    <t>PF Percentage</t>
  </si>
  <si>
    <t>Subsidy/Fee Policy</t>
  </si>
  <si>
    <t>Legislative Initiatives</t>
  </si>
  <si>
    <t>per FTE subsidy</t>
  </si>
  <si>
    <t>OSFTE</t>
  </si>
  <si>
    <t>OS tuit est.</t>
  </si>
  <si>
    <t>Quality Assurance Score</t>
  </si>
  <si>
    <t>Subtotal</t>
  </si>
  <si>
    <t xml:space="preserve"> </t>
  </si>
  <si>
    <t>&lt;1yr Certificates</t>
  </si>
  <si>
    <t xml:space="preserve"> Adult &lt;1yr Certificates</t>
  </si>
  <si>
    <t>Low-income &lt;1yr Certificates</t>
  </si>
  <si>
    <t>Low income &lt;1yr Certificates</t>
  </si>
  <si>
    <t>1-2 Year Certificates</t>
  </si>
  <si>
    <t>Adult 1-2 Year Certificates</t>
  </si>
  <si>
    <t>Low-income 1-2 Year Certificates</t>
  </si>
  <si>
    <t>1-2 Year Certificates (Scale=1.5)</t>
  </si>
  <si>
    <t>Doctoral / Law Degrees (Scale=0.05)</t>
  </si>
  <si>
    <t>Degrees per 100 FTE (Scale=0.02)</t>
  </si>
  <si>
    <t>Six-Year Graduation Rate (Scale=0.04)</t>
  </si>
  <si>
    <t>Out of State Tuition Deduction</t>
  </si>
  <si>
    <t>Total Formula Recommendation Calculation</t>
  </si>
  <si>
    <t>Quality Assurance</t>
  </si>
  <si>
    <t>Quality Assurance Calculation</t>
  </si>
  <si>
    <t>For Informational Purposes Only</t>
  </si>
  <si>
    <t>2014-15</t>
  </si>
  <si>
    <t>2015-16</t>
  </si>
  <si>
    <t>Out of State Tuition Deduction Estimate</t>
  </si>
  <si>
    <t>2015-16 Total Formula Recommendation</t>
  </si>
  <si>
    <t>2015-16 Total Need Recommendation</t>
  </si>
  <si>
    <t>14-15 Formula Rec</t>
  </si>
  <si>
    <t>2013-14 FTE</t>
  </si>
  <si>
    <t>2012-13 OSFTE</t>
  </si>
  <si>
    <t>14-15 Total Need</t>
  </si>
  <si>
    <t>2014-15 Weighted Outcomes</t>
  </si>
  <si>
    <t>Outcomes (11-12 to 13-14 Data)</t>
  </si>
  <si>
    <t>Sub-population Outcomes (11-12 to 13-14 Data)</t>
  </si>
  <si>
    <t>Scaled Outcomes (11-12 to 13-14 Data)</t>
  </si>
  <si>
    <t>Scaled Sub-pop Outcomes (11-12 to 13-14 Data)</t>
  </si>
  <si>
    <t>2015-16 Outcomes-Based Formula</t>
  </si>
  <si>
    <t>Sub-pop premium</t>
  </si>
  <si>
    <t>2013-14 OSFTE</t>
  </si>
  <si>
    <t>Diff.</t>
  </si>
  <si>
    <t>FTE % Change</t>
  </si>
  <si>
    <t>&lt;1yr Certificates (Scale=1.5)</t>
  </si>
  <si>
    <t>2014-15 OS Tuition Deduction</t>
  </si>
  <si>
    <t>14-15 v 15-16 OST Deduction</t>
  </si>
  <si>
    <t>Phase-In (Finalized in the 2013-14 Outcomes Formula)</t>
  </si>
  <si>
    <t>2015-16 State Appropriations Distribution Recommendation</t>
  </si>
  <si>
    <t>A</t>
  </si>
  <si>
    <t>B</t>
  </si>
  <si>
    <t>C</t>
  </si>
  <si>
    <t>D</t>
  </si>
  <si>
    <r>
      <t xml:space="preserve">E </t>
    </r>
    <r>
      <rPr>
        <sz val="14"/>
        <rFont val="Calibri"/>
        <family val="2"/>
        <scheme val="minor"/>
      </rPr>
      <t>= C + D</t>
    </r>
  </si>
  <si>
    <r>
      <rPr>
        <b/>
        <sz val="14"/>
        <rFont val="Calibri"/>
        <family val="2"/>
        <scheme val="minor"/>
      </rPr>
      <t>F</t>
    </r>
    <r>
      <rPr>
        <sz val="14"/>
        <rFont val="Calibri"/>
        <family val="2"/>
        <scheme val="minor"/>
      </rPr>
      <t xml:space="preserve"> = E + A</t>
    </r>
  </si>
  <si>
    <r>
      <rPr>
        <b/>
        <sz val="14"/>
        <rFont val="Calibri"/>
        <family val="2"/>
        <scheme val="minor"/>
      </rPr>
      <t>G</t>
    </r>
    <r>
      <rPr>
        <sz val="14"/>
        <rFont val="Calibri"/>
        <family val="2"/>
        <scheme val="minor"/>
      </rPr>
      <t xml:space="preserve"> = E / A</t>
    </r>
  </si>
  <si>
    <r>
      <rPr>
        <b/>
        <sz val="14"/>
        <rFont val="Calibri"/>
        <family val="2"/>
        <scheme val="minor"/>
      </rPr>
      <t>H</t>
    </r>
    <r>
      <rPr>
        <sz val="14"/>
        <rFont val="Calibri"/>
        <family val="2"/>
        <scheme val="minor"/>
      </rPr>
      <t xml:space="preserve"> = F / B</t>
    </r>
  </si>
  <si>
    <t>Breakdown of 2015-16 Changes</t>
  </si>
  <si>
    <t>Outcomes Formula</t>
  </si>
  <si>
    <t>Share of New</t>
  </si>
  <si>
    <t xml:space="preserve">Percent </t>
  </si>
  <si>
    <t>Percent</t>
  </si>
  <si>
    <t>Percent of</t>
  </si>
  <si>
    <t>Academic Formula Units</t>
  </si>
  <si>
    <r>
      <t>Appropriation</t>
    </r>
    <r>
      <rPr>
        <vertAlign val="superscript"/>
        <sz val="12"/>
        <rFont val="Calibri"/>
        <family val="2"/>
        <scheme val="minor"/>
      </rPr>
      <t>1</t>
    </r>
  </si>
  <si>
    <t>Formula Calculation</t>
  </si>
  <si>
    <t>Adjustments</t>
  </si>
  <si>
    <t>Funding</t>
  </si>
  <si>
    <t>Changes</t>
  </si>
  <si>
    <t>Recommendation</t>
  </si>
  <si>
    <t>Change</t>
  </si>
  <si>
    <t>Funded</t>
  </si>
  <si>
    <t>TBR Universities</t>
  </si>
  <si>
    <t>2015-16 New Funding Rec</t>
  </si>
  <si>
    <t>Austin Peay</t>
  </si>
  <si>
    <t>East Tennessee</t>
  </si>
  <si>
    <t>Middle Tennessee</t>
  </si>
  <si>
    <t>Tennessee State</t>
  </si>
  <si>
    <t>Tennessee Tech</t>
  </si>
  <si>
    <t>University of Memphis</t>
  </si>
  <si>
    <t xml:space="preserve">Subtotal </t>
  </si>
  <si>
    <r>
      <t>Community Colleges</t>
    </r>
    <r>
      <rPr>
        <b/>
        <vertAlign val="superscript"/>
        <sz val="12"/>
        <rFont val="Calibri"/>
        <family val="2"/>
        <scheme val="minor"/>
      </rPr>
      <t>2</t>
    </r>
  </si>
  <si>
    <t xml:space="preserve">Northeast </t>
  </si>
  <si>
    <t>Community College Subtotal</t>
  </si>
  <si>
    <t>UT Universities</t>
  </si>
  <si>
    <t>UT Chattanooga</t>
  </si>
  <si>
    <r>
      <t>UT Knoxville</t>
    </r>
    <r>
      <rPr>
        <vertAlign val="superscript"/>
        <sz val="12"/>
        <rFont val="Calibri"/>
        <family val="2"/>
        <scheme val="minor"/>
      </rPr>
      <t>3</t>
    </r>
  </si>
  <si>
    <r>
      <t>UT Martin</t>
    </r>
    <r>
      <rPr>
        <vertAlign val="superscript"/>
        <sz val="12"/>
        <rFont val="Calibri"/>
        <family val="2"/>
        <scheme val="minor"/>
      </rPr>
      <t>3</t>
    </r>
  </si>
  <si>
    <t>Total Colleges and Universities</t>
  </si>
  <si>
    <t>TN Colleges of Applied Technology</t>
  </si>
  <si>
    <t>Total Academic Formula Units</t>
  </si>
  <si>
    <t>1 - Recurring funding.</t>
  </si>
  <si>
    <t>2 - THEC's Community College recommendation is only for the sector as a whole. Institutional detail displayed here is for informational purposes only.</t>
  </si>
  <si>
    <t>3 - Does not include recurring funds appropriated to UT Martin for the Parsons Center ($200K) or to UT Knoxville for the engineering college ($3M). These appropriations are included as Program Initiatives.</t>
  </si>
  <si>
    <t>Tennessee Higher Education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</si>
</sst>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#,##0.0"/>
    <numFmt numFmtId="169" formatCode="0.000000"/>
    <numFmt numFmtId="170" formatCode="_(* #,##0.000_);_(* \(#,##0.000\);_(* &quot;-&quot;??_);_(@_)"/>
    <numFmt numFmtId="171" formatCode="_(&quot;$&quot;* #,##0_);_(&quot;$&quot;* \(#,##0\);_(&quot;$&quot;* &quot;-&quot;??_);_(@_)"/>
    <numFmt numFmtId="172" formatCode="0.000%"/>
    <numFmt numFmtId="173" formatCode="0.000000%"/>
    <numFmt numFmtId="174" formatCode="0.00000%"/>
    <numFmt numFmtId="175" formatCode="General_)"/>
    <numFmt numFmtId="176" formatCode="&quot;$&quot;\ \ \ \ \ \ \ #,##0_);\(&quot;$&quot;#,##0\)"/>
    <numFmt numFmtId="177" formatCode="&quot;$&quot;* #,##0;&quot;$&quot;* \-#,##0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MS Sans Serif"/>
      <family val="2"/>
    </font>
    <font>
      <b/>
      <i/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FF"/>
      <name val="Calibri"/>
      <family val="2"/>
    </font>
    <font>
      <b/>
      <sz val="22"/>
      <name val="Calibri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Helv"/>
    </font>
    <font>
      <sz val="12"/>
      <name val="Arial MT"/>
    </font>
    <font>
      <sz val="8"/>
      <name val="MS Sans Serif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175" fontId="45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7" fillId="0" borderId="0"/>
    <xf numFmtId="3" fontId="47" fillId="0" borderId="0"/>
    <xf numFmtId="0" fontId="20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3" fontId="47" fillId="0" borderId="0"/>
    <xf numFmtId="175" fontId="45" fillId="0" borderId="0"/>
    <xf numFmtId="0" fontId="7" fillId="0" borderId="0"/>
    <xf numFmtId="175" fontId="45" fillId="0" borderId="0"/>
    <xf numFmtId="37" fontId="45" fillId="0" borderId="0"/>
    <xf numFmtId="0" fontId="7" fillId="0" borderId="0"/>
    <xf numFmtId="175" fontId="45" fillId="0" borderId="0"/>
    <xf numFmtId="3" fontId="47" fillId="0" borderId="0"/>
    <xf numFmtId="37" fontId="45" fillId="0" borderId="0"/>
    <xf numFmtId="0" fontId="23" fillId="0" borderId="0"/>
    <xf numFmtId="175" fontId="45" fillId="0" borderId="0"/>
    <xf numFmtId="0" fontId="7" fillId="0" borderId="0"/>
    <xf numFmtId="0" fontId="46" fillId="0" borderId="0"/>
    <xf numFmtId="3" fontId="47" fillId="0" borderId="0"/>
    <xf numFmtId="0" fontId="23" fillId="0" borderId="0"/>
    <xf numFmtId="0" fontId="46" fillId="0" borderId="0"/>
    <xf numFmtId="0" fontId="7" fillId="0" borderId="0"/>
    <xf numFmtId="0" fontId="46" fillId="0" borderId="0"/>
    <xf numFmtId="0" fontId="7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12">
    <xf numFmtId="0" fontId="0" fillId="0" borderId="0" xfId="0"/>
    <xf numFmtId="0" fontId="21" fillId="0" borderId="0" xfId="0" applyFont="1"/>
    <xf numFmtId="0" fontId="22" fillId="0" borderId="10" xfId="0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167" fontId="21" fillId="0" borderId="0" xfId="41" applyNumberFormat="1" applyFont="1"/>
    <xf numFmtId="0" fontId="21" fillId="0" borderId="0" xfId="0" applyFont="1" applyAlignment="1">
      <alignment horizontal="right"/>
    </xf>
    <xf numFmtId="0" fontId="21" fillId="0" borderId="10" xfId="0" applyFont="1" applyFill="1" applyBorder="1" applyAlignment="1">
      <alignment horizontal="right"/>
    </xf>
    <xf numFmtId="9" fontId="21" fillId="0" borderId="0" xfId="41" applyFont="1"/>
    <xf numFmtId="167" fontId="22" fillId="0" borderId="0" xfId="41" applyNumberFormat="1" applyFont="1"/>
    <xf numFmtId="0" fontId="22" fillId="0" borderId="0" xfId="0" applyFont="1"/>
    <xf numFmtId="167" fontId="21" fillId="0" borderId="10" xfId="41" applyNumberFormat="1" applyFont="1" applyBorder="1"/>
    <xf numFmtId="0" fontId="21" fillId="0" borderId="0" xfId="0" applyFont="1" applyFill="1"/>
    <xf numFmtId="0" fontId="22" fillId="0" borderId="1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Border="1"/>
    <xf numFmtId="0" fontId="22" fillId="0" borderId="0" xfId="0" applyFont="1" applyFill="1" applyAlignment="1">
      <alignment horizontal="right"/>
    </xf>
    <xf numFmtId="167" fontId="21" fillId="0" borderId="0" xfId="41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9" fontId="21" fillId="0" borderId="0" xfId="41" applyFont="1" applyFill="1" applyBorder="1"/>
    <xf numFmtId="9" fontId="21" fillId="0" borderId="0" xfId="41" applyFont="1" applyFill="1" applyBorder="1" applyAlignment="1">
      <alignment horizontal="right"/>
    </xf>
    <xf numFmtId="9" fontId="22" fillId="0" borderId="0" xfId="41" applyFont="1" applyFill="1" applyBorder="1"/>
    <xf numFmtId="0" fontId="22" fillId="0" borderId="0" xfId="0" applyFont="1" applyFill="1"/>
    <xf numFmtId="167" fontId="21" fillId="0" borderId="0" xfId="41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166" fontId="21" fillId="0" borderId="0" xfId="28" applyNumberFormat="1" applyFont="1" applyFill="1"/>
    <xf numFmtId="10" fontId="21" fillId="0" borderId="0" xfId="41" applyNumberFormat="1" applyFont="1" applyFill="1" applyBorder="1"/>
    <xf numFmtId="0" fontId="22" fillId="0" borderId="14" xfId="0" applyFont="1" applyBorder="1" applyAlignment="1">
      <alignment horizontal="center"/>
    </xf>
    <xf numFmtId="0" fontId="22" fillId="0" borderId="13" xfId="0" applyFont="1" applyBorder="1"/>
    <xf numFmtId="3" fontId="21" fillId="0" borderId="0" xfId="0" applyNumberFormat="1" applyFont="1" applyFill="1"/>
    <xf numFmtId="168" fontId="21" fillId="0" borderId="10" xfId="0" applyNumberFormat="1" applyFont="1" applyFill="1" applyBorder="1"/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/>
    </xf>
    <xf numFmtId="9" fontId="21" fillId="0" borderId="0" xfId="41" applyFont="1" applyFill="1"/>
    <xf numFmtId="0" fontId="25" fillId="0" borderId="0" xfId="0" applyFont="1"/>
    <xf numFmtId="3" fontId="25" fillId="0" borderId="0" xfId="0" applyNumberFormat="1" applyFont="1"/>
    <xf numFmtId="0" fontId="21" fillId="0" borderId="21" xfId="0" applyFont="1" applyFill="1" applyBorder="1" applyAlignment="1">
      <alignment horizontal="right"/>
    </xf>
    <xf numFmtId="0" fontId="25" fillId="0" borderId="0" xfId="0" applyFont="1" applyBorder="1"/>
    <xf numFmtId="3" fontId="25" fillId="0" borderId="0" xfId="0" applyNumberFormat="1" applyFont="1" applyFill="1" applyBorder="1"/>
    <xf numFmtId="0" fontId="22" fillId="0" borderId="18" xfId="0" applyFont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0" fontId="25" fillId="0" borderId="0" xfId="0" applyFont="1" applyAlignment="1"/>
    <xf numFmtId="0" fontId="25" fillId="0" borderId="0" xfId="0" applyFont="1" applyFill="1" applyAlignment="1">
      <alignment horizontal="right"/>
    </xf>
    <xf numFmtId="170" fontId="25" fillId="0" borderId="0" xfId="28" applyNumberFormat="1" applyFont="1"/>
    <xf numFmtId="167" fontId="25" fillId="0" borderId="0" xfId="41" applyNumberFormat="1" applyFont="1"/>
    <xf numFmtId="0" fontId="25" fillId="0" borderId="0" xfId="0" applyFont="1" applyAlignment="1">
      <alignment horizontal="right"/>
    </xf>
    <xf numFmtId="43" fontId="25" fillId="0" borderId="0" xfId="28" applyFont="1"/>
    <xf numFmtId="0" fontId="26" fillId="0" borderId="0" xfId="0" applyFont="1" applyAlignment="1">
      <alignment horizontal="right"/>
    </xf>
    <xf numFmtId="0" fontId="25" fillId="0" borderId="0" xfId="0" applyFont="1" applyFill="1"/>
    <xf numFmtId="1" fontId="26" fillId="0" borderId="0" xfId="0" applyNumberFormat="1" applyFont="1"/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7" fontId="25" fillId="0" borderId="0" xfId="41" applyNumberFormat="1" applyFont="1" applyFill="1"/>
    <xf numFmtId="9" fontId="25" fillId="0" borderId="0" xfId="41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6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right"/>
    </xf>
    <xf numFmtId="10" fontId="25" fillId="0" borderId="0" xfId="41" applyNumberFormat="1" applyFont="1" applyFill="1" applyBorder="1"/>
    <xf numFmtId="1" fontId="26" fillId="0" borderId="0" xfId="0" applyNumberFormat="1" applyFont="1" applyFill="1"/>
    <xf numFmtId="9" fontId="26" fillId="0" borderId="0" xfId="41" applyFont="1" applyFill="1"/>
    <xf numFmtId="169" fontId="26" fillId="0" borderId="0" xfId="0" applyNumberFormat="1" applyFont="1" applyFill="1"/>
    <xf numFmtId="3" fontId="21" fillId="0" borderId="21" xfId="0" applyNumberFormat="1" applyFont="1" applyFill="1" applyBorder="1"/>
    <xf numFmtId="3" fontId="21" fillId="0" borderId="0" xfId="0" applyNumberFormat="1" applyFont="1" applyFill="1" applyBorder="1"/>
    <xf numFmtId="3" fontId="21" fillId="0" borderId="10" xfId="0" applyNumberFormat="1" applyFont="1" applyFill="1" applyBorder="1"/>
    <xf numFmtId="0" fontId="24" fillId="0" borderId="0" xfId="0" applyFont="1" applyFill="1" applyAlignment="1">
      <alignment horizontal="right"/>
    </xf>
    <xf numFmtId="1" fontId="22" fillId="0" borderId="0" xfId="0" applyNumberFormat="1" applyFont="1" applyFill="1"/>
    <xf numFmtId="164" fontId="21" fillId="0" borderId="0" xfId="0" applyNumberFormat="1" applyFont="1" applyFill="1"/>
    <xf numFmtId="167" fontId="22" fillId="0" borderId="0" xfId="41" applyNumberFormat="1" applyFont="1" applyFill="1"/>
    <xf numFmtId="165" fontId="21" fillId="0" borderId="0" xfId="28" applyNumberFormat="1" applyFont="1" applyFill="1"/>
    <xf numFmtId="166" fontId="21" fillId="0" borderId="10" xfId="28" applyNumberFormat="1" applyFont="1" applyBorder="1"/>
    <xf numFmtId="166" fontId="22" fillId="0" borderId="0" xfId="28" applyNumberFormat="1" applyFont="1"/>
    <xf numFmtId="3" fontId="21" fillId="0" borderId="0" xfId="28" applyNumberFormat="1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3" fontId="21" fillId="0" borderId="0" xfId="28" applyNumberFormat="1" applyFont="1" applyFill="1"/>
    <xf numFmtId="10" fontId="21" fillId="24" borderId="26" xfId="41" applyNumberFormat="1" applyFont="1" applyFill="1" applyBorder="1"/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4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1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165" fontId="21" fillId="0" borderId="0" xfId="28" applyNumberFormat="1" applyFont="1"/>
    <xf numFmtId="165" fontId="21" fillId="0" borderId="10" xfId="28" applyNumberFormat="1" applyFont="1" applyBorder="1"/>
    <xf numFmtId="166" fontId="21" fillId="0" borderId="0" xfId="28" applyNumberFormat="1" applyFont="1" applyBorder="1" applyAlignment="1">
      <alignment horizontal="right"/>
    </xf>
    <xf numFmtId="166" fontId="21" fillId="0" borderId="10" xfId="28" applyNumberFormat="1" applyFont="1" applyBorder="1" applyAlignment="1">
      <alignment horizontal="right"/>
    </xf>
    <xf numFmtId="167" fontId="21" fillId="0" borderId="0" xfId="41" applyNumberFormat="1" applyFont="1" applyFill="1"/>
    <xf numFmtId="167" fontId="21" fillId="0" borderId="10" xfId="41" applyNumberFormat="1" applyFont="1" applyFill="1" applyBorder="1"/>
    <xf numFmtId="3" fontId="21" fillId="0" borderId="10" xfId="28" applyNumberFormat="1" applyFont="1" applyFill="1" applyBorder="1"/>
    <xf numFmtId="166" fontId="21" fillId="0" borderId="0" xfId="0" applyNumberFormat="1" applyFont="1" applyFill="1"/>
    <xf numFmtId="0" fontId="22" fillId="0" borderId="0" xfId="0" applyFont="1" applyBorder="1"/>
    <xf numFmtId="3" fontId="21" fillId="26" borderId="0" xfId="0" applyNumberFormat="1" applyFont="1" applyFill="1" applyBorder="1"/>
    <xf numFmtId="3" fontId="21" fillId="26" borderId="10" xfId="0" applyNumberFormat="1" applyFont="1" applyFill="1" applyBorder="1"/>
    <xf numFmtId="3" fontId="22" fillId="26" borderId="0" xfId="0" applyNumberFormat="1" applyFont="1" applyFill="1" applyBorder="1"/>
    <xf numFmtId="166" fontId="22" fillId="26" borderId="34" xfId="28" applyNumberFormat="1" applyFont="1" applyFill="1" applyBorder="1"/>
    <xf numFmtId="0" fontId="21" fillId="26" borderId="18" xfId="0" applyFont="1" applyFill="1" applyBorder="1" applyAlignment="1">
      <alignment horizontal="right"/>
    </xf>
    <xf numFmtId="0" fontId="22" fillId="26" borderId="35" xfId="0" applyFont="1" applyFill="1" applyBorder="1" applyAlignment="1">
      <alignment horizontal="right"/>
    </xf>
    <xf numFmtId="3" fontId="21" fillId="26" borderId="14" xfId="0" applyNumberFormat="1" applyFont="1" applyFill="1" applyBorder="1"/>
    <xf numFmtId="0" fontId="22" fillId="26" borderId="18" xfId="0" applyFont="1" applyFill="1" applyBorder="1" applyAlignment="1">
      <alignment horizontal="right"/>
    </xf>
    <xf numFmtId="3" fontId="22" fillId="26" borderId="19" xfId="0" applyNumberFormat="1" applyFont="1" applyFill="1" applyBorder="1"/>
    <xf numFmtId="0" fontId="21" fillId="26" borderId="35" xfId="0" applyFont="1" applyFill="1" applyBorder="1" applyAlignment="1">
      <alignment horizontal="right"/>
    </xf>
    <xf numFmtId="0" fontId="22" fillId="26" borderId="25" xfId="0" applyFont="1" applyFill="1" applyBorder="1" applyAlignment="1">
      <alignment horizontal="right"/>
    </xf>
    <xf numFmtId="0" fontId="22" fillId="26" borderId="37" xfId="0" applyFont="1" applyFill="1" applyBorder="1" applyAlignment="1">
      <alignment horizontal="right"/>
    </xf>
    <xf numFmtId="166" fontId="22" fillId="26" borderId="38" xfId="28" applyNumberFormat="1" applyFont="1" applyFill="1" applyBorder="1"/>
    <xf numFmtId="0" fontId="21" fillId="24" borderId="40" xfId="0" applyFont="1" applyFill="1" applyBorder="1" applyAlignment="1">
      <alignment horizontal="right"/>
    </xf>
    <xf numFmtId="10" fontId="21" fillId="24" borderId="41" xfId="41" applyNumberFormat="1" applyFont="1" applyFill="1" applyBorder="1"/>
    <xf numFmtId="10" fontId="25" fillId="0" borderId="19" xfId="41" applyNumberFormat="1" applyFont="1" applyFill="1" applyBorder="1"/>
    <xf numFmtId="0" fontId="22" fillId="0" borderId="16" xfId="0" applyFont="1" applyFill="1" applyBorder="1" applyAlignment="1">
      <alignment horizontal="right"/>
    </xf>
    <xf numFmtId="3" fontId="22" fillId="0" borderId="16" xfId="0" applyNumberFormat="1" applyFont="1" applyFill="1" applyBorder="1"/>
    <xf numFmtId="3" fontId="22" fillId="0" borderId="0" xfId="0" applyNumberFormat="1" applyFont="1" applyFill="1" applyBorder="1"/>
    <xf numFmtId="0" fontId="21" fillId="0" borderId="18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35" xfId="0" applyFont="1" applyBorder="1" applyAlignment="1">
      <alignment horizontal="right"/>
    </xf>
    <xf numFmtId="0" fontId="21" fillId="24" borderId="45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166" fontId="22" fillId="0" borderId="12" xfId="0" applyNumberFormat="1" applyFont="1" applyFill="1" applyBorder="1" applyAlignment="1">
      <alignment horizontal="right"/>
    </xf>
    <xf numFmtId="0" fontId="22" fillId="26" borderId="42" xfId="0" applyFont="1" applyFill="1" applyBorder="1" applyAlignment="1">
      <alignment horizontal="right"/>
    </xf>
    <xf numFmtId="0" fontId="22" fillId="26" borderId="43" xfId="0" applyFont="1" applyFill="1" applyBorder="1" applyAlignment="1">
      <alignment horizontal="center"/>
    </xf>
    <xf numFmtId="0" fontId="22" fillId="26" borderId="44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right"/>
    </xf>
    <xf numFmtId="0" fontId="21" fillId="26" borderId="19" xfId="0" applyFont="1" applyFill="1" applyBorder="1" applyAlignment="1">
      <alignment horizontal="right"/>
    </xf>
    <xf numFmtId="167" fontId="21" fillId="26" borderId="0" xfId="41" applyNumberFormat="1" applyFont="1" applyFill="1" applyBorder="1"/>
    <xf numFmtId="167" fontId="21" fillId="26" borderId="19" xfId="41" applyNumberFormat="1" applyFont="1" applyFill="1" applyBorder="1"/>
    <xf numFmtId="0" fontId="22" fillId="26" borderId="0" xfId="0" applyFont="1" applyFill="1" applyBorder="1" applyAlignment="1">
      <alignment horizontal="right"/>
    </xf>
    <xf numFmtId="0" fontId="22" fillId="26" borderId="19" xfId="0" applyFont="1" applyFill="1" applyBorder="1" applyAlignment="1">
      <alignment horizontal="right"/>
    </xf>
    <xf numFmtId="3" fontId="21" fillId="26" borderId="0" xfId="0" applyNumberFormat="1" applyFont="1" applyFill="1" applyBorder="1" applyAlignment="1">
      <alignment horizontal="right"/>
    </xf>
    <xf numFmtId="3" fontId="22" fillId="26" borderId="0" xfId="0" applyNumberFormat="1" applyFont="1" applyFill="1" applyBorder="1" applyAlignment="1">
      <alignment horizontal="right"/>
    </xf>
    <xf numFmtId="3" fontId="22" fillId="26" borderId="19" xfId="0" applyNumberFormat="1" applyFont="1" applyFill="1" applyBorder="1" applyAlignment="1">
      <alignment horizontal="right"/>
    </xf>
    <xf numFmtId="3" fontId="22" fillId="26" borderId="10" xfId="0" applyNumberFormat="1" applyFont="1" applyFill="1" applyBorder="1" applyAlignment="1">
      <alignment horizontal="right"/>
    </xf>
    <xf numFmtId="3" fontId="22" fillId="26" borderId="14" xfId="0" applyNumberFormat="1" applyFont="1" applyFill="1" applyBorder="1" applyAlignment="1">
      <alignment horizontal="right"/>
    </xf>
    <xf numFmtId="166" fontId="21" fillId="26" borderId="10" xfId="0" applyNumberFormat="1" applyFont="1" applyFill="1" applyBorder="1" applyAlignment="1">
      <alignment horizontal="right"/>
    </xf>
    <xf numFmtId="166" fontId="21" fillId="26" borderId="14" xfId="0" applyNumberFormat="1" applyFont="1" applyFill="1" applyBorder="1" applyAlignment="1">
      <alignment horizontal="right"/>
    </xf>
    <xf numFmtId="3" fontId="22" fillId="26" borderId="21" xfId="0" applyNumberFormat="1" applyFont="1" applyFill="1" applyBorder="1" applyAlignment="1">
      <alignment horizontal="right"/>
    </xf>
    <xf numFmtId="3" fontId="22" fillId="26" borderId="36" xfId="0" applyNumberFormat="1" applyFont="1" applyFill="1" applyBorder="1" applyAlignment="1">
      <alignment horizontal="right"/>
    </xf>
    <xf numFmtId="166" fontId="22" fillId="26" borderId="34" xfId="0" applyNumberFormat="1" applyFont="1" applyFill="1" applyBorder="1" applyAlignment="1">
      <alignment horizontal="right"/>
    </xf>
    <xf numFmtId="0" fontId="22" fillId="25" borderId="40" xfId="0" applyFont="1" applyFill="1" applyBorder="1" applyAlignment="1">
      <alignment horizontal="right"/>
    </xf>
    <xf numFmtId="3" fontId="22" fillId="25" borderId="26" xfId="0" applyNumberFormat="1" applyFont="1" applyFill="1" applyBorder="1"/>
    <xf numFmtId="166" fontId="21" fillId="0" borderId="0" xfId="28" applyNumberFormat="1" applyFont="1" applyBorder="1"/>
    <xf numFmtId="166" fontId="21" fillId="0" borderId="19" xfId="28" applyNumberFormat="1" applyFont="1" applyBorder="1"/>
    <xf numFmtId="167" fontId="21" fillId="0" borderId="16" xfId="41" applyNumberFormat="1" applyFont="1" applyBorder="1"/>
    <xf numFmtId="167" fontId="21" fillId="0" borderId="17" xfId="41" applyNumberFormat="1" applyFont="1" applyBorder="1"/>
    <xf numFmtId="0" fontId="21" fillId="0" borderId="50" xfId="0" applyFont="1" applyBorder="1" applyAlignment="1">
      <alignment horizontal="right"/>
    </xf>
    <xf numFmtId="0" fontId="21" fillId="0" borderId="51" xfId="0" applyFont="1" applyBorder="1" applyAlignment="1">
      <alignment horizontal="right"/>
    </xf>
    <xf numFmtId="3" fontId="22" fillId="25" borderId="41" xfId="0" applyNumberFormat="1" applyFont="1" applyFill="1" applyBorder="1"/>
    <xf numFmtId="0" fontId="25" fillId="0" borderId="52" xfId="0" applyFont="1" applyFill="1" applyBorder="1" applyAlignment="1">
      <alignment horizontal="right"/>
    </xf>
    <xf numFmtId="166" fontId="25" fillId="0" borderId="23" xfId="28" applyNumberFormat="1" applyFont="1" applyFill="1" applyBorder="1"/>
    <xf numFmtId="10" fontId="25" fillId="0" borderId="23" xfId="41" applyNumberFormat="1" applyFont="1" applyFill="1" applyBorder="1"/>
    <xf numFmtId="10" fontId="25" fillId="0" borderId="48" xfId="41" applyNumberFormat="1" applyFont="1" applyFill="1" applyBorder="1"/>
    <xf numFmtId="3" fontId="21" fillId="26" borderId="19" xfId="0" applyNumberFormat="1" applyFont="1" applyFill="1" applyBorder="1" applyAlignment="1">
      <alignment horizontal="right"/>
    </xf>
    <xf numFmtId="0" fontId="21" fillId="27" borderId="0" xfId="0" applyFont="1" applyFill="1" applyBorder="1" applyAlignment="1">
      <alignment horizontal="right"/>
    </xf>
    <xf numFmtId="10" fontId="21" fillId="27" borderId="0" xfId="41" applyNumberFormat="1" applyFont="1" applyFill="1" applyBorder="1"/>
    <xf numFmtId="0" fontId="22" fillId="27" borderId="39" xfId="0" applyFont="1" applyFill="1" applyBorder="1" applyAlignment="1">
      <alignment horizontal="right"/>
    </xf>
    <xf numFmtId="0" fontId="22" fillId="27" borderId="47" xfId="0" applyFont="1" applyFill="1" applyBorder="1" applyAlignment="1">
      <alignment horizontal="center"/>
    </xf>
    <xf numFmtId="0" fontId="22" fillId="27" borderId="49" xfId="0" applyFont="1" applyFill="1" applyBorder="1" applyAlignment="1">
      <alignment horizontal="center"/>
    </xf>
    <xf numFmtId="0" fontId="25" fillId="0" borderId="18" xfId="0" applyFont="1" applyBorder="1" applyAlignment="1">
      <alignment horizontal="right"/>
    </xf>
    <xf numFmtId="0" fontId="25" fillId="0" borderId="19" xfId="0" applyFont="1" applyBorder="1"/>
    <xf numFmtId="0" fontId="22" fillId="0" borderId="35" xfId="0" applyFont="1" applyBorder="1" applyAlignment="1">
      <alignment horizontal="right"/>
    </xf>
    <xf numFmtId="167" fontId="21" fillId="0" borderId="19" xfId="41" applyNumberFormat="1" applyFont="1" applyBorder="1"/>
    <xf numFmtId="167" fontId="21" fillId="0" borderId="14" xfId="41" applyNumberFormat="1" applyFont="1" applyBorder="1"/>
    <xf numFmtId="167" fontId="22" fillId="0" borderId="0" xfId="41" applyNumberFormat="1" applyFont="1" applyBorder="1"/>
    <xf numFmtId="167" fontId="22" fillId="0" borderId="19" xfId="41" applyNumberFormat="1" applyFont="1" applyBorder="1"/>
    <xf numFmtId="0" fontId="21" fillId="0" borderId="19" xfId="0" applyFont="1" applyBorder="1"/>
    <xf numFmtId="166" fontId="25" fillId="26" borderId="0" xfId="28" applyNumberFormat="1" applyFont="1" applyFill="1" applyBorder="1"/>
    <xf numFmtId="166" fontId="25" fillId="26" borderId="19" xfId="28" applyNumberFormat="1" applyFont="1" applyFill="1" applyBorder="1"/>
    <xf numFmtId="0" fontId="21" fillId="0" borderId="11" xfId="0" applyFont="1" applyBorder="1" applyAlignment="1">
      <alignment horizontal="center"/>
    </xf>
    <xf numFmtId="2" fontId="21" fillId="0" borderId="0" xfId="0" applyNumberFormat="1" applyFont="1" applyFill="1"/>
    <xf numFmtId="0" fontId="25" fillId="26" borderId="18" xfId="0" applyFont="1" applyFill="1" applyBorder="1" applyAlignment="1">
      <alignment horizontal="right"/>
    </xf>
    <xf numFmtId="3" fontId="25" fillId="26" borderId="0" xfId="0" applyNumberFormat="1" applyFont="1" applyFill="1" applyBorder="1"/>
    <xf numFmtId="3" fontId="25" fillId="26" borderId="19" xfId="0" applyNumberFormat="1" applyFont="1" applyFill="1" applyBorder="1"/>
    <xf numFmtId="0" fontId="26" fillId="26" borderId="18" xfId="0" applyFont="1" applyFill="1" applyBorder="1" applyAlignment="1">
      <alignment horizontal="right"/>
    </xf>
    <xf numFmtId="3" fontId="26" fillId="26" borderId="0" xfId="0" applyNumberFormat="1" applyFont="1" applyFill="1" applyBorder="1"/>
    <xf numFmtId="3" fontId="26" fillId="26" borderId="19" xfId="0" applyNumberFormat="1" applyFont="1" applyFill="1" applyBorder="1"/>
    <xf numFmtId="3" fontId="22" fillId="26" borderId="43" xfId="0" applyNumberFormat="1" applyFont="1" applyFill="1" applyBorder="1" applyAlignment="1">
      <alignment horizontal="center"/>
    </xf>
    <xf numFmtId="3" fontId="22" fillId="26" borderId="44" xfId="0" applyNumberFormat="1" applyFont="1" applyFill="1" applyBorder="1" applyAlignment="1">
      <alignment horizontal="center"/>
    </xf>
    <xf numFmtId="10" fontId="21" fillId="26" borderId="0" xfId="41" applyNumberFormat="1" applyFont="1" applyFill="1" applyBorder="1"/>
    <xf numFmtId="10" fontId="21" fillId="26" borderId="19" xfId="41" applyNumberFormat="1" applyFont="1" applyFill="1" applyBorder="1"/>
    <xf numFmtId="10" fontId="21" fillId="0" borderId="55" xfId="41" applyNumberFormat="1" applyFont="1" applyBorder="1" applyAlignment="1">
      <alignment horizontal="center"/>
    </xf>
    <xf numFmtId="0" fontId="22" fillId="0" borderId="54" xfId="0" applyFont="1" applyBorder="1"/>
    <xf numFmtId="0" fontId="21" fillId="0" borderId="50" xfId="0" applyFont="1" applyFill="1" applyBorder="1" applyAlignment="1">
      <alignment horizontal="right"/>
    </xf>
    <xf numFmtId="0" fontId="22" fillId="0" borderId="39" xfId="0" applyFont="1" applyFill="1" applyBorder="1" applyAlignment="1">
      <alignment horizontal="right"/>
    </xf>
    <xf numFmtId="0" fontId="21" fillId="0" borderId="45" xfId="0" applyFont="1" applyBorder="1" applyAlignment="1">
      <alignment horizontal="right"/>
    </xf>
    <xf numFmtId="167" fontId="21" fillId="0" borderId="16" xfId="0" applyNumberFormat="1" applyFont="1" applyBorder="1"/>
    <xf numFmtId="167" fontId="21" fillId="0" borderId="17" xfId="0" applyNumberFormat="1" applyFont="1" applyBorder="1"/>
    <xf numFmtId="0" fontId="21" fillId="0" borderId="45" xfId="0" applyFont="1" applyFill="1" applyBorder="1" applyAlignment="1">
      <alignment horizontal="right"/>
    </xf>
    <xf numFmtId="0" fontId="22" fillId="0" borderId="35" xfId="0" applyFont="1" applyFill="1" applyBorder="1" applyAlignment="1">
      <alignment horizontal="right"/>
    </xf>
    <xf numFmtId="0" fontId="21" fillId="0" borderId="35" xfId="0" applyFont="1" applyFill="1" applyBorder="1" applyAlignment="1">
      <alignment horizontal="right"/>
    </xf>
    <xf numFmtId="0" fontId="22" fillId="0" borderId="18" xfId="0" applyFont="1" applyFill="1" applyBorder="1" applyAlignment="1">
      <alignment horizontal="right"/>
    </xf>
    <xf numFmtId="10" fontId="21" fillId="0" borderId="23" xfId="41" applyNumberFormat="1" applyFont="1" applyFill="1" applyBorder="1"/>
    <xf numFmtId="0" fontId="21" fillId="0" borderId="52" xfId="0" applyFont="1" applyFill="1" applyBorder="1" applyAlignment="1">
      <alignment horizontal="right"/>
    </xf>
    <xf numFmtId="10" fontId="21" fillId="0" borderId="48" xfId="41" applyNumberFormat="1" applyFont="1" applyFill="1" applyBorder="1"/>
    <xf numFmtId="9" fontId="27" fillId="0" borderId="20" xfId="0" applyNumberFormat="1" applyFont="1" applyBorder="1" applyAlignment="1">
      <alignment horizontal="center"/>
    </xf>
    <xf numFmtId="164" fontId="21" fillId="0" borderId="10" xfId="0" applyNumberFormat="1" applyFont="1" applyFill="1" applyBorder="1"/>
    <xf numFmtId="165" fontId="21" fillId="0" borderId="0" xfId="0" applyNumberFormat="1" applyFont="1" applyFill="1"/>
    <xf numFmtId="0" fontId="25" fillId="0" borderId="0" xfId="41" applyNumberFormat="1" applyFont="1" applyBorder="1" applyAlignment="1">
      <alignment horizontal="center"/>
    </xf>
    <xf numFmtId="3" fontId="22" fillId="0" borderId="0" xfId="28" applyNumberFormat="1" applyFont="1"/>
    <xf numFmtId="3" fontId="21" fillId="0" borderId="0" xfId="0" applyNumberFormat="1" applyFont="1" applyProtection="1">
      <protection locked="0"/>
    </xf>
    <xf numFmtId="3" fontId="21" fillId="0" borderId="10" xfId="0" applyNumberFormat="1" applyFont="1" applyBorder="1" applyProtection="1">
      <protection locked="0"/>
    </xf>
    <xf numFmtId="0" fontId="21" fillId="29" borderId="26" xfId="0" applyFont="1" applyFill="1" applyBorder="1" applyAlignment="1">
      <alignment horizontal="right"/>
    </xf>
    <xf numFmtId="10" fontId="21" fillId="29" borderId="26" xfId="41" applyNumberFormat="1" applyFont="1" applyFill="1" applyBorder="1"/>
    <xf numFmtId="0" fontId="21" fillId="29" borderId="40" xfId="0" applyFont="1" applyFill="1" applyBorder="1" applyAlignment="1">
      <alignment horizontal="right"/>
    </xf>
    <xf numFmtId="0" fontId="21" fillId="29" borderId="37" xfId="0" applyFont="1" applyFill="1" applyBorder="1" applyAlignment="1">
      <alignment horizontal="right"/>
    </xf>
    <xf numFmtId="10" fontId="21" fillId="29" borderId="34" xfId="41" applyNumberFormat="1" applyFont="1" applyFill="1" applyBorder="1"/>
    <xf numFmtId="10" fontId="21" fillId="29" borderId="38" xfId="41" applyNumberFormat="1" applyFont="1" applyFill="1" applyBorder="1"/>
    <xf numFmtId="3" fontId="22" fillId="0" borderId="43" xfId="0" applyNumberFormat="1" applyFont="1" applyFill="1" applyBorder="1" applyAlignment="1">
      <alignment horizontal="center"/>
    </xf>
    <xf numFmtId="3" fontId="22" fillId="0" borderId="44" xfId="0" applyNumberFormat="1" applyFont="1" applyFill="1" applyBorder="1" applyAlignment="1">
      <alignment horizontal="center"/>
    </xf>
    <xf numFmtId="166" fontId="21" fillId="0" borderId="0" xfId="28" applyNumberFormat="1" applyFont="1" applyFill="1" applyBorder="1"/>
    <xf numFmtId="166" fontId="21" fillId="0" borderId="19" xfId="28" applyNumberFormat="1" applyFont="1" applyFill="1" applyBorder="1"/>
    <xf numFmtId="0" fontId="21" fillId="0" borderId="51" xfId="0" applyFont="1" applyFill="1" applyBorder="1" applyAlignment="1">
      <alignment horizontal="right"/>
    </xf>
    <xf numFmtId="167" fontId="21" fillId="0" borderId="16" xfId="41" applyNumberFormat="1" applyFont="1" applyFill="1" applyBorder="1"/>
    <xf numFmtId="167" fontId="21" fillId="0" borderId="17" xfId="41" applyNumberFormat="1" applyFont="1" applyFill="1" applyBorder="1"/>
    <xf numFmtId="3" fontId="22" fillId="0" borderId="56" xfId="0" applyNumberFormat="1" applyFont="1" applyFill="1" applyBorder="1" applyAlignment="1">
      <alignment horizontal="center"/>
    </xf>
    <xf numFmtId="3" fontId="22" fillId="0" borderId="47" xfId="0" applyNumberFormat="1" applyFont="1" applyFill="1" applyBorder="1" applyAlignment="1">
      <alignment horizontal="center"/>
    </xf>
    <xf numFmtId="3" fontId="22" fillId="0" borderId="49" xfId="0" applyNumberFormat="1" applyFont="1" applyFill="1" applyBorder="1" applyAlignment="1">
      <alignment horizontal="center"/>
    </xf>
    <xf numFmtId="0" fontId="22" fillId="0" borderId="57" xfId="0" applyFont="1" applyFill="1" applyBorder="1" applyAlignment="1">
      <alignment horizontal="right"/>
    </xf>
    <xf numFmtId="166" fontId="22" fillId="0" borderId="32" xfId="28" applyNumberFormat="1" applyFont="1" applyFill="1" applyBorder="1"/>
    <xf numFmtId="166" fontId="22" fillId="0" borderId="58" xfId="28" applyNumberFormat="1" applyFont="1" applyFill="1" applyBorder="1"/>
    <xf numFmtId="0" fontId="21" fillId="0" borderId="40" xfId="0" applyFont="1" applyFill="1" applyBorder="1" applyAlignment="1">
      <alignment horizontal="right"/>
    </xf>
    <xf numFmtId="10" fontId="21" fillId="0" borderId="26" xfId="41" applyNumberFormat="1" applyFont="1" applyFill="1" applyBorder="1"/>
    <xf numFmtId="10" fontId="21" fillId="0" borderId="41" xfId="41" applyNumberFormat="1" applyFont="1" applyFill="1" applyBorder="1"/>
    <xf numFmtId="43" fontId="21" fillId="0" borderId="0" xfId="0" applyNumberFormat="1" applyFont="1" applyFill="1"/>
    <xf numFmtId="10" fontId="21" fillId="0" borderId="19" xfId="41" applyNumberFormat="1" applyFont="1" applyFill="1" applyBorder="1"/>
    <xf numFmtId="43" fontId="21" fillId="0" borderId="0" xfId="0" applyNumberFormat="1" applyFont="1" applyFill="1" applyBorder="1"/>
    <xf numFmtId="0" fontId="21" fillId="0" borderId="19" xfId="0" applyFont="1" applyFill="1" applyBorder="1"/>
    <xf numFmtId="0" fontId="22" fillId="0" borderId="14" xfId="0" applyFont="1" applyFill="1" applyBorder="1" applyAlignment="1">
      <alignment horizontal="center"/>
    </xf>
    <xf numFmtId="167" fontId="21" fillId="0" borderId="19" xfId="41" applyNumberFormat="1" applyFont="1" applyFill="1" applyBorder="1"/>
    <xf numFmtId="167" fontId="21" fillId="0" borderId="14" xfId="41" applyNumberFormat="1" applyFont="1" applyFill="1" applyBorder="1"/>
    <xf numFmtId="167" fontId="22" fillId="0" borderId="0" xfId="41" applyNumberFormat="1" applyFont="1" applyFill="1" applyBorder="1"/>
    <xf numFmtId="167" fontId="22" fillId="0" borderId="19" xfId="41" applyNumberFormat="1" applyFont="1" applyFill="1" applyBorder="1"/>
    <xf numFmtId="167" fontId="21" fillId="0" borderId="16" xfId="0" applyNumberFormat="1" applyFont="1" applyFill="1" applyBorder="1"/>
    <xf numFmtId="167" fontId="21" fillId="0" borderId="17" xfId="0" applyNumberFormat="1" applyFont="1" applyFill="1" applyBorder="1"/>
    <xf numFmtId="9" fontId="21" fillId="0" borderId="0" xfId="41" applyFont="1" applyBorder="1"/>
    <xf numFmtId="0" fontId="21" fillId="0" borderId="0" xfId="0" applyFont="1" applyBorder="1" applyAlignment="1">
      <alignment horizontal="right"/>
    </xf>
    <xf numFmtId="167" fontId="21" fillId="0" borderId="0" xfId="0" applyNumberFormat="1" applyFont="1" applyBorder="1"/>
    <xf numFmtId="0" fontId="31" fillId="0" borderId="0" xfId="0" applyFont="1" applyAlignment="1"/>
    <xf numFmtId="0" fontId="32" fillId="0" borderId="0" xfId="0" applyFont="1" applyAlignment="1">
      <alignment horizontal="center"/>
    </xf>
    <xf numFmtId="0" fontId="33" fillId="0" borderId="0" xfId="0" applyFont="1"/>
    <xf numFmtId="167" fontId="31" fillId="0" borderId="0" xfId="0" applyNumberFormat="1" applyFont="1" applyAlignment="1"/>
    <xf numFmtId="0" fontId="34" fillId="0" borderId="0" xfId="0" applyFont="1" applyFill="1" applyAlignment="1">
      <alignment horizontal="left"/>
    </xf>
    <xf numFmtId="6" fontId="35" fillId="0" borderId="10" xfId="38" applyNumberFormat="1" applyFont="1" applyBorder="1" applyAlignment="1" applyProtection="1">
      <alignment horizontal="center" vertical="center" wrapText="1"/>
    </xf>
    <xf numFmtId="6" fontId="36" fillId="0" borderId="10" xfId="38" applyNumberFormat="1" applyFont="1" applyBorder="1" applyAlignment="1" applyProtection="1">
      <alignment horizontal="center" vertical="center" wrapText="1"/>
    </xf>
    <xf numFmtId="167" fontId="36" fillId="0" borderId="10" xfId="38" applyNumberFormat="1" applyFont="1" applyBorder="1" applyAlignment="1" applyProtection="1">
      <alignment horizontal="center" vertical="center" wrapText="1"/>
    </xf>
    <xf numFmtId="167" fontId="33" fillId="0" borderId="0" xfId="0" applyNumberFormat="1" applyFont="1"/>
    <xf numFmtId="0" fontId="37" fillId="0" borderId="42" xfId="0" applyFont="1" applyBorder="1" applyAlignment="1">
      <alignment vertical="center"/>
    </xf>
    <xf numFmtId="171" fontId="37" fillId="0" borderId="44" xfId="45" applyNumberFormat="1" applyFont="1" applyBorder="1" applyAlignment="1">
      <alignment vertical="center"/>
    </xf>
    <xf numFmtId="6" fontId="31" fillId="0" borderId="0" xfId="0" applyNumberFormat="1" applyFont="1"/>
    <xf numFmtId="0" fontId="33" fillId="0" borderId="0" xfId="0" applyFont="1" applyFill="1"/>
    <xf numFmtId="6" fontId="38" fillId="0" borderId="0" xfId="38" applyNumberFormat="1" applyFont="1" applyBorder="1" applyAlignment="1" applyProtection="1">
      <alignment horizontal="center" wrapText="1"/>
    </xf>
    <xf numFmtId="167" fontId="38" fillId="0" borderId="0" xfId="38" applyNumberFormat="1" applyFont="1" applyBorder="1" applyAlignment="1" applyProtection="1">
      <alignment horizontal="center" wrapText="1"/>
    </xf>
    <xf numFmtId="0" fontId="31" fillId="0" borderId="0" xfId="0" applyFont="1"/>
    <xf numFmtId="0" fontId="39" fillId="0" borderId="0" xfId="0" applyFont="1" applyFill="1" applyBorder="1" applyAlignment="1">
      <alignment horizontal="center"/>
    </xf>
    <xf numFmtId="0" fontId="33" fillId="0" borderId="28" xfId="0" applyFont="1" applyBorder="1"/>
    <xf numFmtId="0" fontId="33" fillId="0" borderId="1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167" fontId="33" fillId="0" borderId="11" xfId="41" applyNumberFormat="1" applyFont="1" applyBorder="1" applyAlignment="1">
      <alignment horizontal="center" vertical="center"/>
    </xf>
    <xf numFmtId="0" fontId="33" fillId="0" borderId="27" xfId="0" applyFont="1" applyBorder="1"/>
    <xf numFmtId="0" fontId="33" fillId="0" borderId="2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67" fontId="33" fillId="0" borderId="20" xfId="41" applyNumberFormat="1" applyFont="1" applyBorder="1" applyAlignment="1">
      <alignment horizontal="center" vertical="center"/>
    </xf>
    <xf numFmtId="0" fontId="37" fillId="0" borderId="29" xfId="0" applyFont="1" applyBorder="1" applyAlignment="1">
      <alignment vertical="center"/>
    </xf>
    <xf numFmtId="9" fontId="33" fillId="0" borderId="32" xfId="0" applyNumberFormat="1" applyFont="1" applyBorder="1"/>
    <xf numFmtId="9" fontId="33" fillId="0" borderId="29" xfId="0" applyNumberFormat="1" applyFont="1" applyBorder="1"/>
    <xf numFmtId="9" fontId="41" fillId="0" borderId="50" xfId="0" applyNumberFormat="1" applyFont="1" applyBorder="1"/>
    <xf numFmtId="9" fontId="41" fillId="0" borderId="58" xfId="0" applyNumberFormat="1" applyFont="1" applyBorder="1"/>
    <xf numFmtId="9" fontId="33" fillId="0" borderId="31" xfId="0" applyNumberFormat="1" applyFont="1" applyBorder="1"/>
    <xf numFmtId="167" fontId="33" fillId="0" borderId="32" xfId="41" applyNumberFormat="1" applyFont="1" applyBorder="1"/>
    <xf numFmtId="0" fontId="33" fillId="0" borderId="29" xfId="0" applyFont="1" applyBorder="1"/>
    <xf numFmtId="5" fontId="33" fillId="0" borderId="32" xfId="0" applyNumberFormat="1" applyFont="1" applyBorder="1"/>
    <xf numFmtId="5" fontId="33" fillId="0" borderId="29" xfId="0" applyNumberFormat="1" applyFont="1" applyBorder="1"/>
    <xf numFmtId="5" fontId="33" fillId="0" borderId="18" xfId="0" applyNumberFormat="1" applyFont="1" applyBorder="1"/>
    <xf numFmtId="5" fontId="33" fillId="0" borderId="58" xfId="0" applyNumberFormat="1" applyFont="1" applyBorder="1"/>
    <xf numFmtId="5" fontId="33" fillId="0" borderId="31" xfId="0" applyNumberFormat="1" applyFont="1" applyBorder="1"/>
    <xf numFmtId="166" fontId="33" fillId="0" borderId="32" xfId="28" applyNumberFormat="1" applyFont="1" applyBorder="1"/>
    <xf numFmtId="166" fontId="33" fillId="0" borderId="29" xfId="28" applyNumberFormat="1" applyFont="1" applyBorder="1"/>
    <xf numFmtId="166" fontId="33" fillId="0" borderId="18" xfId="28" applyNumberFormat="1" applyFont="1" applyBorder="1"/>
    <xf numFmtId="166" fontId="33" fillId="0" borderId="58" xfId="28" applyNumberFormat="1" applyFont="1" applyBorder="1"/>
    <xf numFmtId="166" fontId="33" fillId="0" borderId="31" xfId="28" applyNumberFormat="1" applyFont="1" applyBorder="1"/>
    <xf numFmtId="6" fontId="33" fillId="0" borderId="0" xfId="0" applyNumberFormat="1" applyFont="1"/>
    <xf numFmtId="0" fontId="33" fillId="0" borderId="20" xfId="0" applyFont="1" applyBorder="1"/>
    <xf numFmtId="166" fontId="33" fillId="0" borderId="20" xfId="28" applyNumberFormat="1" applyFont="1" applyBorder="1"/>
    <xf numFmtId="166" fontId="33" fillId="0" borderId="27" xfId="28" applyNumberFormat="1" applyFont="1" applyBorder="1"/>
    <xf numFmtId="166" fontId="33" fillId="0" borderId="35" xfId="28" applyNumberFormat="1" applyFont="1" applyBorder="1"/>
    <xf numFmtId="166" fontId="33" fillId="0" borderId="46" xfId="28" applyNumberFormat="1" applyFont="1" applyBorder="1"/>
    <xf numFmtId="167" fontId="33" fillId="0" borderId="20" xfId="41" applyNumberFormat="1" applyFont="1" applyBorder="1"/>
    <xf numFmtId="0" fontId="37" fillId="30" borderId="22" xfId="0" applyFont="1" applyFill="1" applyBorder="1" applyAlignment="1">
      <alignment horizontal="right"/>
    </xf>
    <xf numFmtId="5" fontId="37" fillId="30" borderId="26" xfId="0" applyNumberFormat="1" applyFont="1" applyFill="1" applyBorder="1"/>
    <xf numFmtId="5" fontId="37" fillId="30" borderId="22" xfId="0" applyNumberFormat="1" applyFont="1" applyFill="1" applyBorder="1"/>
    <xf numFmtId="5" fontId="37" fillId="30" borderId="40" xfId="0" applyNumberFormat="1" applyFont="1" applyFill="1" applyBorder="1"/>
    <xf numFmtId="5" fontId="37" fillId="30" borderId="41" xfId="0" applyNumberFormat="1" applyFont="1" applyFill="1" applyBorder="1"/>
    <xf numFmtId="5" fontId="37" fillId="30" borderId="24" xfId="0" applyNumberFormat="1" applyFont="1" applyFill="1" applyBorder="1"/>
    <xf numFmtId="167" fontId="37" fillId="30" borderId="26" xfId="41" applyNumberFormat="1" applyFont="1" applyFill="1" applyBorder="1"/>
    <xf numFmtId="167" fontId="37" fillId="31" borderId="26" xfId="41" applyNumberFormat="1" applyFont="1" applyFill="1" applyBorder="1"/>
    <xf numFmtId="5" fontId="33" fillId="0" borderId="0" xfId="0" applyNumberFormat="1" applyFont="1"/>
    <xf numFmtId="0" fontId="37" fillId="0" borderId="0" xfId="0" applyFont="1"/>
    <xf numFmtId="0" fontId="37" fillId="0" borderId="29" xfId="0" applyFont="1" applyBorder="1" applyAlignment="1">
      <alignment horizontal="right"/>
    </xf>
    <xf numFmtId="5" fontId="37" fillId="0" borderId="32" xfId="0" applyNumberFormat="1" applyFont="1" applyBorder="1"/>
    <xf numFmtId="5" fontId="37" fillId="0" borderId="29" xfId="0" applyNumberFormat="1" applyFont="1" applyBorder="1"/>
    <xf numFmtId="5" fontId="37" fillId="0" borderId="50" xfId="0" applyNumberFormat="1" applyFont="1" applyBorder="1"/>
    <xf numFmtId="5" fontId="37" fillId="0" borderId="58" xfId="0" applyNumberFormat="1" applyFont="1" applyBorder="1"/>
    <xf numFmtId="5" fontId="37" fillId="0" borderId="31" xfId="0" applyNumberFormat="1" applyFont="1" applyBorder="1"/>
    <xf numFmtId="167" fontId="37" fillId="0" borderId="32" xfId="41" applyNumberFormat="1" applyFont="1" applyBorder="1"/>
    <xf numFmtId="172" fontId="33" fillId="0" borderId="50" xfId="41" applyNumberFormat="1" applyFont="1" applyBorder="1"/>
    <xf numFmtId="0" fontId="33" fillId="0" borderId="58" xfId="0" applyFont="1" applyBorder="1"/>
    <xf numFmtId="167" fontId="33" fillId="0" borderId="29" xfId="41" applyNumberFormat="1" applyFont="1" applyBorder="1"/>
    <xf numFmtId="0" fontId="33" fillId="0" borderId="0" xfId="0" applyFont="1" applyAlignment="1">
      <alignment horizontal="right"/>
    </xf>
    <xf numFmtId="5" fontId="33" fillId="0" borderId="29" xfId="0" applyNumberFormat="1" applyFont="1" applyFill="1" applyBorder="1"/>
    <xf numFmtId="5" fontId="33" fillId="0" borderId="50" xfId="0" applyNumberFormat="1" applyFont="1" applyFill="1" applyBorder="1"/>
    <xf numFmtId="5" fontId="33" fillId="0" borderId="58" xfId="0" applyNumberFormat="1" applyFont="1" applyFill="1" applyBorder="1"/>
    <xf numFmtId="5" fontId="33" fillId="0" borderId="31" xfId="0" applyNumberFormat="1" applyFont="1" applyFill="1" applyBorder="1"/>
    <xf numFmtId="167" fontId="33" fillId="0" borderId="32" xfId="41" applyNumberFormat="1" applyFont="1" applyFill="1" applyBorder="1"/>
    <xf numFmtId="5" fontId="33" fillId="0" borderId="0" xfId="38" applyNumberFormat="1" applyFont="1" applyFill="1" applyBorder="1"/>
    <xf numFmtId="7" fontId="33" fillId="0" borderId="0" xfId="0" applyNumberFormat="1" applyFont="1"/>
    <xf numFmtId="166" fontId="33" fillId="0" borderId="0" xfId="28" applyNumberFormat="1" applyFont="1" applyFill="1" applyBorder="1"/>
    <xf numFmtId="0" fontId="33" fillId="0" borderId="29" xfId="0" applyFont="1" applyFill="1" applyBorder="1"/>
    <xf numFmtId="166" fontId="33" fillId="0" borderId="32" xfId="28" applyNumberFormat="1" applyFont="1" applyFill="1" applyBorder="1"/>
    <xf numFmtId="166" fontId="33" fillId="0" borderId="29" xfId="28" applyNumberFormat="1" applyFont="1" applyFill="1" applyBorder="1"/>
    <xf numFmtId="166" fontId="33" fillId="0" borderId="18" xfId="28" applyNumberFormat="1" applyFont="1" applyFill="1" applyBorder="1"/>
    <xf numFmtId="166" fontId="33" fillId="0" borderId="58" xfId="28" applyNumberFormat="1" applyFont="1" applyFill="1" applyBorder="1"/>
    <xf numFmtId="166" fontId="33" fillId="0" borderId="31" xfId="28" applyNumberFormat="1" applyFont="1" applyFill="1" applyBorder="1"/>
    <xf numFmtId="0" fontId="31" fillId="0" borderId="0" xfId="0" applyFont="1" applyFill="1"/>
    <xf numFmtId="5" fontId="33" fillId="0" borderId="0" xfId="0" applyNumberFormat="1" applyFont="1" applyFill="1"/>
    <xf numFmtId="43" fontId="31" fillId="0" borderId="0" xfId="0" applyNumberFormat="1" applyFont="1" applyFill="1"/>
    <xf numFmtId="0" fontId="33" fillId="0" borderId="0" xfId="0" applyFont="1" applyFill="1" applyBorder="1"/>
    <xf numFmtId="5" fontId="33" fillId="0" borderId="0" xfId="0" applyNumberFormat="1" applyFont="1" applyFill="1" applyBorder="1"/>
    <xf numFmtId="0" fontId="33" fillId="0" borderId="20" xfId="0" applyFont="1" applyFill="1" applyBorder="1"/>
    <xf numFmtId="166" fontId="33" fillId="0" borderId="27" xfId="28" applyNumberFormat="1" applyFont="1" applyFill="1" applyBorder="1"/>
    <xf numFmtId="166" fontId="33" fillId="0" borderId="46" xfId="28" applyNumberFormat="1" applyFont="1" applyFill="1" applyBorder="1"/>
    <xf numFmtId="167" fontId="33" fillId="0" borderId="20" xfId="41" applyNumberFormat="1" applyFont="1" applyFill="1" applyBorder="1"/>
    <xf numFmtId="7" fontId="33" fillId="0" borderId="0" xfId="0" applyNumberFormat="1" applyFont="1" applyFill="1" applyBorder="1"/>
    <xf numFmtId="167" fontId="37" fillId="0" borderId="26" xfId="41" applyNumberFormat="1" applyFont="1" applyFill="1" applyBorder="1"/>
    <xf numFmtId="5" fontId="37" fillId="0" borderId="32" xfId="0" applyNumberFormat="1" applyFont="1" applyFill="1" applyBorder="1"/>
    <xf numFmtId="0" fontId="33" fillId="0" borderId="0" xfId="0" applyFont="1" applyBorder="1"/>
    <xf numFmtId="0" fontId="33" fillId="0" borderId="0" xfId="0" applyFont="1" applyBorder="1" applyAlignment="1">
      <alignment horizontal="right"/>
    </xf>
    <xf numFmtId="0" fontId="33" fillId="0" borderId="32" xfId="0" applyFont="1" applyBorder="1"/>
    <xf numFmtId="0" fontId="33" fillId="0" borderId="50" xfId="0" applyFont="1" applyBorder="1"/>
    <xf numFmtId="0" fontId="33" fillId="0" borderId="31" xfId="0" applyFont="1" applyBorder="1"/>
    <xf numFmtId="5" fontId="33" fillId="0" borderId="0" xfId="0" applyNumberFormat="1" applyFont="1" applyBorder="1"/>
    <xf numFmtId="5" fontId="33" fillId="0" borderId="50" xfId="0" applyNumberFormat="1" applyFont="1" applyBorder="1"/>
    <xf numFmtId="5" fontId="37" fillId="0" borderId="0" xfId="38" applyNumberFormat="1" applyFont="1" applyFill="1" applyBorder="1"/>
    <xf numFmtId="166" fontId="33" fillId="0" borderId="20" xfId="28" applyNumberFormat="1" applyFont="1" applyFill="1" applyBorder="1"/>
    <xf numFmtId="166" fontId="33" fillId="0" borderId="30" xfId="28" applyNumberFormat="1" applyFont="1" applyFill="1" applyBorder="1"/>
    <xf numFmtId="0" fontId="37" fillId="0" borderId="29" xfId="0" applyFont="1" applyBorder="1" applyAlignment="1">
      <alignment horizontal="left"/>
    </xf>
    <xf numFmtId="0" fontId="37" fillId="0" borderId="29" xfId="0" applyFont="1" applyBorder="1"/>
    <xf numFmtId="0" fontId="35" fillId="30" borderId="22" xfId="0" applyFont="1" applyFill="1" applyBorder="1"/>
    <xf numFmtId="6" fontId="35" fillId="30" borderId="26" xfId="0" applyNumberFormat="1" applyFont="1" applyFill="1" applyBorder="1"/>
    <xf numFmtId="6" fontId="35" fillId="30" borderId="22" xfId="0" applyNumberFormat="1" applyFont="1" applyFill="1" applyBorder="1"/>
    <xf numFmtId="6" fontId="35" fillId="30" borderId="37" xfId="0" applyNumberFormat="1" applyFont="1" applyFill="1" applyBorder="1"/>
    <xf numFmtId="6" fontId="35" fillId="30" borderId="38" xfId="0" applyNumberFormat="1" applyFont="1" applyFill="1" applyBorder="1"/>
    <xf numFmtId="6" fontId="35" fillId="30" borderId="24" xfId="0" applyNumberFormat="1" applyFont="1" applyFill="1" applyBorder="1"/>
    <xf numFmtId="167" fontId="35" fillId="30" borderId="26" xfId="41" applyNumberFormat="1" applyFont="1" applyFill="1" applyBorder="1"/>
    <xf numFmtId="167" fontId="37" fillId="0" borderId="20" xfId="41" applyNumberFormat="1" applyFont="1" applyBorder="1"/>
    <xf numFmtId="167" fontId="31" fillId="0" borderId="0" xfId="41" applyNumberFormat="1" applyFont="1"/>
    <xf numFmtId="0" fontId="43" fillId="0" borderId="0" xfId="0" applyFont="1" applyBorder="1"/>
    <xf numFmtId="6" fontId="43" fillId="0" borderId="0" xfId="0" applyNumberFormat="1" applyFont="1" applyBorder="1"/>
    <xf numFmtId="6" fontId="43" fillId="0" borderId="0" xfId="0" applyNumberFormat="1" applyFont="1" applyFill="1" applyBorder="1"/>
    <xf numFmtId="167" fontId="43" fillId="0" borderId="0" xfId="41" applyNumberFormat="1" applyFont="1" applyBorder="1"/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167" fontId="31" fillId="0" borderId="0" xfId="0" applyNumberFormat="1" applyFont="1" applyAlignment="1">
      <alignment wrapText="1"/>
    </xf>
    <xf numFmtId="6" fontId="31" fillId="0" borderId="0" xfId="0" applyNumberFormat="1" applyFont="1" applyAlignment="1"/>
    <xf numFmtId="166" fontId="31" fillId="0" borderId="0" xfId="0" applyNumberFormat="1" applyFont="1" applyAlignment="1">
      <alignment horizontal="left"/>
    </xf>
    <xf numFmtId="167" fontId="31" fillId="0" borderId="0" xfId="0" applyNumberFormat="1" applyFont="1"/>
    <xf numFmtId="173" fontId="31" fillId="0" borderId="0" xfId="41" applyNumberFormat="1" applyFont="1"/>
    <xf numFmtId="174" fontId="31" fillId="0" borderId="0" xfId="41" applyNumberFormat="1" applyFont="1"/>
    <xf numFmtId="7" fontId="31" fillId="0" borderId="0" xfId="0" applyNumberFormat="1" applyFont="1"/>
    <xf numFmtId="4" fontId="21" fillId="26" borderId="0" xfId="0" applyNumberFormat="1" applyFont="1" applyFill="1" applyBorder="1"/>
    <xf numFmtId="4" fontId="21" fillId="26" borderId="19" xfId="0" applyNumberFormat="1" applyFont="1" applyFill="1" applyBorder="1"/>
    <xf numFmtId="165" fontId="21" fillId="26" borderId="21" xfId="0" applyNumberFormat="1" applyFont="1" applyFill="1" applyBorder="1"/>
    <xf numFmtId="165" fontId="21" fillId="26" borderId="36" xfId="0" applyNumberFormat="1" applyFont="1" applyFill="1" applyBorder="1"/>
    <xf numFmtId="166" fontId="21" fillId="26" borderId="0" xfId="28" applyNumberFormat="1" applyFont="1" applyFill="1" applyBorder="1"/>
    <xf numFmtId="166" fontId="21" fillId="26" borderId="19" xfId="28" applyNumberFormat="1" applyFont="1" applyFill="1" applyBorder="1"/>
    <xf numFmtId="166" fontId="21" fillId="0" borderId="10" xfId="28" applyNumberFormat="1" applyFont="1" applyFill="1" applyBorder="1"/>
    <xf numFmtId="166" fontId="21" fillId="0" borderId="14" xfId="28" applyNumberFormat="1" applyFont="1" applyFill="1" applyBorder="1"/>
    <xf numFmtId="166" fontId="21" fillId="0" borderId="20" xfId="0" applyNumberFormat="1" applyFont="1" applyFill="1" applyBorder="1"/>
    <xf numFmtId="166" fontId="21" fillId="0" borderId="46" xfId="0" applyNumberFormat="1" applyFont="1" applyFill="1" applyBorder="1"/>
    <xf numFmtId="9" fontId="21" fillId="0" borderId="20" xfId="0" applyNumberFormat="1" applyFont="1" applyFill="1" applyBorder="1" applyAlignment="1">
      <alignment horizontal="center"/>
    </xf>
    <xf numFmtId="166" fontId="21" fillId="29" borderId="26" xfId="0" applyNumberFormat="1" applyFont="1" applyFill="1" applyBorder="1"/>
    <xf numFmtId="166" fontId="21" fillId="29" borderId="41" xfId="0" applyNumberFormat="1" applyFont="1" applyFill="1" applyBorder="1"/>
    <xf numFmtId="0" fontId="22" fillId="0" borderId="60" xfId="0" applyFont="1" applyFill="1" applyBorder="1" applyAlignment="1">
      <alignment horizontal="right"/>
    </xf>
    <xf numFmtId="10" fontId="21" fillId="0" borderId="17" xfId="41" applyNumberFormat="1" applyFont="1" applyBorder="1" applyAlignment="1">
      <alignment horizontal="center"/>
    </xf>
    <xf numFmtId="3" fontId="21" fillId="26" borderId="19" xfId="0" applyNumberFormat="1" applyFont="1" applyFill="1" applyBorder="1"/>
    <xf numFmtId="0" fontId="25" fillId="26" borderId="0" xfId="0" applyFont="1" applyFill="1" applyBorder="1"/>
    <xf numFmtId="0" fontId="25" fillId="26" borderId="19" xfId="0" applyFont="1" applyFill="1" applyBorder="1"/>
    <xf numFmtId="43" fontId="21" fillId="26" borderId="0" xfId="0" applyNumberFormat="1" applyFont="1" applyFill="1" applyBorder="1"/>
    <xf numFmtId="43" fontId="21" fillId="26" borderId="19" xfId="0" applyNumberFormat="1" applyFont="1" applyFill="1" applyBorder="1"/>
    <xf numFmtId="165" fontId="21" fillId="26" borderId="0" xfId="0" applyNumberFormat="1" applyFont="1" applyFill="1" applyBorder="1"/>
    <xf numFmtId="165" fontId="21" fillId="26" borderId="19" xfId="0" applyNumberFormat="1" applyFont="1" applyFill="1" applyBorder="1"/>
    <xf numFmtId="166" fontId="21" fillId="0" borderId="14" xfId="28" applyNumberFormat="1" applyFont="1" applyBorder="1"/>
    <xf numFmtId="166" fontId="21" fillId="24" borderId="20" xfId="0" applyNumberFormat="1" applyFont="1" applyFill="1" applyBorder="1"/>
    <xf numFmtId="166" fontId="21" fillId="24" borderId="46" xfId="0" applyNumberFormat="1" applyFont="1" applyFill="1" applyBorder="1"/>
    <xf numFmtId="166" fontId="22" fillId="26" borderId="38" xfId="0" applyNumberFormat="1" applyFont="1" applyFill="1" applyBorder="1" applyAlignment="1">
      <alignment horizontal="right"/>
    </xf>
    <xf numFmtId="0" fontId="7" fillId="0" borderId="0" xfId="1024"/>
    <xf numFmtId="0" fontId="28" fillId="2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/>
    <xf numFmtId="0" fontId="37" fillId="0" borderId="53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</cellXfs>
  <cellStyles count="1222">
    <cellStyle name="20% - Accent1" xfId="1" builtinId="30" customBuiltin="1"/>
    <cellStyle name="20% - Accent1 2" xfId="46"/>
    <cellStyle name="20% - Accent1 2 2" xfId="47"/>
    <cellStyle name="20% - Accent1 2 3" xfId="48"/>
    <cellStyle name="20% - Accent1 2 4" xfId="49"/>
    <cellStyle name="20% - Accent1 3" xfId="50"/>
    <cellStyle name="20% - Accent1 3 2" xfId="51"/>
    <cellStyle name="20% - Accent1 3 3" xfId="52"/>
    <cellStyle name="20% - Accent1 3 4" xfId="53"/>
    <cellStyle name="20% - Accent1 4" xfId="54"/>
    <cellStyle name="20% - Accent1 4 2" xfId="55"/>
    <cellStyle name="20% - Accent1 4 3" xfId="56"/>
    <cellStyle name="20% - Accent1 4 4" xfId="57"/>
    <cellStyle name="20% - Accent1 5" xfId="58"/>
    <cellStyle name="20% - Accent1 5 2" xfId="59"/>
    <cellStyle name="20% - Accent1 5 3" xfId="60"/>
    <cellStyle name="20% - Accent1 5 4" xfId="61"/>
    <cellStyle name="20% - Accent1 6" xfId="62"/>
    <cellStyle name="20% - Accent1 6 2" xfId="63"/>
    <cellStyle name="20% - Accent1 6 3" xfId="64"/>
    <cellStyle name="20% - Accent1 6 4" xfId="65"/>
    <cellStyle name="20% - Accent1 7" xfId="66"/>
    <cellStyle name="20% - Accent1 7 2" xfId="67"/>
    <cellStyle name="20% - Accent1 7 3" xfId="68"/>
    <cellStyle name="20% - Accent1 7 4" xfId="69"/>
    <cellStyle name="20% - Accent1 8" xfId="70"/>
    <cellStyle name="20% - Accent2" xfId="2" builtinId="34" customBuiltin="1"/>
    <cellStyle name="20% - Accent2 2" xfId="71"/>
    <cellStyle name="20% - Accent2 2 2" xfId="72"/>
    <cellStyle name="20% - Accent2 2 3" xfId="73"/>
    <cellStyle name="20% - Accent2 2 4" xfId="74"/>
    <cellStyle name="20% - Accent2 3" xfId="75"/>
    <cellStyle name="20% - Accent2 3 2" xfId="76"/>
    <cellStyle name="20% - Accent2 3 3" xfId="77"/>
    <cellStyle name="20% - Accent2 3 4" xfId="78"/>
    <cellStyle name="20% - Accent2 4" xfId="79"/>
    <cellStyle name="20% - Accent2 4 2" xfId="80"/>
    <cellStyle name="20% - Accent2 4 3" xfId="81"/>
    <cellStyle name="20% - Accent2 4 4" xfId="82"/>
    <cellStyle name="20% - Accent2 5" xfId="83"/>
    <cellStyle name="20% - Accent2 5 2" xfId="84"/>
    <cellStyle name="20% - Accent2 5 3" xfId="85"/>
    <cellStyle name="20% - Accent2 5 4" xfId="86"/>
    <cellStyle name="20% - Accent2 6" xfId="87"/>
    <cellStyle name="20% - Accent2 6 2" xfId="88"/>
    <cellStyle name="20% - Accent2 6 3" xfId="89"/>
    <cellStyle name="20% - Accent2 6 4" xfId="90"/>
    <cellStyle name="20% - Accent2 7" xfId="91"/>
    <cellStyle name="20% - Accent2 7 2" xfId="92"/>
    <cellStyle name="20% - Accent2 7 3" xfId="93"/>
    <cellStyle name="20% - Accent2 7 4" xfId="94"/>
    <cellStyle name="20% - Accent2 8" xfId="95"/>
    <cellStyle name="20% - Accent3" xfId="3" builtinId="38" customBuiltin="1"/>
    <cellStyle name="20% - Accent3 2" xfId="96"/>
    <cellStyle name="20% - Accent3 2 2" xfId="97"/>
    <cellStyle name="20% - Accent3 2 3" xfId="98"/>
    <cellStyle name="20% - Accent3 2 4" xfId="99"/>
    <cellStyle name="20% - Accent3 3" xfId="100"/>
    <cellStyle name="20% - Accent3 3 2" xfId="101"/>
    <cellStyle name="20% - Accent3 3 3" xfId="102"/>
    <cellStyle name="20% - Accent3 3 4" xfId="103"/>
    <cellStyle name="20% - Accent3 4" xfId="104"/>
    <cellStyle name="20% - Accent3 4 2" xfId="105"/>
    <cellStyle name="20% - Accent3 4 3" xfId="106"/>
    <cellStyle name="20% - Accent3 4 4" xfId="107"/>
    <cellStyle name="20% - Accent3 5" xfId="108"/>
    <cellStyle name="20% - Accent3 5 2" xfId="109"/>
    <cellStyle name="20% - Accent3 5 3" xfId="110"/>
    <cellStyle name="20% - Accent3 5 4" xfId="111"/>
    <cellStyle name="20% - Accent3 6" xfId="112"/>
    <cellStyle name="20% - Accent3 6 2" xfId="113"/>
    <cellStyle name="20% - Accent3 6 3" xfId="114"/>
    <cellStyle name="20% - Accent3 6 4" xfId="115"/>
    <cellStyle name="20% - Accent3 7" xfId="116"/>
    <cellStyle name="20% - Accent3 7 2" xfId="117"/>
    <cellStyle name="20% - Accent3 7 3" xfId="118"/>
    <cellStyle name="20% - Accent3 7 4" xfId="119"/>
    <cellStyle name="20% - Accent3 8" xfId="120"/>
    <cellStyle name="20% - Accent4" xfId="4" builtinId="42" customBuiltin="1"/>
    <cellStyle name="20% - Accent4 2" xfId="121"/>
    <cellStyle name="20% - Accent4 2 2" xfId="122"/>
    <cellStyle name="20% - Accent4 2 3" xfId="123"/>
    <cellStyle name="20% - Accent4 2 4" xfId="124"/>
    <cellStyle name="20% - Accent4 3" xfId="125"/>
    <cellStyle name="20% - Accent4 3 2" xfId="126"/>
    <cellStyle name="20% - Accent4 3 3" xfId="127"/>
    <cellStyle name="20% - Accent4 3 4" xfId="128"/>
    <cellStyle name="20% - Accent4 4" xfId="129"/>
    <cellStyle name="20% - Accent4 4 2" xfId="130"/>
    <cellStyle name="20% - Accent4 4 3" xfId="131"/>
    <cellStyle name="20% - Accent4 4 4" xfId="132"/>
    <cellStyle name="20% - Accent4 5" xfId="133"/>
    <cellStyle name="20% - Accent4 5 2" xfId="134"/>
    <cellStyle name="20% - Accent4 5 3" xfId="135"/>
    <cellStyle name="20% - Accent4 5 4" xfId="136"/>
    <cellStyle name="20% - Accent4 6" xfId="137"/>
    <cellStyle name="20% - Accent4 6 2" xfId="138"/>
    <cellStyle name="20% - Accent4 6 3" xfId="139"/>
    <cellStyle name="20% - Accent4 6 4" xfId="140"/>
    <cellStyle name="20% - Accent4 7" xfId="141"/>
    <cellStyle name="20% - Accent4 7 2" xfId="142"/>
    <cellStyle name="20% - Accent4 7 3" xfId="143"/>
    <cellStyle name="20% - Accent4 7 4" xfId="144"/>
    <cellStyle name="20% - Accent4 8" xfId="145"/>
    <cellStyle name="20% - Accent5" xfId="5" builtinId="46" customBuiltin="1"/>
    <cellStyle name="20% - Accent5 2" xfId="146"/>
    <cellStyle name="20% - Accent5 2 2" xfId="147"/>
    <cellStyle name="20% - Accent5 2 3" xfId="148"/>
    <cellStyle name="20% - Accent5 2 4" xfId="149"/>
    <cellStyle name="20% - Accent5 3" xfId="150"/>
    <cellStyle name="20% - Accent5 3 2" xfId="151"/>
    <cellStyle name="20% - Accent5 3 3" xfId="152"/>
    <cellStyle name="20% - Accent5 3 4" xfId="153"/>
    <cellStyle name="20% - Accent5 4" xfId="154"/>
    <cellStyle name="20% - Accent5 4 2" xfId="155"/>
    <cellStyle name="20% - Accent5 4 3" xfId="156"/>
    <cellStyle name="20% - Accent5 4 4" xfId="157"/>
    <cellStyle name="20% - Accent5 5" xfId="158"/>
    <cellStyle name="20% - Accent5 5 2" xfId="159"/>
    <cellStyle name="20% - Accent5 5 3" xfId="160"/>
    <cellStyle name="20% - Accent5 5 4" xfId="161"/>
    <cellStyle name="20% - Accent5 6" xfId="162"/>
    <cellStyle name="20% - Accent5 6 2" xfId="163"/>
    <cellStyle name="20% - Accent5 6 3" xfId="164"/>
    <cellStyle name="20% - Accent5 6 4" xfId="165"/>
    <cellStyle name="20% - Accent5 7" xfId="166"/>
    <cellStyle name="20% - Accent5 7 2" xfId="167"/>
    <cellStyle name="20% - Accent5 7 3" xfId="168"/>
    <cellStyle name="20% - Accent5 7 4" xfId="169"/>
    <cellStyle name="20% - Accent5 8" xfId="170"/>
    <cellStyle name="20% - Accent6" xfId="6" builtinId="50" customBuiltin="1"/>
    <cellStyle name="20% - Accent6 2" xfId="171"/>
    <cellStyle name="20% - Accent6 2 2" xfId="172"/>
    <cellStyle name="20% - Accent6 2 3" xfId="173"/>
    <cellStyle name="20% - Accent6 2 4" xfId="174"/>
    <cellStyle name="20% - Accent6 3" xfId="175"/>
    <cellStyle name="20% - Accent6 3 2" xfId="176"/>
    <cellStyle name="20% - Accent6 3 3" xfId="177"/>
    <cellStyle name="20% - Accent6 3 4" xfId="178"/>
    <cellStyle name="20% - Accent6 4" xfId="179"/>
    <cellStyle name="20% - Accent6 4 2" xfId="180"/>
    <cellStyle name="20% - Accent6 4 3" xfId="181"/>
    <cellStyle name="20% - Accent6 4 4" xfId="182"/>
    <cellStyle name="20% - Accent6 5" xfId="183"/>
    <cellStyle name="20% - Accent6 5 2" xfId="184"/>
    <cellStyle name="20% - Accent6 5 3" xfId="185"/>
    <cellStyle name="20% - Accent6 5 4" xfId="186"/>
    <cellStyle name="20% - Accent6 6" xfId="187"/>
    <cellStyle name="20% - Accent6 6 2" xfId="188"/>
    <cellStyle name="20% - Accent6 6 3" xfId="189"/>
    <cellStyle name="20% - Accent6 6 4" xfId="190"/>
    <cellStyle name="20% - Accent6 7" xfId="191"/>
    <cellStyle name="20% - Accent6 7 2" xfId="192"/>
    <cellStyle name="20% - Accent6 7 3" xfId="193"/>
    <cellStyle name="20% - Accent6 7 4" xfId="194"/>
    <cellStyle name="20% - Accent6 8" xfId="195"/>
    <cellStyle name="40% - Accent1" xfId="7" builtinId="31" customBuiltin="1"/>
    <cellStyle name="40% - Accent1 2" xfId="196"/>
    <cellStyle name="40% - Accent1 2 2" xfId="197"/>
    <cellStyle name="40% - Accent1 2 3" xfId="198"/>
    <cellStyle name="40% - Accent1 2 4" xfId="199"/>
    <cellStyle name="40% - Accent1 3" xfId="200"/>
    <cellStyle name="40% - Accent1 3 2" xfId="201"/>
    <cellStyle name="40% - Accent1 3 3" xfId="202"/>
    <cellStyle name="40% - Accent1 3 4" xfId="203"/>
    <cellStyle name="40% - Accent1 4" xfId="204"/>
    <cellStyle name="40% - Accent1 4 2" xfId="205"/>
    <cellStyle name="40% - Accent1 4 3" xfId="206"/>
    <cellStyle name="40% - Accent1 4 4" xfId="207"/>
    <cellStyle name="40% - Accent1 5" xfId="208"/>
    <cellStyle name="40% - Accent1 5 2" xfId="209"/>
    <cellStyle name="40% - Accent1 5 3" xfId="210"/>
    <cellStyle name="40% - Accent1 5 4" xfId="211"/>
    <cellStyle name="40% - Accent1 6" xfId="212"/>
    <cellStyle name="40% - Accent1 6 2" xfId="213"/>
    <cellStyle name="40% - Accent1 6 3" xfId="214"/>
    <cellStyle name="40% - Accent1 6 4" xfId="215"/>
    <cellStyle name="40% - Accent1 7" xfId="216"/>
    <cellStyle name="40% - Accent1 7 2" xfId="217"/>
    <cellStyle name="40% - Accent1 7 3" xfId="218"/>
    <cellStyle name="40% - Accent1 7 4" xfId="219"/>
    <cellStyle name="40% - Accent1 8" xfId="220"/>
    <cellStyle name="40% - Accent2" xfId="8" builtinId="35" customBuiltin="1"/>
    <cellStyle name="40% - Accent2 2" xfId="221"/>
    <cellStyle name="40% - Accent2 2 2" xfId="222"/>
    <cellStyle name="40% - Accent2 2 3" xfId="223"/>
    <cellStyle name="40% - Accent2 2 4" xfId="224"/>
    <cellStyle name="40% - Accent2 3" xfId="225"/>
    <cellStyle name="40% - Accent2 3 2" xfId="226"/>
    <cellStyle name="40% - Accent2 3 3" xfId="227"/>
    <cellStyle name="40% - Accent2 3 4" xfId="228"/>
    <cellStyle name="40% - Accent2 4" xfId="229"/>
    <cellStyle name="40% - Accent2 4 2" xfId="230"/>
    <cellStyle name="40% - Accent2 4 3" xfId="231"/>
    <cellStyle name="40% - Accent2 4 4" xfId="232"/>
    <cellStyle name="40% - Accent2 5" xfId="233"/>
    <cellStyle name="40% - Accent2 5 2" xfId="234"/>
    <cellStyle name="40% - Accent2 5 3" xfId="235"/>
    <cellStyle name="40% - Accent2 5 4" xfId="236"/>
    <cellStyle name="40% - Accent2 6" xfId="237"/>
    <cellStyle name="40% - Accent2 6 2" xfId="238"/>
    <cellStyle name="40% - Accent2 6 3" xfId="239"/>
    <cellStyle name="40% - Accent2 6 4" xfId="240"/>
    <cellStyle name="40% - Accent2 7" xfId="241"/>
    <cellStyle name="40% - Accent2 7 2" xfId="242"/>
    <cellStyle name="40% - Accent2 7 3" xfId="243"/>
    <cellStyle name="40% - Accent2 7 4" xfId="244"/>
    <cellStyle name="40% - Accent2 8" xfId="245"/>
    <cellStyle name="40% - Accent3" xfId="9" builtinId="39" customBuiltin="1"/>
    <cellStyle name="40% - Accent3 2" xfId="246"/>
    <cellStyle name="40% - Accent3 2 2" xfId="247"/>
    <cellStyle name="40% - Accent3 2 3" xfId="248"/>
    <cellStyle name="40% - Accent3 2 4" xfId="249"/>
    <cellStyle name="40% - Accent3 3" xfId="250"/>
    <cellStyle name="40% - Accent3 3 2" xfId="251"/>
    <cellStyle name="40% - Accent3 3 3" xfId="252"/>
    <cellStyle name="40% - Accent3 3 4" xfId="253"/>
    <cellStyle name="40% - Accent3 4" xfId="254"/>
    <cellStyle name="40% - Accent3 4 2" xfId="255"/>
    <cellStyle name="40% - Accent3 4 3" xfId="256"/>
    <cellStyle name="40% - Accent3 4 4" xfId="257"/>
    <cellStyle name="40% - Accent3 5" xfId="258"/>
    <cellStyle name="40% - Accent3 5 2" xfId="259"/>
    <cellStyle name="40% - Accent3 5 3" xfId="260"/>
    <cellStyle name="40% - Accent3 5 4" xfId="261"/>
    <cellStyle name="40% - Accent3 6" xfId="262"/>
    <cellStyle name="40% - Accent3 6 2" xfId="263"/>
    <cellStyle name="40% - Accent3 6 3" xfId="264"/>
    <cellStyle name="40% - Accent3 6 4" xfId="265"/>
    <cellStyle name="40% - Accent3 7" xfId="266"/>
    <cellStyle name="40% - Accent3 7 2" xfId="267"/>
    <cellStyle name="40% - Accent3 7 3" xfId="268"/>
    <cellStyle name="40% - Accent3 7 4" xfId="269"/>
    <cellStyle name="40% - Accent3 8" xfId="270"/>
    <cellStyle name="40% - Accent4" xfId="10" builtinId="43" customBuiltin="1"/>
    <cellStyle name="40% - Accent4 2" xfId="271"/>
    <cellStyle name="40% - Accent4 2 2" xfId="272"/>
    <cellStyle name="40% - Accent4 2 3" xfId="273"/>
    <cellStyle name="40% - Accent4 2 4" xfId="274"/>
    <cellStyle name="40% - Accent4 3" xfId="275"/>
    <cellStyle name="40% - Accent4 3 2" xfId="276"/>
    <cellStyle name="40% - Accent4 3 3" xfId="277"/>
    <cellStyle name="40% - Accent4 3 4" xfId="278"/>
    <cellStyle name="40% - Accent4 4" xfId="279"/>
    <cellStyle name="40% - Accent4 4 2" xfId="280"/>
    <cellStyle name="40% - Accent4 4 3" xfId="281"/>
    <cellStyle name="40% - Accent4 4 4" xfId="282"/>
    <cellStyle name="40% - Accent4 5" xfId="283"/>
    <cellStyle name="40% - Accent4 5 2" xfId="284"/>
    <cellStyle name="40% - Accent4 5 3" xfId="285"/>
    <cellStyle name="40% - Accent4 5 4" xfId="286"/>
    <cellStyle name="40% - Accent4 6" xfId="287"/>
    <cellStyle name="40% - Accent4 6 2" xfId="288"/>
    <cellStyle name="40% - Accent4 6 3" xfId="289"/>
    <cellStyle name="40% - Accent4 6 4" xfId="290"/>
    <cellStyle name="40% - Accent4 7" xfId="291"/>
    <cellStyle name="40% - Accent4 7 2" xfId="292"/>
    <cellStyle name="40% - Accent4 7 3" xfId="293"/>
    <cellStyle name="40% - Accent4 7 4" xfId="294"/>
    <cellStyle name="40% - Accent4 8" xfId="295"/>
    <cellStyle name="40% - Accent5" xfId="11" builtinId="47" customBuiltin="1"/>
    <cellStyle name="40% - Accent5 2" xfId="296"/>
    <cellStyle name="40% - Accent5 2 2" xfId="297"/>
    <cellStyle name="40% - Accent5 2 3" xfId="298"/>
    <cellStyle name="40% - Accent5 2 4" xfId="299"/>
    <cellStyle name="40% - Accent5 3" xfId="300"/>
    <cellStyle name="40% - Accent5 3 2" xfId="301"/>
    <cellStyle name="40% - Accent5 3 3" xfId="302"/>
    <cellStyle name="40% - Accent5 3 4" xfId="303"/>
    <cellStyle name="40% - Accent5 4" xfId="304"/>
    <cellStyle name="40% - Accent5 4 2" xfId="305"/>
    <cellStyle name="40% - Accent5 4 3" xfId="306"/>
    <cellStyle name="40% - Accent5 4 4" xfId="307"/>
    <cellStyle name="40% - Accent5 5" xfId="308"/>
    <cellStyle name="40% - Accent5 5 2" xfId="309"/>
    <cellStyle name="40% - Accent5 5 3" xfId="310"/>
    <cellStyle name="40% - Accent5 5 4" xfId="311"/>
    <cellStyle name="40% - Accent5 6" xfId="312"/>
    <cellStyle name="40% - Accent5 6 2" xfId="313"/>
    <cellStyle name="40% - Accent5 6 3" xfId="314"/>
    <cellStyle name="40% - Accent5 6 4" xfId="315"/>
    <cellStyle name="40% - Accent5 7" xfId="316"/>
    <cellStyle name="40% - Accent5 7 2" xfId="317"/>
    <cellStyle name="40% - Accent5 7 3" xfId="318"/>
    <cellStyle name="40% - Accent5 7 4" xfId="319"/>
    <cellStyle name="40% - Accent5 8" xfId="320"/>
    <cellStyle name="40% - Accent6" xfId="12" builtinId="51" customBuiltin="1"/>
    <cellStyle name="40% - Accent6 2" xfId="321"/>
    <cellStyle name="40% - Accent6 2 2" xfId="322"/>
    <cellStyle name="40% - Accent6 2 3" xfId="323"/>
    <cellStyle name="40% - Accent6 2 4" xfId="324"/>
    <cellStyle name="40% - Accent6 3" xfId="325"/>
    <cellStyle name="40% - Accent6 3 2" xfId="326"/>
    <cellStyle name="40% - Accent6 3 3" xfId="327"/>
    <cellStyle name="40% - Accent6 3 4" xfId="328"/>
    <cellStyle name="40% - Accent6 4" xfId="329"/>
    <cellStyle name="40% - Accent6 4 2" xfId="330"/>
    <cellStyle name="40% - Accent6 4 3" xfId="331"/>
    <cellStyle name="40% - Accent6 4 4" xfId="332"/>
    <cellStyle name="40% - Accent6 5" xfId="333"/>
    <cellStyle name="40% - Accent6 5 2" xfId="334"/>
    <cellStyle name="40% - Accent6 5 3" xfId="335"/>
    <cellStyle name="40% - Accent6 5 4" xfId="336"/>
    <cellStyle name="40% - Accent6 6" xfId="337"/>
    <cellStyle name="40% - Accent6 6 2" xfId="338"/>
    <cellStyle name="40% - Accent6 6 3" xfId="339"/>
    <cellStyle name="40% - Accent6 6 4" xfId="340"/>
    <cellStyle name="40% - Accent6 7" xfId="341"/>
    <cellStyle name="40% - Accent6 7 2" xfId="342"/>
    <cellStyle name="40% - Accent6 7 3" xfId="343"/>
    <cellStyle name="40% - Accent6 7 4" xfId="344"/>
    <cellStyle name="40% - Accent6 8" xfId="345"/>
    <cellStyle name="60% - Accent1" xfId="13" builtinId="32" customBuiltin="1"/>
    <cellStyle name="60% - Accent1 2" xfId="346"/>
    <cellStyle name="60% - Accent1 2 2" xfId="347"/>
    <cellStyle name="60% - Accent1 2 3" xfId="348"/>
    <cellStyle name="60% - Accent1 2 4" xfId="349"/>
    <cellStyle name="60% - Accent1 3" xfId="350"/>
    <cellStyle name="60% - Accent1 3 2" xfId="351"/>
    <cellStyle name="60% - Accent1 3 3" xfId="352"/>
    <cellStyle name="60% - Accent1 3 4" xfId="353"/>
    <cellStyle name="60% - Accent1 4" xfId="354"/>
    <cellStyle name="60% - Accent1 4 2" xfId="355"/>
    <cellStyle name="60% - Accent1 4 3" xfId="356"/>
    <cellStyle name="60% - Accent1 4 4" xfId="357"/>
    <cellStyle name="60% - Accent1 5" xfId="358"/>
    <cellStyle name="60% - Accent1 5 2" xfId="359"/>
    <cellStyle name="60% - Accent1 5 3" xfId="360"/>
    <cellStyle name="60% - Accent1 5 4" xfId="361"/>
    <cellStyle name="60% - Accent1 6" xfId="362"/>
    <cellStyle name="60% - Accent1 6 2" xfId="363"/>
    <cellStyle name="60% - Accent1 6 3" xfId="364"/>
    <cellStyle name="60% - Accent1 6 4" xfId="365"/>
    <cellStyle name="60% - Accent1 7" xfId="366"/>
    <cellStyle name="60% - Accent1 7 2" xfId="367"/>
    <cellStyle name="60% - Accent1 7 3" xfId="368"/>
    <cellStyle name="60% - Accent1 7 4" xfId="369"/>
    <cellStyle name="60% - Accent1 8" xfId="370"/>
    <cellStyle name="60% - Accent2" xfId="14" builtinId="36" customBuiltin="1"/>
    <cellStyle name="60% - Accent2 2" xfId="371"/>
    <cellStyle name="60% - Accent2 2 2" xfId="372"/>
    <cellStyle name="60% - Accent2 2 3" xfId="373"/>
    <cellStyle name="60% - Accent2 2 4" xfId="374"/>
    <cellStyle name="60% - Accent2 3" xfId="375"/>
    <cellStyle name="60% - Accent2 3 2" xfId="376"/>
    <cellStyle name="60% - Accent2 3 3" xfId="377"/>
    <cellStyle name="60% - Accent2 3 4" xfId="378"/>
    <cellStyle name="60% - Accent2 4" xfId="379"/>
    <cellStyle name="60% - Accent2 4 2" xfId="380"/>
    <cellStyle name="60% - Accent2 4 3" xfId="381"/>
    <cellStyle name="60% - Accent2 4 4" xfId="382"/>
    <cellStyle name="60% - Accent2 5" xfId="383"/>
    <cellStyle name="60% - Accent2 5 2" xfId="384"/>
    <cellStyle name="60% - Accent2 5 3" xfId="385"/>
    <cellStyle name="60% - Accent2 5 4" xfId="386"/>
    <cellStyle name="60% - Accent2 6" xfId="387"/>
    <cellStyle name="60% - Accent2 6 2" xfId="388"/>
    <cellStyle name="60% - Accent2 6 3" xfId="389"/>
    <cellStyle name="60% - Accent2 6 4" xfId="390"/>
    <cellStyle name="60% - Accent2 7" xfId="391"/>
    <cellStyle name="60% - Accent2 7 2" xfId="392"/>
    <cellStyle name="60% - Accent2 7 3" xfId="393"/>
    <cellStyle name="60% - Accent2 7 4" xfId="394"/>
    <cellStyle name="60% - Accent2 8" xfId="395"/>
    <cellStyle name="60% - Accent3" xfId="15" builtinId="40" customBuiltin="1"/>
    <cellStyle name="60% - Accent3 2" xfId="396"/>
    <cellStyle name="60% - Accent3 2 2" xfId="397"/>
    <cellStyle name="60% - Accent3 2 3" xfId="398"/>
    <cellStyle name="60% - Accent3 2 4" xfId="399"/>
    <cellStyle name="60% - Accent3 3" xfId="400"/>
    <cellStyle name="60% - Accent3 3 2" xfId="401"/>
    <cellStyle name="60% - Accent3 3 3" xfId="402"/>
    <cellStyle name="60% - Accent3 3 4" xfId="403"/>
    <cellStyle name="60% - Accent3 4" xfId="404"/>
    <cellStyle name="60% - Accent3 4 2" xfId="405"/>
    <cellStyle name="60% - Accent3 4 3" xfId="406"/>
    <cellStyle name="60% - Accent3 4 4" xfId="407"/>
    <cellStyle name="60% - Accent3 5" xfId="408"/>
    <cellStyle name="60% - Accent3 5 2" xfId="409"/>
    <cellStyle name="60% - Accent3 5 3" xfId="410"/>
    <cellStyle name="60% - Accent3 5 4" xfId="411"/>
    <cellStyle name="60% - Accent3 6" xfId="412"/>
    <cellStyle name="60% - Accent3 6 2" xfId="413"/>
    <cellStyle name="60% - Accent3 6 3" xfId="414"/>
    <cellStyle name="60% - Accent3 6 4" xfId="415"/>
    <cellStyle name="60% - Accent3 7" xfId="416"/>
    <cellStyle name="60% - Accent3 7 2" xfId="417"/>
    <cellStyle name="60% - Accent3 7 3" xfId="418"/>
    <cellStyle name="60% - Accent3 7 4" xfId="419"/>
    <cellStyle name="60% - Accent3 8" xfId="420"/>
    <cellStyle name="60% - Accent4" xfId="16" builtinId="44" customBuiltin="1"/>
    <cellStyle name="60% - Accent4 2" xfId="421"/>
    <cellStyle name="60% - Accent4 2 2" xfId="422"/>
    <cellStyle name="60% - Accent4 2 3" xfId="423"/>
    <cellStyle name="60% - Accent4 2 4" xfId="424"/>
    <cellStyle name="60% - Accent4 3" xfId="425"/>
    <cellStyle name="60% - Accent4 3 2" xfId="426"/>
    <cellStyle name="60% - Accent4 3 3" xfId="427"/>
    <cellStyle name="60% - Accent4 3 4" xfId="428"/>
    <cellStyle name="60% - Accent4 4" xfId="429"/>
    <cellStyle name="60% - Accent4 4 2" xfId="430"/>
    <cellStyle name="60% - Accent4 4 3" xfId="431"/>
    <cellStyle name="60% - Accent4 4 4" xfId="432"/>
    <cellStyle name="60% - Accent4 5" xfId="433"/>
    <cellStyle name="60% - Accent4 5 2" xfId="434"/>
    <cellStyle name="60% - Accent4 5 3" xfId="435"/>
    <cellStyle name="60% - Accent4 5 4" xfId="436"/>
    <cellStyle name="60% - Accent4 6" xfId="437"/>
    <cellStyle name="60% - Accent4 6 2" xfId="438"/>
    <cellStyle name="60% - Accent4 6 3" xfId="439"/>
    <cellStyle name="60% - Accent4 6 4" xfId="440"/>
    <cellStyle name="60% - Accent4 7" xfId="441"/>
    <cellStyle name="60% - Accent4 7 2" xfId="442"/>
    <cellStyle name="60% - Accent4 7 3" xfId="443"/>
    <cellStyle name="60% - Accent4 7 4" xfId="444"/>
    <cellStyle name="60% - Accent4 8" xfId="445"/>
    <cellStyle name="60% - Accent5" xfId="17" builtinId="48" customBuiltin="1"/>
    <cellStyle name="60% - Accent5 2" xfId="446"/>
    <cellStyle name="60% - Accent5 2 2" xfId="447"/>
    <cellStyle name="60% - Accent5 2 3" xfId="448"/>
    <cellStyle name="60% - Accent5 2 4" xfId="449"/>
    <cellStyle name="60% - Accent5 3" xfId="450"/>
    <cellStyle name="60% - Accent5 3 2" xfId="451"/>
    <cellStyle name="60% - Accent5 3 3" xfId="452"/>
    <cellStyle name="60% - Accent5 3 4" xfId="453"/>
    <cellStyle name="60% - Accent5 4" xfId="454"/>
    <cellStyle name="60% - Accent5 4 2" xfId="455"/>
    <cellStyle name="60% - Accent5 4 3" xfId="456"/>
    <cellStyle name="60% - Accent5 4 4" xfId="457"/>
    <cellStyle name="60% - Accent5 5" xfId="458"/>
    <cellStyle name="60% - Accent5 5 2" xfId="459"/>
    <cellStyle name="60% - Accent5 5 3" xfId="460"/>
    <cellStyle name="60% - Accent5 5 4" xfId="461"/>
    <cellStyle name="60% - Accent5 6" xfId="462"/>
    <cellStyle name="60% - Accent5 6 2" xfId="463"/>
    <cellStyle name="60% - Accent5 6 3" xfId="464"/>
    <cellStyle name="60% - Accent5 6 4" xfId="465"/>
    <cellStyle name="60% - Accent5 7" xfId="466"/>
    <cellStyle name="60% - Accent5 7 2" xfId="467"/>
    <cellStyle name="60% - Accent5 7 3" xfId="468"/>
    <cellStyle name="60% - Accent5 7 4" xfId="469"/>
    <cellStyle name="60% - Accent5 8" xfId="470"/>
    <cellStyle name="60% - Accent6" xfId="18" builtinId="52" customBuiltin="1"/>
    <cellStyle name="60% - Accent6 2" xfId="471"/>
    <cellStyle name="60% - Accent6 2 2" xfId="472"/>
    <cellStyle name="60% - Accent6 2 3" xfId="473"/>
    <cellStyle name="60% - Accent6 2 4" xfId="474"/>
    <cellStyle name="60% - Accent6 3" xfId="475"/>
    <cellStyle name="60% - Accent6 3 2" xfId="476"/>
    <cellStyle name="60% - Accent6 3 3" xfId="477"/>
    <cellStyle name="60% - Accent6 3 4" xfId="478"/>
    <cellStyle name="60% - Accent6 4" xfId="479"/>
    <cellStyle name="60% - Accent6 4 2" xfId="480"/>
    <cellStyle name="60% - Accent6 4 3" xfId="481"/>
    <cellStyle name="60% - Accent6 4 4" xfId="482"/>
    <cellStyle name="60% - Accent6 5" xfId="483"/>
    <cellStyle name="60% - Accent6 5 2" xfId="484"/>
    <cellStyle name="60% - Accent6 5 3" xfId="485"/>
    <cellStyle name="60% - Accent6 5 4" xfId="486"/>
    <cellStyle name="60% - Accent6 6" xfId="487"/>
    <cellStyle name="60% - Accent6 6 2" xfId="488"/>
    <cellStyle name="60% - Accent6 6 3" xfId="489"/>
    <cellStyle name="60% - Accent6 6 4" xfId="490"/>
    <cellStyle name="60% - Accent6 7" xfId="491"/>
    <cellStyle name="60% - Accent6 7 2" xfId="492"/>
    <cellStyle name="60% - Accent6 7 3" xfId="493"/>
    <cellStyle name="60% - Accent6 7 4" xfId="494"/>
    <cellStyle name="60% - Accent6 8" xfId="495"/>
    <cellStyle name="Accent1" xfId="19" builtinId="29" customBuiltin="1"/>
    <cellStyle name="Accent1 2" xfId="496"/>
    <cellStyle name="Accent1 2 2" xfId="497"/>
    <cellStyle name="Accent1 2 3" xfId="498"/>
    <cellStyle name="Accent1 2 4" xfId="499"/>
    <cellStyle name="Accent1 3" xfId="500"/>
    <cellStyle name="Accent1 3 2" xfId="501"/>
    <cellStyle name="Accent1 3 3" xfId="502"/>
    <cellStyle name="Accent1 3 4" xfId="503"/>
    <cellStyle name="Accent1 4" xfId="504"/>
    <cellStyle name="Accent1 4 2" xfId="505"/>
    <cellStyle name="Accent1 4 3" xfId="506"/>
    <cellStyle name="Accent1 4 4" xfId="507"/>
    <cellStyle name="Accent1 5" xfId="508"/>
    <cellStyle name="Accent1 5 2" xfId="509"/>
    <cellStyle name="Accent1 5 3" xfId="510"/>
    <cellStyle name="Accent1 5 4" xfId="511"/>
    <cellStyle name="Accent1 6" xfId="512"/>
    <cellStyle name="Accent1 6 2" xfId="513"/>
    <cellStyle name="Accent1 6 3" xfId="514"/>
    <cellStyle name="Accent1 6 4" xfId="515"/>
    <cellStyle name="Accent1 7" xfId="516"/>
    <cellStyle name="Accent1 7 2" xfId="517"/>
    <cellStyle name="Accent1 7 3" xfId="518"/>
    <cellStyle name="Accent1 7 4" xfId="519"/>
    <cellStyle name="Accent1 8" xfId="520"/>
    <cellStyle name="Accent2" xfId="20" builtinId="33" customBuiltin="1"/>
    <cellStyle name="Accent2 2" xfId="521"/>
    <cellStyle name="Accent2 2 2" xfId="522"/>
    <cellStyle name="Accent2 2 3" xfId="523"/>
    <cellStyle name="Accent2 2 4" xfId="524"/>
    <cellStyle name="Accent2 3" xfId="525"/>
    <cellStyle name="Accent2 3 2" xfId="526"/>
    <cellStyle name="Accent2 3 3" xfId="527"/>
    <cellStyle name="Accent2 3 4" xfId="528"/>
    <cellStyle name="Accent2 4" xfId="529"/>
    <cellStyle name="Accent2 4 2" xfId="530"/>
    <cellStyle name="Accent2 4 3" xfId="531"/>
    <cellStyle name="Accent2 4 4" xfId="532"/>
    <cellStyle name="Accent2 5" xfId="533"/>
    <cellStyle name="Accent2 5 2" xfId="534"/>
    <cellStyle name="Accent2 5 3" xfId="535"/>
    <cellStyle name="Accent2 5 4" xfId="536"/>
    <cellStyle name="Accent2 6" xfId="537"/>
    <cellStyle name="Accent2 6 2" xfId="538"/>
    <cellStyle name="Accent2 6 3" xfId="539"/>
    <cellStyle name="Accent2 6 4" xfId="540"/>
    <cellStyle name="Accent2 7" xfId="541"/>
    <cellStyle name="Accent2 7 2" xfId="542"/>
    <cellStyle name="Accent2 7 3" xfId="543"/>
    <cellStyle name="Accent2 7 4" xfId="544"/>
    <cellStyle name="Accent2 8" xfId="545"/>
    <cellStyle name="Accent3" xfId="21" builtinId="37" customBuiltin="1"/>
    <cellStyle name="Accent3 2" xfId="546"/>
    <cellStyle name="Accent3 2 2" xfId="547"/>
    <cellStyle name="Accent3 2 3" xfId="548"/>
    <cellStyle name="Accent3 2 4" xfId="549"/>
    <cellStyle name="Accent3 3" xfId="550"/>
    <cellStyle name="Accent3 3 2" xfId="551"/>
    <cellStyle name="Accent3 3 3" xfId="552"/>
    <cellStyle name="Accent3 3 4" xfId="553"/>
    <cellStyle name="Accent3 4" xfId="554"/>
    <cellStyle name="Accent3 4 2" xfId="555"/>
    <cellStyle name="Accent3 4 3" xfId="556"/>
    <cellStyle name="Accent3 4 4" xfId="557"/>
    <cellStyle name="Accent3 5" xfId="558"/>
    <cellStyle name="Accent3 5 2" xfId="559"/>
    <cellStyle name="Accent3 5 3" xfId="560"/>
    <cellStyle name="Accent3 5 4" xfId="561"/>
    <cellStyle name="Accent3 6" xfId="562"/>
    <cellStyle name="Accent3 6 2" xfId="563"/>
    <cellStyle name="Accent3 6 3" xfId="564"/>
    <cellStyle name="Accent3 6 4" xfId="565"/>
    <cellStyle name="Accent3 7" xfId="566"/>
    <cellStyle name="Accent3 7 2" xfId="567"/>
    <cellStyle name="Accent3 7 3" xfId="568"/>
    <cellStyle name="Accent3 7 4" xfId="569"/>
    <cellStyle name="Accent3 8" xfId="570"/>
    <cellStyle name="Accent4" xfId="22" builtinId="41" customBuiltin="1"/>
    <cellStyle name="Accent4 2" xfId="571"/>
    <cellStyle name="Accent4 2 2" xfId="572"/>
    <cellStyle name="Accent4 2 3" xfId="573"/>
    <cellStyle name="Accent4 2 4" xfId="574"/>
    <cellStyle name="Accent4 3" xfId="575"/>
    <cellStyle name="Accent4 3 2" xfId="576"/>
    <cellStyle name="Accent4 3 3" xfId="577"/>
    <cellStyle name="Accent4 3 4" xfId="578"/>
    <cellStyle name="Accent4 4" xfId="579"/>
    <cellStyle name="Accent4 4 2" xfId="580"/>
    <cellStyle name="Accent4 4 3" xfId="581"/>
    <cellStyle name="Accent4 4 4" xfId="582"/>
    <cellStyle name="Accent4 5" xfId="583"/>
    <cellStyle name="Accent4 5 2" xfId="584"/>
    <cellStyle name="Accent4 5 3" xfId="585"/>
    <cellStyle name="Accent4 5 4" xfId="586"/>
    <cellStyle name="Accent4 6" xfId="587"/>
    <cellStyle name="Accent4 6 2" xfId="588"/>
    <cellStyle name="Accent4 6 3" xfId="589"/>
    <cellStyle name="Accent4 6 4" xfId="590"/>
    <cellStyle name="Accent4 7" xfId="591"/>
    <cellStyle name="Accent4 7 2" xfId="592"/>
    <cellStyle name="Accent4 7 3" xfId="593"/>
    <cellStyle name="Accent4 7 4" xfId="594"/>
    <cellStyle name="Accent4 8" xfId="595"/>
    <cellStyle name="Accent5" xfId="23" builtinId="45" customBuiltin="1"/>
    <cellStyle name="Accent5 2" xfId="596"/>
    <cellStyle name="Accent5 2 2" xfId="597"/>
    <cellStyle name="Accent5 2 3" xfId="598"/>
    <cellStyle name="Accent5 2 4" xfId="599"/>
    <cellStyle name="Accent5 3" xfId="600"/>
    <cellStyle name="Accent5 3 2" xfId="601"/>
    <cellStyle name="Accent5 3 3" xfId="602"/>
    <cellStyle name="Accent5 3 4" xfId="603"/>
    <cellStyle name="Accent5 4" xfId="604"/>
    <cellStyle name="Accent5 4 2" xfId="605"/>
    <cellStyle name="Accent5 4 3" xfId="606"/>
    <cellStyle name="Accent5 4 4" xfId="607"/>
    <cellStyle name="Accent5 5" xfId="608"/>
    <cellStyle name="Accent5 5 2" xfId="609"/>
    <cellStyle name="Accent5 5 3" xfId="610"/>
    <cellStyle name="Accent5 5 4" xfId="611"/>
    <cellStyle name="Accent5 6" xfId="612"/>
    <cellStyle name="Accent5 6 2" xfId="613"/>
    <cellStyle name="Accent5 6 3" xfId="614"/>
    <cellStyle name="Accent5 6 4" xfId="615"/>
    <cellStyle name="Accent5 7" xfId="616"/>
    <cellStyle name="Accent5 7 2" xfId="617"/>
    <cellStyle name="Accent5 7 3" xfId="618"/>
    <cellStyle name="Accent5 7 4" xfId="619"/>
    <cellStyle name="Accent5 8" xfId="620"/>
    <cellStyle name="Accent6" xfId="24" builtinId="49" customBuiltin="1"/>
    <cellStyle name="Accent6 2" xfId="621"/>
    <cellStyle name="Accent6 2 2" xfId="622"/>
    <cellStyle name="Accent6 2 3" xfId="623"/>
    <cellStyle name="Accent6 2 4" xfId="624"/>
    <cellStyle name="Accent6 3" xfId="625"/>
    <cellStyle name="Accent6 3 2" xfId="626"/>
    <cellStyle name="Accent6 3 3" xfId="627"/>
    <cellStyle name="Accent6 3 4" xfId="628"/>
    <cellStyle name="Accent6 4" xfId="629"/>
    <cellStyle name="Accent6 4 2" xfId="630"/>
    <cellStyle name="Accent6 4 3" xfId="631"/>
    <cellStyle name="Accent6 4 4" xfId="632"/>
    <cellStyle name="Accent6 5" xfId="633"/>
    <cellStyle name="Accent6 5 2" xfId="634"/>
    <cellStyle name="Accent6 5 3" xfId="635"/>
    <cellStyle name="Accent6 5 4" xfId="636"/>
    <cellStyle name="Accent6 6" xfId="637"/>
    <cellStyle name="Accent6 6 2" xfId="638"/>
    <cellStyle name="Accent6 6 3" xfId="639"/>
    <cellStyle name="Accent6 6 4" xfId="640"/>
    <cellStyle name="Accent6 7" xfId="641"/>
    <cellStyle name="Accent6 7 2" xfId="642"/>
    <cellStyle name="Accent6 7 3" xfId="643"/>
    <cellStyle name="Accent6 7 4" xfId="644"/>
    <cellStyle name="Accent6 8" xfId="645"/>
    <cellStyle name="Bad" xfId="25" builtinId="27" customBuiltin="1"/>
    <cellStyle name="Bad 2" xfId="646"/>
    <cellStyle name="Bad 2 2" xfId="647"/>
    <cellStyle name="Bad 2 3" xfId="648"/>
    <cellStyle name="Bad 2 4" xfId="649"/>
    <cellStyle name="Bad 3" xfId="650"/>
    <cellStyle name="Bad 3 2" xfId="651"/>
    <cellStyle name="Bad 3 3" xfId="652"/>
    <cellStyle name="Bad 3 4" xfId="653"/>
    <cellStyle name="Bad 4" xfId="654"/>
    <cellStyle name="Bad 4 2" xfId="655"/>
    <cellStyle name="Bad 4 3" xfId="656"/>
    <cellStyle name="Bad 4 4" xfId="657"/>
    <cellStyle name="Bad 5" xfId="658"/>
    <cellStyle name="Bad 5 2" xfId="659"/>
    <cellStyle name="Bad 5 3" xfId="660"/>
    <cellStyle name="Bad 5 4" xfId="661"/>
    <cellStyle name="Bad 6" xfId="662"/>
    <cellStyle name="Bad 6 2" xfId="663"/>
    <cellStyle name="Bad 6 3" xfId="664"/>
    <cellStyle name="Bad 6 4" xfId="665"/>
    <cellStyle name="Bad 7" xfId="666"/>
    <cellStyle name="Bad 7 2" xfId="667"/>
    <cellStyle name="Bad 7 3" xfId="668"/>
    <cellStyle name="Bad 7 4" xfId="669"/>
    <cellStyle name="Bad 8" xfId="670"/>
    <cellStyle name="Calculation" xfId="26" builtinId="22" customBuiltin="1"/>
    <cellStyle name="Calculation 2" xfId="671"/>
    <cellStyle name="Calculation 2 2" xfId="672"/>
    <cellStyle name="Calculation 2 3" xfId="673"/>
    <cellStyle name="Calculation 2 4" xfId="674"/>
    <cellStyle name="Calculation 3" xfId="675"/>
    <cellStyle name="Calculation 3 2" xfId="676"/>
    <cellStyle name="Calculation 3 3" xfId="677"/>
    <cellStyle name="Calculation 3 4" xfId="678"/>
    <cellStyle name="Calculation 4" xfId="679"/>
    <cellStyle name="Calculation 4 2" xfId="680"/>
    <cellStyle name="Calculation 4 3" xfId="681"/>
    <cellStyle name="Calculation 4 4" xfId="682"/>
    <cellStyle name="Calculation 5" xfId="683"/>
    <cellStyle name="Calculation 5 2" xfId="684"/>
    <cellStyle name="Calculation 5 3" xfId="685"/>
    <cellStyle name="Calculation 5 4" xfId="686"/>
    <cellStyle name="Calculation 6" xfId="687"/>
    <cellStyle name="Calculation 6 2" xfId="688"/>
    <cellStyle name="Calculation 6 3" xfId="689"/>
    <cellStyle name="Calculation 6 4" xfId="690"/>
    <cellStyle name="Calculation 7" xfId="691"/>
    <cellStyle name="Calculation 7 2" xfId="692"/>
    <cellStyle name="Calculation 7 3" xfId="693"/>
    <cellStyle name="Calculation 7 4" xfId="694"/>
    <cellStyle name="Calculation 8" xfId="695"/>
    <cellStyle name="Check Cell" xfId="27" builtinId="23" customBuiltin="1"/>
    <cellStyle name="Check Cell 2" xfId="696"/>
    <cellStyle name="Check Cell 2 2" xfId="697"/>
    <cellStyle name="Check Cell 2 3" xfId="698"/>
    <cellStyle name="Check Cell 2 4" xfId="699"/>
    <cellStyle name="Check Cell 3" xfId="700"/>
    <cellStyle name="Check Cell 3 2" xfId="701"/>
    <cellStyle name="Check Cell 3 3" xfId="702"/>
    <cellStyle name="Check Cell 3 4" xfId="703"/>
    <cellStyle name="Check Cell 4" xfId="704"/>
    <cellStyle name="Check Cell 4 2" xfId="705"/>
    <cellStyle name="Check Cell 4 3" xfId="706"/>
    <cellStyle name="Check Cell 4 4" xfId="707"/>
    <cellStyle name="Check Cell 5" xfId="708"/>
    <cellStyle name="Check Cell 5 2" xfId="709"/>
    <cellStyle name="Check Cell 5 3" xfId="710"/>
    <cellStyle name="Check Cell 5 4" xfId="711"/>
    <cellStyle name="Check Cell 6" xfId="712"/>
    <cellStyle name="Check Cell 6 2" xfId="713"/>
    <cellStyle name="Check Cell 6 3" xfId="714"/>
    <cellStyle name="Check Cell 6 4" xfId="715"/>
    <cellStyle name="Check Cell 7" xfId="716"/>
    <cellStyle name="Check Cell 7 2" xfId="717"/>
    <cellStyle name="Check Cell 7 3" xfId="718"/>
    <cellStyle name="Check Cell 7 4" xfId="719"/>
    <cellStyle name="Check Cell 8" xfId="720"/>
    <cellStyle name="Comma" xfId="28" builtinId="3"/>
    <cellStyle name="Comma 10" xfId="721"/>
    <cellStyle name="Comma 10 2" xfId="722"/>
    <cellStyle name="Comma 10 3" xfId="723"/>
    <cellStyle name="Comma 11" xfId="724"/>
    <cellStyle name="Comma 11 2" xfId="725"/>
    <cellStyle name="Comma 12" xfId="726"/>
    <cellStyle name="Comma 12 2" xfId="727"/>
    <cellStyle name="Comma 13" xfId="728"/>
    <cellStyle name="Comma 13 2" xfId="729"/>
    <cellStyle name="Comma 14" xfId="730"/>
    <cellStyle name="Comma 14 2" xfId="731"/>
    <cellStyle name="Comma 15" xfId="732"/>
    <cellStyle name="Comma 15 2" xfId="733"/>
    <cellStyle name="Comma 16" xfId="734"/>
    <cellStyle name="Comma 16 2" xfId="735"/>
    <cellStyle name="Comma 17" xfId="736"/>
    <cellStyle name="Comma 17 2" xfId="737"/>
    <cellStyle name="Comma 18" xfId="738"/>
    <cellStyle name="Comma 19" xfId="739"/>
    <cellStyle name="Comma 2" xfId="740"/>
    <cellStyle name="Comma 2 2" xfId="741"/>
    <cellStyle name="Comma 2 3" xfId="742"/>
    <cellStyle name="Comma 2 3 2" xfId="743"/>
    <cellStyle name="Comma 2 4" xfId="744"/>
    <cellStyle name="Comma 2 5" xfId="745"/>
    <cellStyle name="Comma 2 6" xfId="746"/>
    <cellStyle name="Comma 2_2012-13 Distr" xfId="747"/>
    <cellStyle name="Comma 3" xfId="748"/>
    <cellStyle name="Comma 3 2" xfId="749"/>
    <cellStyle name="Comma 3 3" xfId="750"/>
    <cellStyle name="Comma 3 4" xfId="751"/>
    <cellStyle name="Comma 4" xfId="752"/>
    <cellStyle name="Comma 4 2" xfId="753"/>
    <cellStyle name="Comma 4 3" xfId="754"/>
    <cellStyle name="Comma 4 3 2" xfId="755"/>
    <cellStyle name="Comma 5" xfId="756"/>
    <cellStyle name="Comma 5 2" xfId="757"/>
    <cellStyle name="Comma 5 2 2" xfId="758"/>
    <cellStyle name="Comma 6" xfId="759"/>
    <cellStyle name="Comma 6 2" xfId="760"/>
    <cellStyle name="Comma 6 2 2" xfId="761"/>
    <cellStyle name="Comma 7" xfId="762"/>
    <cellStyle name="Comma 7 2" xfId="763"/>
    <cellStyle name="Comma 8" xfId="764"/>
    <cellStyle name="Comma 8 2" xfId="765"/>
    <cellStyle name="Comma 9" xfId="766"/>
    <cellStyle name="Comma 9 2" xfId="767"/>
    <cellStyle name="Comma 9 3" xfId="768"/>
    <cellStyle name="Currency [0] 2" xfId="769"/>
    <cellStyle name="Currency 10" xfId="770"/>
    <cellStyle name="Currency 10 2" xfId="771"/>
    <cellStyle name="Currency 11" xfId="772"/>
    <cellStyle name="Currency 11 2" xfId="773"/>
    <cellStyle name="Currency 12" xfId="774"/>
    <cellStyle name="Currency 2" xfId="45"/>
    <cellStyle name="Currency 2 2" xfId="775"/>
    <cellStyle name="Currency 2 3" xfId="776"/>
    <cellStyle name="Currency 2 4" xfId="777"/>
    <cellStyle name="Currency 3" xfId="778"/>
    <cellStyle name="Currency 3 2" xfId="779"/>
    <cellStyle name="Currency 3 3" xfId="780"/>
    <cellStyle name="Currency 3 4" xfId="781"/>
    <cellStyle name="Currency 4" xfId="782"/>
    <cellStyle name="Currency 4 2" xfId="783"/>
    <cellStyle name="Currency 4 3" xfId="784"/>
    <cellStyle name="Currency 4 4" xfId="785"/>
    <cellStyle name="Currency 5" xfId="786"/>
    <cellStyle name="Currency 5 2" xfId="787"/>
    <cellStyle name="Currency 5 3" xfId="788"/>
    <cellStyle name="Currency 6" xfId="789"/>
    <cellStyle name="Currency 7" xfId="790"/>
    <cellStyle name="Currency 8" xfId="791"/>
    <cellStyle name="Currency 9" xfId="792"/>
    <cellStyle name="Currency 9 2" xfId="793"/>
    <cellStyle name="Explanatory Text" xfId="29" builtinId="53" customBuiltin="1"/>
    <cellStyle name="Explanatory Text 2" xfId="794"/>
    <cellStyle name="Explanatory Text 2 2" xfId="795"/>
    <cellStyle name="Explanatory Text 2 3" xfId="796"/>
    <cellStyle name="Explanatory Text 2 4" xfId="797"/>
    <cellStyle name="Explanatory Text 3" xfId="798"/>
    <cellStyle name="Explanatory Text 3 2" xfId="799"/>
    <cellStyle name="Explanatory Text 3 3" xfId="800"/>
    <cellStyle name="Explanatory Text 3 4" xfId="801"/>
    <cellStyle name="Explanatory Text 4" xfId="802"/>
    <cellStyle name="Explanatory Text 4 2" xfId="803"/>
    <cellStyle name="Explanatory Text 4 3" xfId="804"/>
    <cellStyle name="Explanatory Text 4 4" xfId="805"/>
    <cellStyle name="Explanatory Text 5" xfId="806"/>
    <cellStyle name="Explanatory Text 5 2" xfId="807"/>
    <cellStyle name="Explanatory Text 5 3" xfId="808"/>
    <cellStyle name="Explanatory Text 5 4" xfId="809"/>
    <cellStyle name="Explanatory Text 6" xfId="810"/>
    <cellStyle name="Explanatory Text 6 2" xfId="811"/>
    <cellStyle name="Explanatory Text 6 3" xfId="812"/>
    <cellStyle name="Explanatory Text 6 4" xfId="813"/>
    <cellStyle name="Explanatory Text 7" xfId="814"/>
    <cellStyle name="Explanatory Text 7 2" xfId="815"/>
    <cellStyle name="Explanatory Text 7 3" xfId="816"/>
    <cellStyle name="Explanatory Text 7 4" xfId="817"/>
    <cellStyle name="Explanatory Text 8" xfId="818"/>
    <cellStyle name="Good" xfId="30" builtinId="26" customBuiltin="1"/>
    <cellStyle name="Good 2" xfId="819"/>
    <cellStyle name="Good 2 2" xfId="820"/>
    <cellStyle name="Good 2 3" xfId="821"/>
    <cellStyle name="Good 2 4" xfId="822"/>
    <cellStyle name="Good 3" xfId="823"/>
    <cellStyle name="Good 3 2" xfId="824"/>
    <cellStyle name="Good 3 3" xfId="825"/>
    <cellStyle name="Good 3 4" xfId="826"/>
    <cellStyle name="Good 4" xfId="827"/>
    <cellStyle name="Good 4 2" xfId="828"/>
    <cellStyle name="Good 4 3" xfId="829"/>
    <cellStyle name="Good 4 4" xfId="830"/>
    <cellStyle name="Good 5" xfId="831"/>
    <cellStyle name="Good 5 2" xfId="832"/>
    <cellStyle name="Good 5 3" xfId="833"/>
    <cellStyle name="Good 5 4" xfId="834"/>
    <cellStyle name="Good 6" xfId="835"/>
    <cellStyle name="Good 6 2" xfId="836"/>
    <cellStyle name="Good 6 3" xfId="837"/>
    <cellStyle name="Good 6 4" xfId="838"/>
    <cellStyle name="Good 7" xfId="839"/>
    <cellStyle name="Good 7 2" xfId="840"/>
    <cellStyle name="Good 7 3" xfId="841"/>
    <cellStyle name="Good 7 4" xfId="842"/>
    <cellStyle name="Good 8" xfId="843"/>
    <cellStyle name="Heading 1" xfId="31" builtinId="16" customBuiltin="1"/>
    <cellStyle name="Heading 1 2" xfId="844"/>
    <cellStyle name="Heading 1 2 2" xfId="845"/>
    <cellStyle name="Heading 1 2 3" xfId="846"/>
    <cellStyle name="Heading 1 2 4" xfId="847"/>
    <cellStyle name="Heading 1 3" xfId="848"/>
    <cellStyle name="Heading 1 3 2" xfId="849"/>
    <cellStyle name="Heading 1 3 3" xfId="850"/>
    <cellStyle name="Heading 1 3 4" xfId="851"/>
    <cellStyle name="Heading 1 4" xfId="852"/>
    <cellStyle name="Heading 1 4 2" xfId="853"/>
    <cellStyle name="Heading 1 4 3" xfId="854"/>
    <cellStyle name="Heading 1 4 4" xfId="855"/>
    <cellStyle name="Heading 1 5" xfId="856"/>
    <cellStyle name="Heading 1 5 2" xfId="857"/>
    <cellStyle name="Heading 1 5 3" xfId="858"/>
    <cellStyle name="Heading 1 5 4" xfId="859"/>
    <cellStyle name="Heading 1 6" xfId="860"/>
    <cellStyle name="Heading 1 6 2" xfId="861"/>
    <cellStyle name="Heading 1 6 3" xfId="862"/>
    <cellStyle name="Heading 1 6 4" xfId="863"/>
    <cellStyle name="Heading 1 7" xfId="864"/>
    <cellStyle name="Heading 1 7 2" xfId="865"/>
    <cellStyle name="Heading 1 7 3" xfId="866"/>
    <cellStyle name="Heading 1 7 4" xfId="867"/>
    <cellStyle name="Heading 1 8" xfId="868"/>
    <cellStyle name="Heading 2" xfId="32" builtinId="17" customBuiltin="1"/>
    <cellStyle name="Heading 2 2" xfId="869"/>
    <cellStyle name="Heading 2 2 2" xfId="870"/>
    <cellStyle name="Heading 2 2 3" xfId="871"/>
    <cellStyle name="Heading 2 2 4" xfId="872"/>
    <cellStyle name="Heading 2 3" xfId="873"/>
    <cellStyle name="Heading 2 3 2" xfId="874"/>
    <cellStyle name="Heading 2 3 3" xfId="875"/>
    <cellStyle name="Heading 2 3 4" xfId="876"/>
    <cellStyle name="Heading 2 4" xfId="877"/>
    <cellStyle name="Heading 2 4 2" xfId="878"/>
    <cellStyle name="Heading 2 4 3" xfId="879"/>
    <cellStyle name="Heading 2 4 4" xfId="880"/>
    <cellStyle name="Heading 2 5" xfId="881"/>
    <cellStyle name="Heading 2 5 2" xfId="882"/>
    <cellStyle name="Heading 2 5 3" xfId="883"/>
    <cellStyle name="Heading 2 5 4" xfId="884"/>
    <cellStyle name="Heading 2 6" xfId="885"/>
    <cellStyle name="Heading 2 6 2" xfId="886"/>
    <cellStyle name="Heading 2 6 3" xfId="887"/>
    <cellStyle name="Heading 2 6 4" xfId="888"/>
    <cellStyle name="Heading 2 7" xfId="889"/>
    <cellStyle name="Heading 2 7 2" xfId="890"/>
    <cellStyle name="Heading 2 7 3" xfId="891"/>
    <cellStyle name="Heading 2 7 4" xfId="892"/>
    <cellStyle name="Heading 2 8" xfId="893"/>
    <cellStyle name="Heading 3" xfId="33" builtinId="18" customBuiltin="1"/>
    <cellStyle name="Heading 3 2" xfId="894"/>
    <cellStyle name="Heading 3 2 2" xfId="895"/>
    <cellStyle name="Heading 3 2 3" xfId="896"/>
    <cellStyle name="Heading 3 2 4" xfId="897"/>
    <cellStyle name="Heading 3 3" xfId="898"/>
    <cellStyle name="Heading 3 3 2" xfId="899"/>
    <cellStyle name="Heading 3 3 3" xfId="900"/>
    <cellStyle name="Heading 3 3 4" xfId="901"/>
    <cellStyle name="Heading 3 4" xfId="902"/>
    <cellStyle name="Heading 3 4 2" xfId="903"/>
    <cellStyle name="Heading 3 4 3" xfId="904"/>
    <cellStyle name="Heading 3 4 4" xfId="905"/>
    <cellStyle name="Heading 3 5" xfId="906"/>
    <cellStyle name="Heading 3 5 2" xfId="907"/>
    <cellStyle name="Heading 3 5 3" xfId="908"/>
    <cellStyle name="Heading 3 5 4" xfId="909"/>
    <cellStyle name="Heading 3 6" xfId="910"/>
    <cellStyle name="Heading 3 6 2" xfId="911"/>
    <cellStyle name="Heading 3 6 3" xfId="912"/>
    <cellStyle name="Heading 3 6 4" xfId="913"/>
    <cellStyle name="Heading 3 7" xfId="914"/>
    <cellStyle name="Heading 3 7 2" xfId="915"/>
    <cellStyle name="Heading 3 7 3" xfId="916"/>
    <cellStyle name="Heading 3 7 4" xfId="917"/>
    <cellStyle name="Heading 3 8" xfId="918"/>
    <cellStyle name="Heading 4" xfId="34" builtinId="19" customBuiltin="1"/>
    <cellStyle name="Heading 4 2" xfId="919"/>
    <cellStyle name="Heading 4 2 2" xfId="920"/>
    <cellStyle name="Heading 4 2 3" xfId="921"/>
    <cellStyle name="Heading 4 2 4" xfId="922"/>
    <cellStyle name="Heading 4 3" xfId="923"/>
    <cellStyle name="Heading 4 3 2" xfId="924"/>
    <cellStyle name="Heading 4 3 3" xfId="925"/>
    <cellStyle name="Heading 4 3 4" xfId="926"/>
    <cellStyle name="Heading 4 4" xfId="927"/>
    <cellStyle name="Heading 4 4 2" xfId="928"/>
    <cellStyle name="Heading 4 4 3" xfId="929"/>
    <cellStyle name="Heading 4 4 4" xfId="930"/>
    <cellStyle name="Heading 4 5" xfId="931"/>
    <cellStyle name="Heading 4 5 2" xfId="932"/>
    <cellStyle name="Heading 4 5 3" xfId="933"/>
    <cellStyle name="Heading 4 5 4" xfId="934"/>
    <cellStyle name="Heading 4 6" xfId="935"/>
    <cellStyle name="Heading 4 6 2" xfId="936"/>
    <cellStyle name="Heading 4 6 3" xfId="937"/>
    <cellStyle name="Heading 4 6 4" xfId="938"/>
    <cellStyle name="Heading 4 7" xfId="939"/>
    <cellStyle name="Heading 4 7 2" xfId="940"/>
    <cellStyle name="Heading 4 7 3" xfId="941"/>
    <cellStyle name="Heading 4 7 4" xfId="942"/>
    <cellStyle name="Heading 4 8" xfId="943"/>
    <cellStyle name="Input" xfId="35" builtinId="20" customBuiltin="1"/>
    <cellStyle name="Input 2" xfId="944"/>
    <cellStyle name="Input 2 2" xfId="945"/>
    <cellStyle name="Input 2 3" xfId="946"/>
    <cellStyle name="Input 2 4" xfId="947"/>
    <cellStyle name="Input 3" xfId="948"/>
    <cellStyle name="Input 3 2" xfId="949"/>
    <cellStyle name="Input 3 3" xfId="950"/>
    <cellStyle name="Input 3 4" xfId="951"/>
    <cellStyle name="Input 4" xfId="952"/>
    <cellStyle name="Input 4 2" xfId="953"/>
    <cellStyle name="Input 4 3" xfId="954"/>
    <cellStyle name="Input 4 4" xfId="955"/>
    <cellStyle name="Input 5" xfId="956"/>
    <cellStyle name="Input 5 2" xfId="957"/>
    <cellStyle name="Input 5 3" xfId="958"/>
    <cellStyle name="Input 5 4" xfId="959"/>
    <cellStyle name="Input 6" xfId="960"/>
    <cellStyle name="Input 6 2" xfId="961"/>
    <cellStyle name="Input 6 3" xfId="962"/>
    <cellStyle name="Input 6 4" xfId="963"/>
    <cellStyle name="Input 7" xfId="964"/>
    <cellStyle name="Input 7 2" xfId="965"/>
    <cellStyle name="Input 7 3" xfId="966"/>
    <cellStyle name="Input 7 4" xfId="967"/>
    <cellStyle name="Input 8" xfId="968"/>
    <cellStyle name="Linked Cell" xfId="36" builtinId="24" customBuiltin="1"/>
    <cellStyle name="Linked Cell 2" xfId="969"/>
    <cellStyle name="Linked Cell 2 2" xfId="970"/>
    <cellStyle name="Linked Cell 2 3" xfId="971"/>
    <cellStyle name="Linked Cell 2 4" xfId="972"/>
    <cellStyle name="Linked Cell 3" xfId="973"/>
    <cellStyle name="Linked Cell 3 2" xfId="974"/>
    <cellStyle name="Linked Cell 3 3" xfId="975"/>
    <cellStyle name="Linked Cell 3 4" xfId="976"/>
    <cellStyle name="Linked Cell 4" xfId="977"/>
    <cellStyle name="Linked Cell 4 2" xfId="978"/>
    <cellStyle name="Linked Cell 4 3" xfId="979"/>
    <cellStyle name="Linked Cell 4 4" xfId="980"/>
    <cellStyle name="Linked Cell 5" xfId="981"/>
    <cellStyle name="Linked Cell 5 2" xfId="982"/>
    <cellStyle name="Linked Cell 5 3" xfId="983"/>
    <cellStyle name="Linked Cell 5 4" xfId="984"/>
    <cellStyle name="Linked Cell 6" xfId="985"/>
    <cellStyle name="Linked Cell 6 2" xfId="986"/>
    <cellStyle name="Linked Cell 6 3" xfId="987"/>
    <cellStyle name="Linked Cell 6 4" xfId="988"/>
    <cellStyle name="Linked Cell 7" xfId="989"/>
    <cellStyle name="Linked Cell 7 2" xfId="990"/>
    <cellStyle name="Linked Cell 7 3" xfId="991"/>
    <cellStyle name="Linked Cell 7 4" xfId="992"/>
    <cellStyle name="Linked Cell 8" xfId="993"/>
    <cellStyle name="Neutral" xfId="37" builtinId="28" customBuiltin="1"/>
    <cellStyle name="Neutral 2" xfId="994"/>
    <cellStyle name="Neutral 2 2" xfId="995"/>
    <cellStyle name="Neutral 2 3" xfId="996"/>
    <cellStyle name="Neutral 2 4" xfId="997"/>
    <cellStyle name="Neutral 3" xfId="998"/>
    <cellStyle name="Neutral 3 2" xfId="999"/>
    <cellStyle name="Neutral 3 3" xfId="1000"/>
    <cellStyle name="Neutral 3 4" xfId="1001"/>
    <cellStyle name="Neutral 4" xfId="1002"/>
    <cellStyle name="Neutral 4 2" xfId="1003"/>
    <cellStyle name="Neutral 4 3" xfId="1004"/>
    <cellStyle name="Neutral 4 4" xfId="1005"/>
    <cellStyle name="Neutral 5" xfId="1006"/>
    <cellStyle name="Neutral 5 2" xfId="1007"/>
    <cellStyle name="Neutral 5 3" xfId="1008"/>
    <cellStyle name="Neutral 5 4" xfId="1009"/>
    <cellStyle name="Neutral 6" xfId="1010"/>
    <cellStyle name="Neutral 6 2" xfId="1011"/>
    <cellStyle name="Neutral 6 3" xfId="1012"/>
    <cellStyle name="Neutral 6 4" xfId="1013"/>
    <cellStyle name="Neutral 7" xfId="1014"/>
    <cellStyle name="Neutral 7 2" xfId="1015"/>
    <cellStyle name="Neutral 7 3" xfId="1016"/>
    <cellStyle name="Neutral 7 4" xfId="1017"/>
    <cellStyle name="Neutral 8" xfId="1018"/>
    <cellStyle name="Normal" xfId="0" builtinId="0"/>
    <cellStyle name="Normal 10" xfId="1019"/>
    <cellStyle name="Normal 11" xfId="1020"/>
    <cellStyle name="Normal 12" xfId="1021"/>
    <cellStyle name="Normal 12 2" xfId="1022"/>
    <cellStyle name="Normal 12_A-1" xfId="1023"/>
    <cellStyle name="Normal 13" xfId="1024"/>
    <cellStyle name="Normal 14" xfId="1025"/>
    <cellStyle name="Normal 14 2" xfId="1026"/>
    <cellStyle name="Normal 14_A-1" xfId="1027"/>
    <cellStyle name="Normal 15" xfId="1028"/>
    <cellStyle name="Normal 16" xfId="1029"/>
    <cellStyle name="Normal 16 2" xfId="1030"/>
    <cellStyle name="Normal 17" xfId="1031"/>
    <cellStyle name="Normal 18" xfId="1032"/>
    <cellStyle name="Normal 19" xfId="1033"/>
    <cellStyle name="Normal 2" xfId="38"/>
    <cellStyle name="Normal 2 10" xfId="1034"/>
    <cellStyle name="Normal 2 11" xfId="1035"/>
    <cellStyle name="Normal 2 12" xfId="1036"/>
    <cellStyle name="Normal 2 13" xfId="1037"/>
    <cellStyle name="Normal 2 13 2" xfId="1038"/>
    <cellStyle name="Normal 2 13_A-1" xfId="1039"/>
    <cellStyle name="Normal 2 14" xfId="1040"/>
    <cellStyle name="Normal 2 15" xfId="1041"/>
    <cellStyle name="Normal 2 16" xfId="1042"/>
    <cellStyle name="Normal 2 17" xfId="1043"/>
    <cellStyle name="Normal 2 18" xfId="1044"/>
    <cellStyle name="Normal 2 19" xfId="1045"/>
    <cellStyle name="Normal 2 2" xfId="1046"/>
    <cellStyle name="Normal 2 2 2" xfId="1047"/>
    <cellStyle name="Normal 2 2 3" xfId="1048"/>
    <cellStyle name="Normal 2 2 4" xfId="1049"/>
    <cellStyle name="Normal 2 20" xfId="1050"/>
    <cellStyle name="Normal 2 3" xfId="1051"/>
    <cellStyle name="Normal 2 3 2" xfId="1052"/>
    <cellStyle name="Normal 2 4" xfId="1053"/>
    <cellStyle name="Normal 2 4 2" xfId="1054"/>
    <cellStyle name="Normal 2 5" xfId="1055"/>
    <cellStyle name="Normal 2 5 2" xfId="1056"/>
    <cellStyle name="Normal 2 5 3" xfId="1057"/>
    <cellStyle name="Normal 2 5_A-1" xfId="1058"/>
    <cellStyle name="Normal 2 6" xfId="1059"/>
    <cellStyle name="Normal 2 7" xfId="1060"/>
    <cellStyle name="Normal 2 8" xfId="1061"/>
    <cellStyle name="Normal 2 9" xfId="1062"/>
    <cellStyle name="Normal 2_2012-13 Distr" xfId="1063"/>
    <cellStyle name="Normal 20" xfId="1064"/>
    <cellStyle name="Normal 21" xfId="1065"/>
    <cellStyle name="Normal 22" xfId="1066"/>
    <cellStyle name="Normal 23" xfId="1067"/>
    <cellStyle name="Normal 24" xfId="1068"/>
    <cellStyle name="Normal 25" xfId="1069"/>
    <cellStyle name="Normal 3" xfId="1070"/>
    <cellStyle name="Normal 3 2" xfId="1071"/>
    <cellStyle name="Normal 3 3" xfId="1072"/>
    <cellStyle name="Normal 3 4" xfId="1073"/>
    <cellStyle name="Normal 3 5" xfId="1074"/>
    <cellStyle name="Normal 4" xfId="1075"/>
    <cellStyle name="Normal 4 2" xfId="1076"/>
    <cellStyle name="Normal 4 3" xfId="1077"/>
    <cellStyle name="Normal 4 4" xfId="1078"/>
    <cellStyle name="Normal 4 5" xfId="1079"/>
    <cellStyle name="Normal 5" xfId="1080"/>
    <cellStyle name="Normal 5 2" xfId="1081"/>
    <cellStyle name="Normal 6" xfId="1082"/>
    <cellStyle name="Normal 6 2" xfId="1083"/>
    <cellStyle name="Normal 7" xfId="1084"/>
    <cellStyle name="Normal 8" xfId="1085"/>
    <cellStyle name="Normal 8 2" xfId="1086"/>
    <cellStyle name="Normal 9" xfId="1087"/>
    <cellStyle name="Normal 9 2" xfId="1088"/>
    <cellStyle name="Note" xfId="39" builtinId="10" customBuiltin="1"/>
    <cellStyle name="Note 2" xfId="1089"/>
    <cellStyle name="Note 2 2" xfId="1090"/>
    <cellStyle name="Note 2 3" xfId="1091"/>
    <cellStyle name="Note 2 4" xfId="1092"/>
    <cellStyle name="Note 2 5" xfId="1093"/>
    <cellStyle name="Note 3" xfId="1094"/>
    <cellStyle name="Note 3 2" xfId="1095"/>
    <cellStyle name="Note 3 3" xfId="1096"/>
    <cellStyle name="Note 3 4" xfId="1097"/>
    <cellStyle name="Note 4" xfId="1098"/>
    <cellStyle name="Note 4 2" xfId="1099"/>
    <cellStyle name="Note 4 3" xfId="1100"/>
    <cellStyle name="Note 4 4" xfId="1101"/>
    <cellStyle name="Note 5" xfId="1102"/>
    <cellStyle name="Note 5 2" xfId="1103"/>
    <cellStyle name="Note 5 3" xfId="1104"/>
    <cellStyle name="Note 5 4" xfId="1105"/>
    <cellStyle name="Note 6" xfId="1106"/>
    <cellStyle name="Note 6 2" xfId="1107"/>
    <cellStyle name="Note 6 3" xfId="1108"/>
    <cellStyle name="Note 6 4" xfId="1109"/>
    <cellStyle name="Note 7" xfId="1110"/>
    <cellStyle name="Note 7 2" xfId="1111"/>
    <cellStyle name="Note 7 3" xfId="1112"/>
    <cellStyle name="Note 7 4" xfId="1113"/>
    <cellStyle name="Note 8" xfId="1114"/>
    <cellStyle name="Output" xfId="40" builtinId="21" customBuiltin="1"/>
    <cellStyle name="Output 2" xfId="1115"/>
    <cellStyle name="Output 2 2" xfId="1116"/>
    <cellStyle name="Output 2 3" xfId="1117"/>
    <cellStyle name="Output 2 4" xfId="1118"/>
    <cellStyle name="Output 3" xfId="1119"/>
    <cellStyle name="Output 3 2" xfId="1120"/>
    <cellStyle name="Output 3 3" xfId="1121"/>
    <cellStyle name="Output 3 4" xfId="1122"/>
    <cellStyle name="Output 4" xfId="1123"/>
    <cellStyle name="Output 4 2" xfId="1124"/>
    <cellStyle name="Output 4 3" xfId="1125"/>
    <cellStyle name="Output 4 4" xfId="1126"/>
    <cellStyle name="Output 5" xfId="1127"/>
    <cellStyle name="Output 5 2" xfId="1128"/>
    <cellStyle name="Output 5 3" xfId="1129"/>
    <cellStyle name="Output 5 4" xfId="1130"/>
    <cellStyle name="Output 6" xfId="1131"/>
    <cellStyle name="Output 6 2" xfId="1132"/>
    <cellStyle name="Output 6 3" xfId="1133"/>
    <cellStyle name="Output 6 4" xfId="1134"/>
    <cellStyle name="Output 7" xfId="1135"/>
    <cellStyle name="Output 7 2" xfId="1136"/>
    <cellStyle name="Output 7 3" xfId="1137"/>
    <cellStyle name="Output 7 4" xfId="1138"/>
    <cellStyle name="Output 8" xfId="1139"/>
    <cellStyle name="Percent" xfId="41" builtinId="5"/>
    <cellStyle name="Percent 2" xfId="1140"/>
    <cellStyle name="Percent 2 2" xfId="1141"/>
    <cellStyle name="Percent 2 3" xfId="1142"/>
    <cellStyle name="Percent 3" xfId="1143"/>
    <cellStyle name="Percent 3 2" xfId="1144"/>
    <cellStyle name="Percent 4" xfId="1145"/>
    <cellStyle name="Percent 5" xfId="1146"/>
    <cellStyle name="Title" xfId="42" builtinId="15" customBuiltin="1"/>
    <cellStyle name="Title 2" xfId="1147"/>
    <cellStyle name="Title 2 2" xfId="1148"/>
    <cellStyle name="Title 2 3" xfId="1149"/>
    <cellStyle name="Title 2 4" xfId="1150"/>
    <cellStyle name="Title 3" xfId="1151"/>
    <cellStyle name="Title 3 2" xfId="1152"/>
    <cellStyle name="Title 3 3" xfId="1153"/>
    <cellStyle name="Title 3 4" xfId="1154"/>
    <cellStyle name="Title 4" xfId="1155"/>
    <cellStyle name="Title 4 2" xfId="1156"/>
    <cellStyle name="Title 4 3" xfId="1157"/>
    <cellStyle name="Title 4 4" xfId="1158"/>
    <cellStyle name="Title 5" xfId="1159"/>
    <cellStyle name="Title 5 2" xfId="1160"/>
    <cellStyle name="Title 5 3" xfId="1161"/>
    <cellStyle name="Title 5 4" xfId="1162"/>
    <cellStyle name="Title 6" xfId="1163"/>
    <cellStyle name="Title 6 2" xfId="1164"/>
    <cellStyle name="Title 6 3" xfId="1165"/>
    <cellStyle name="Title 6 4" xfId="1166"/>
    <cellStyle name="Title 7" xfId="1167"/>
    <cellStyle name="Title 7 2" xfId="1168"/>
    <cellStyle name="Title 7 3" xfId="1169"/>
    <cellStyle name="Title 7 4" xfId="1170"/>
    <cellStyle name="Title 8" xfId="1171"/>
    <cellStyle name="Total" xfId="43" builtinId="25" customBuiltin="1"/>
    <cellStyle name="Total 2" xfId="1172"/>
    <cellStyle name="Total 2 2" xfId="1173"/>
    <cellStyle name="Total 2 3" xfId="1174"/>
    <cellStyle name="Total 2 4" xfId="1175"/>
    <cellStyle name="Total 3" xfId="1176"/>
    <cellStyle name="Total 3 2" xfId="1177"/>
    <cellStyle name="Total 3 3" xfId="1178"/>
    <cellStyle name="Total 3 4" xfId="1179"/>
    <cellStyle name="Total 4" xfId="1180"/>
    <cellStyle name="Total 4 2" xfId="1181"/>
    <cellStyle name="Total 4 3" xfId="1182"/>
    <cellStyle name="Total 4 4" xfId="1183"/>
    <cellStyle name="Total 5" xfId="1184"/>
    <cellStyle name="Total 5 2" xfId="1185"/>
    <cellStyle name="Total 5 3" xfId="1186"/>
    <cellStyle name="Total 5 4" xfId="1187"/>
    <cellStyle name="Total 6" xfId="1188"/>
    <cellStyle name="Total 6 2" xfId="1189"/>
    <cellStyle name="Total 6 3" xfId="1190"/>
    <cellStyle name="Total 6 4" xfId="1191"/>
    <cellStyle name="Total 7" xfId="1192"/>
    <cellStyle name="Total 7 2" xfId="1193"/>
    <cellStyle name="Total 7 3" xfId="1194"/>
    <cellStyle name="Total 7 4" xfId="1195"/>
    <cellStyle name="Total 8" xfId="1196"/>
    <cellStyle name="Warning Text" xfId="44" builtinId="11" customBuiltin="1"/>
    <cellStyle name="Warning Text 2" xfId="1197"/>
    <cellStyle name="Warning Text 2 2" xfId="1198"/>
    <cellStyle name="Warning Text 2 3" xfId="1199"/>
    <cellStyle name="Warning Text 2 4" xfId="1200"/>
    <cellStyle name="Warning Text 3" xfId="1201"/>
    <cellStyle name="Warning Text 3 2" xfId="1202"/>
    <cellStyle name="Warning Text 3 3" xfId="1203"/>
    <cellStyle name="Warning Text 3 4" xfId="1204"/>
    <cellStyle name="Warning Text 4" xfId="1205"/>
    <cellStyle name="Warning Text 4 2" xfId="1206"/>
    <cellStyle name="Warning Text 4 3" xfId="1207"/>
    <cellStyle name="Warning Text 4 4" xfId="1208"/>
    <cellStyle name="Warning Text 5" xfId="1209"/>
    <cellStyle name="Warning Text 5 2" xfId="1210"/>
    <cellStyle name="Warning Text 5 3" xfId="1211"/>
    <cellStyle name="Warning Text 5 4" xfId="1212"/>
    <cellStyle name="Warning Text 6" xfId="1213"/>
    <cellStyle name="Warning Text 6 2" xfId="1214"/>
    <cellStyle name="Warning Text 6 3" xfId="1215"/>
    <cellStyle name="Warning Text 6 4" xfId="1216"/>
    <cellStyle name="Warning Text 7" xfId="1217"/>
    <cellStyle name="Warning Text 7 2" xfId="1218"/>
    <cellStyle name="Warning Text 7 3" xfId="1219"/>
    <cellStyle name="Warning Text 7 4" xfId="1220"/>
    <cellStyle name="Warning Text 8" xfId="1221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0000FF"/>
      <color rgb="FFFFFF99"/>
      <color rgb="FFFF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29632</xdr:rowOff>
    </xdr:from>
    <xdr:to>
      <xdr:col>12</xdr:col>
      <xdr:colOff>0</xdr:colOff>
      <xdr:row>27</xdr:row>
      <xdr:rowOff>127000</xdr:rowOff>
    </xdr:to>
    <xdr:sp macro="" textlink="">
      <xdr:nvSpPr>
        <xdr:cNvPr id="2" name="TextBox 1"/>
        <xdr:cNvSpPr txBox="1"/>
      </xdr:nvSpPr>
      <xdr:spPr>
        <a:xfrm>
          <a:off x="15875" y="29632"/>
          <a:ext cx="7299325" cy="4469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This file is the 2015-16 Outcomes-Based</a:t>
          </a:r>
          <a:r>
            <a:rPr lang="en-US" sz="2000" b="1" baseline="0"/>
            <a:t> funding formula as prepared by the Tennessee Higher Education Commission. The first two data tabs ("CC Formula" and "Univ Formula") represent the outcomes-based formula for each sector. The funding formula calculation is then used in the "2015-16 Recommendation" tab to determine the 2015-16 state appropriation distribution.  Row 123 on the community college model tab and Row 107 on the university model tab correspond to the labeled Column B on the</a:t>
          </a:r>
        </a:p>
        <a:p>
          <a:pPr algn="ctr"/>
          <a:r>
            <a:rPr lang="en-US" sz="2000" b="1" baseline="0"/>
            <a:t> "2015-16 Recommendation" tab. </a:t>
          </a:r>
        </a:p>
        <a:p>
          <a:pPr algn="ctr"/>
          <a:endParaRPr lang="en-US" sz="2000" b="1" baseline="0"/>
        </a:p>
        <a:p>
          <a:pPr algn="ctr"/>
          <a:r>
            <a:rPr lang="en-US" sz="2000" b="1" baseline="0"/>
            <a:t>For questions, please call or email</a:t>
          </a:r>
        </a:p>
        <a:p>
          <a:pPr algn="ctr"/>
          <a:r>
            <a:rPr lang="en-US" sz="2000" b="1" baseline="0"/>
            <a:t>Russ Deaton (russ.deaton@tn.gov; 615-532-3860) or</a:t>
          </a:r>
        </a:p>
        <a:p>
          <a:pPr algn="ctr"/>
          <a:r>
            <a:rPr lang="en-US" sz="2000" b="1" baseline="0"/>
            <a:t>Crystal Collins (crystal.collins@tn.gov; 615-741-7578).</a:t>
          </a:r>
          <a:endParaRPr lang="en-US" sz="2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cal\THEC\FISCAL\STAY_OUT\FY2012-13\Appropriations%20Request%20Instructions\PARTII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THEC/FISCAL/STAY_OUT/FY2012-13/Appropriations%20Request%20Instructions/PARTII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cal\Fiscal%20Policy\STAY_OUT\FY2014-15\Formula\Colleges%20of%20Med\Part%20IIIs%20and%20VIIs\JHQC%20-%20PartVII%20-%20new%20Med%20Formula%20FY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Fiscal%20Policy/STAY_OUT/FY2014-15/Formula/Colleges%20of%20Med/Part%20IIIs%20and%20VIIs/JHQC%20-%20PartVII%20-%20new%20Med%20Formula%20FY14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over Page"/>
      <sheetName val="Academic Formula Units Instr."/>
      <sheetName val="Schedule A1  "/>
      <sheetName val="Schedule A2  "/>
      <sheetName val="Schedule A3"/>
      <sheetName val="Schedule B "/>
      <sheetName val="Schedule C1"/>
      <sheetName val="Schedule C2"/>
      <sheetName val="Schedule E"/>
      <sheetName val="Schedule F"/>
      <sheetName val="Schedule G"/>
      <sheetName val="Schedule H"/>
      <sheetName val="Schedule I"/>
      <sheetName val="Schedule J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over Page"/>
      <sheetName val="Academic Formula Units Instr."/>
      <sheetName val="Schedule A1  "/>
      <sheetName val="Schedule A2  "/>
      <sheetName val="Schedule A3"/>
      <sheetName val="Schedule B "/>
      <sheetName val="Schedule C1"/>
      <sheetName val="Schedule C2"/>
      <sheetName val="Schedule E"/>
      <sheetName val="Schedule F"/>
      <sheetName val="Schedule G"/>
      <sheetName val="Schedule H"/>
      <sheetName val="Schedule I"/>
      <sheetName val="Schedule J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"/>
      <sheetName val="Med Instructions"/>
      <sheetName val="Schedule 1"/>
      <sheetName val="Schedule 2"/>
      <sheetName val="Schedule 3"/>
      <sheetName val="Schedule 4"/>
      <sheetName val="Schedule 5"/>
      <sheetName val="Schedule D"/>
      <sheetName val="Schedule E"/>
      <sheetName val="Schedule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"/>
      <sheetName val="Med Instructions"/>
      <sheetName val="Schedule 1"/>
      <sheetName val="Schedule 2"/>
      <sheetName val="Schedule 3"/>
      <sheetName val="Schedule 4"/>
      <sheetName val="Schedule 5"/>
      <sheetName val="Schedule D"/>
      <sheetName val="Schedule E"/>
      <sheetName val="Schedule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100" zoomScaleSheetLayoutView="90" workbookViewId="0">
      <selection activeCell="F36" sqref="F36"/>
    </sheetView>
  </sheetViews>
  <sheetFormatPr defaultRowHeight="12.75"/>
  <cols>
    <col min="1" max="16384" width="9.140625" style="404"/>
  </cols>
  <sheetData/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R177"/>
  <sheetViews>
    <sheetView view="pageBreakPreview" topLeftCell="B1" zoomScale="55" zoomScaleNormal="100" zoomScaleSheetLayoutView="55" workbookViewId="0">
      <selection activeCell="I133" sqref="I133"/>
    </sheetView>
  </sheetViews>
  <sheetFormatPr defaultRowHeight="15.75"/>
  <cols>
    <col min="1" max="1" width="9.42578125" style="12" bestFit="1" customWidth="1"/>
    <col min="2" max="2" width="60.42578125" style="3" customWidth="1"/>
    <col min="3" max="3" width="19.42578125" style="1" bestFit="1" customWidth="1"/>
    <col min="4" max="8" width="19" style="1" bestFit="1" customWidth="1"/>
    <col min="9" max="12" width="19.42578125" style="1" bestFit="1" customWidth="1"/>
    <col min="13" max="14" width="19" style="1" bestFit="1" customWidth="1"/>
    <col min="15" max="15" width="19.42578125" style="1" bestFit="1" customWidth="1"/>
    <col min="16" max="16" width="22.28515625" style="1" bestFit="1" customWidth="1"/>
    <col min="17" max="17" width="14.85546875" style="1" bestFit="1" customWidth="1"/>
    <col min="18" max="18" width="16.5703125" style="1" bestFit="1" customWidth="1"/>
    <col min="19" max="19" width="10.85546875" style="1" bestFit="1" customWidth="1"/>
    <col min="20" max="20" width="11.28515625" style="1" bestFit="1" customWidth="1"/>
    <col min="21" max="21" width="9.42578125" style="1" bestFit="1" customWidth="1"/>
    <col min="22" max="22" width="9" style="1" bestFit="1" customWidth="1"/>
    <col min="23" max="23" width="9.85546875" style="1" bestFit="1" customWidth="1"/>
    <col min="24" max="24" width="11.28515625" style="1" bestFit="1" customWidth="1"/>
    <col min="25" max="25" width="11.140625" style="1" bestFit="1" customWidth="1"/>
    <col min="26" max="27" width="9.42578125" style="1" bestFit="1" customWidth="1"/>
    <col min="28" max="29" width="9.140625" style="1" bestFit="1"/>
    <col min="30" max="30" width="9.7109375" style="1" bestFit="1" customWidth="1"/>
    <col min="31" max="16384" width="9.140625" style="1"/>
  </cols>
  <sheetData>
    <row r="2" spans="1:17" ht="28.5">
      <c r="B2" s="405" t="s">
        <v>127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4" spans="1:17">
      <c r="P4" s="27"/>
    </row>
    <row r="5" spans="1:17">
      <c r="B5" s="13" t="s">
        <v>123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7">
      <c r="B6" s="3" t="s">
        <v>58</v>
      </c>
      <c r="C6" s="4">
        <v>2336</v>
      </c>
      <c r="D6" s="4">
        <v>1070.3333333333333</v>
      </c>
      <c r="E6" s="4">
        <v>1528.3333333333333</v>
      </c>
      <c r="F6" s="4">
        <v>944</v>
      </c>
      <c r="G6" s="4">
        <v>1166.6666666666667</v>
      </c>
      <c r="H6" s="4">
        <v>1422.6666666666667</v>
      </c>
      <c r="I6" s="4">
        <v>2360.3333333333335</v>
      </c>
      <c r="J6" s="4">
        <v>1541.3333333333333</v>
      </c>
      <c r="K6" s="4">
        <v>2874</v>
      </c>
      <c r="L6" s="4">
        <v>1612.6666666666667</v>
      </c>
      <c r="M6" s="4">
        <v>3387.6666666666665</v>
      </c>
      <c r="N6" s="4">
        <v>2068.6666666666665</v>
      </c>
      <c r="O6" s="4">
        <v>1894</v>
      </c>
    </row>
    <row r="7" spans="1:17">
      <c r="B7" s="3" t="s">
        <v>9</v>
      </c>
      <c r="C7" s="4">
        <v>1793.6666666666667</v>
      </c>
      <c r="D7" s="4">
        <v>761.66666666666663</v>
      </c>
      <c r="E7" s="4">
        <v>1263.3333333333333</v>
      </c>
      <c r="F7" s="4">
        <v>648</v>
      </c>
      <c r="G7" s="4">
        <v>861</v>
      </c>
      <c r="H7" s="4">
        <v>1093.6666666666667</v>
      </c>
      <c r="I7" s="4">
        <v>1871.3333333333333</v>
      </c>
      <c r="J7" s="4">
        <v>1291.3333333333333</v>
      </c>
      <c r="K7" s="4">
        <v>2337.3333333333335</v>
      </c>
      <c r="L7" s="4">
        <v>1257.6666666666667</v>
      </c>
      <c r="M7" s="4">
        <v>2649.3333333333335</v>
      </c>
      <c r="N7" s="4">
        <v>1582.6666666666667</v>
      </c>
      <c r="O7" s="4">
        <v>1321.3333333333333</v>
      </c>
    </row>
    <row r="8" spans="1:17" s="16" customFormat="1">
      <c r="A8" s="14"/>
      <c r="B8" s="15" t="s">
        <v>59</v>
      </c>
      <c r="C8" s="4">
        <v>1561</v>
      </c>
      <c r="D8" s="4">
        <v>630.33333333333337</v>
      </c>
      <c r="E8" s="4">
        <v>1033</v>
      </c>
      <c r="F8" s="4">
        <v>514.33333333333337</v>
      </c>
      <c r="G8" s="4">
        <v>731.33333333333337</v>
      </c>
      <c r="H8" s="4">
        <v>905.66666666666663</v>
      </c>
      <c r="I8" s="4">
        <v>1612.6666666666667</v>
      </c>
      <c r="J8" s="4">
        <v>1156</v>
      </c>
      <c r="K8" s="4">
        <v>1943</v>
      </c>
      <c r="L8" s="4">
        <v>1090.6666666666667</v>
      </c>
      <c r="M8" s="4">
        <v>1990.3333333333333</v>
      </c>
      <c r="N8" s="4">
        <v>1380</v>
      </c>
      <c r="O8" s="4">
        <v>1126.6666666666667</v>
      </c>
    </row>
    <row r="9" spans="1:17" s="16" customFormat="1">
      <c r="A9" s="14"/>
      <c r="B9" s="15" t="s">
        <v>60</v>
      </c>
      <c r="C9" s="4">
        <v>1260.3333333333333</v>
      </c>
      <c r="D9" s="4">
        <v>729</v>
      </c>
      <c r="E9" s="4">
        <v>864.33333333333337</v>
      </c>
      <c r="F9" s="4">
        <v>905</v>
      </c>
      <c r="G9" s="4">
        <v>979.66666666666663</v>
      </c>
      <c r="H9" s="4">
        <v>924.66666666666663</v>
      </c>
      <c r="I9" s="4">
        <v>1080.6666666666667</v>
      </c>
      <c r="J9" s="4">
        <v>699.66666666666663</v>
      </c>
      <c r="K9" s="4">
        <v>1438.3333333333333</v>
      </c>
      <c r="L9" s="4">
        <v>1659.3333333333333</v>
      </c>
      <c r="M9" s="4">
        <v>466</v>
      </c>
      <c r="N9" s="4">
        <v>1773</v>
      </c>
      <c r="O9" s="4">
        <v>1426.6666666666667</v>
      </c>
    </row>
    <row r="10" spans="1:17" s="16" customFormat="1">
      <c r="A10" s="14"/>
      <c r="B10" s="15" t="s">
        <v>61</v>
      </c>
      <c r="C10" s="4">
        <v>981.33333333333337</v>
      </c>
      <c r="D10" s="4">
        <v>396.33333333333331</v>
      </c>
      <c r="E10" s="4">
        <v>612</v>
      </c>
      <c r="F10" s="4">
        <v>302</v>
      </c>
      <c r="G10" s="4">
        <v>511</v>
      </c>
      <c r="H10" s="4">
        <v>599</v>
      </c>
      <c r="I10" s="4">
        <v>662.66666666666663</v>
      </c>
      <c r="J10" s="4">
        <v>755</v>
      </c>
      <c r="K10" s="4">
        <v>1215</v>
      </c>
      <c r="L10" s="4">
        <v>796.33333333333337</v>
      </c>
      <c r="M10" s="4">
        <v>848</v>
      </c>
      <c r="N10" s="4">
        <v>772</v>
      </c>
      <c r="O10" s="4">
        <v>832.33333333333337</v>
      </c>
      <c r="Q10" s="8"/>
    </row>
    <row r="11" spans="1:17">
      <c r="B11" s="3" t="s">
        <v>101</v>
      </c>
      <c r="C11" s="4">
        <v>184.66666666666666</v>
      </c>
      <c r="D11" s="4">
        <v>35</v>
      </c>
      <c r="E11" s="4">
        <v>50</v>
      </c>
      <c r="F11" s="4">
        <v>30.333333333333332</v>
      </c>
      <c r="G11" s="4">
        <v>35</v>
      </c>
      <c r="H11" s="4">
        <v>0.33333333333333331</v>
      </c>
      <c r="I11" s="4">
        <v>102.33333333333333</v>
      </c>
      <c r="J11" s="4">
        <v>117.66666666666667</v>
      </c>
      <c r="K11" s="4">
        <v>0</v>
      </c>
      <c r="L11" s="4">
        <v>89</v>
      </c>
      <c r="M11" s="4">
        <v>48</v>
      </c>
      <c r="N11" s="4">
        <v>80</v>
      </c>
      <c r="O11" s="4">
        <v>20</v>
      </c>
      <c r="Q11" s="8"/>
    </row>
    <row r="12" spans="1:17" s="12" customFormat="1">
      <c r="B12" s="3" t="s">
        <v>97</v>
      </c>
      <c r="C12" s="32">
        <v>136.33333333333334</v>
      </c>
      <c r="D12" s="32">
        <v>166.66666666666666</v>
      </c>
      <c r="E12" s="32">
        <v>1.6666666666666667</v>
      </c>
      <c r="F12" s="32">
        <v>14.333333333333334</v>
      </c>
      <c r="G12" s="32">
        <v>46</v>
      </c>
      <c r="H12" s="32">
        <v>40.666666666666664</v>
      </c>
      <c r="I12" s="32">
        <v>216</v>
      </c>
      <c r="J12" s="32">
        <v>23</v>
      </c>
      <c r="K12" s="32">
        <v>738.33333333333337</v>
      </c>
      <c r="L12" s="32">
        <v>12.666666666666666</v>
      </c>
      <c r="M12" s="32">
        <v>320</v>
      </c>
      <c r="N12" s="32">
        <v>312.33333333333331</v>
      </c>
      <c r="O12" s="32">
        <v>237.66666666666666</v>
      </c>
      <c r="Q12" s="36"/>
    </row>
    <row r="13" spans="1:17">
      <c r="B13" s="3" t="s">
        <v>62</v>
      </c>
      <c r="C13" s="32">
        <v>532</v>
      </c>
      <c r="D13" s="32">
        <v>189</v>
      </c>
      <c r="E13" s="32">
        <v>218.33333333333334</v>
      </c>
      <c r="F13" s="32">
        <v>118.33333333333333</v>
      </c>
      <c r="G13" s="32">
        <v>293.66666666666669</v>
      </c>
      <c r="H13" s="32">
        <v>85.333333333333329</v>
      </c>
      <c r="I13" s="32">
        <v>285.33333333333331</v>
      </c>
      <c r="J13" s="32">
        <v>368.33333333333331</v>
      </c>
      <c r="K13" s="32">
        <v>357</v>
      </c>
      <c r="L13" s="32">
        <v>392.66666666666669</v>
      </c>
      <c r="M13" s="32">
        <v>415.33333333333331</v>
      </c>
      <c r="N13" s="32">
        <v>412.66666666666669</v>
      </c>
      <c r="O13" s="32">
        <v>517.33333333333337</v>
      </c>
    </row>
    <row r="14" spans="1:17">
      <c r="B14" s="3" t="s">
        <v>63</v>
      </c>
      <c r="C14" s="32">
        <v>2708.6666666666665</v>
      </c>
      <c r="D14" s="32">
        <v>972.33333333333337</v>
      </c>
      <c r="E14" s="32">
        <v>1387.3333333333333</v>
      </c>
      <c r="F14" s="32">
        <v>1170</v>
      </c>
      <c r="G14" s="32">
        <v>1345</v>
      </c>
      <c r="H14" s="32">
        <v>1496.6666666666667</v>
      </c>
      <c r="I14" s="32">
        <v>2897</v>
      </c>
      <c r="J14" s="32">
        <v>1909</v>
      </c>
      <c r="K14" s="32">
        <v>2735.3333333333335</v>
      </c>
      <c r="L14" s="32">
        <v>1571.3333333333333</v>
      </c>
      <c r="M14" s="32">
        <v>4548</v>
      </c>
      <c r="N14" s="32">
        <v>2105.6666666666665</v>
      </c>
      <c r="O14" s="32">
        <v>1743.3333333333333</v>
      </c>
    </row>
    <row r="15" spans="1:17">
      <c r="B15" s="3" t="s">
        <v>16</v>
      </c>
      <c r="C15" s="32">
        <v>532.66666666666663</v>
      </c>
      <c r="D15" s="32">
        <v>213.33333333333334</v>
      </c>
      <c r="E15" s="32">
        <v>418.33333333333331</v>
      </c>
      <c r="F15" s="32">
        <v>223.33333333333334</v>
      </c>
      <c r="G15" s="32">
        <v>306.66666666666669</v>
      </c>
      <c r="H15" s="32">
        <v>498.33333333333331</v>
      </c>
      <c r="I15" s="32">
        <v>644</v>
      </c>
      <c r="J15" s="32">
        <v>393.66666666666669</v>
      </c>
      <c r="K15" s="32">
        <v>815.66666666666663</v>
      </c>
      <c r="L15" s="32">
        <v>443.66666666666669</v>
      </c>
      <c r="M15" s="32">
        <v>759.66666666666663</v>
      </c>
      <c r="N15" s="32">
        <v>597</v>
      </c>
      <c r="O15" s="32">
        <v>443.66666666666669</v>
      </c>
    </row>
    <row r="16" spans="1:17">
      <c r="B16" s="3" t="s">
        <v>64</v>
      </c>
      <c r="C16" s="32">
        <v>175050.66666666666</v>
      </c>
      <c r="D16" s="32">
        <v>7247.166666666667</v>
      </c>
      <c r="E16" s="32">
        <v>59353.583333333336</v>
      </c>
      <c r="F16" s="32">
        <v>10695.3</v>
      </c>
      <c r="G16" s="32">
        <v>17481.033333333333</v>
      </c>
      <c r="H16" s="32">
        <v>5861.5</v>
      </c>
      <c r="I16" s="32">
        <v>36878.166666666664</v>
      </c>
      <c r="J16" s="32">
        <v>7589.833333333333</v>
      </c>
      <c r="K16" s="32">
        <v>46662.866666666669</v>
      </c>
      <c r="L16" s="32">
        <v>100357</v>
      </c>
      <c r="M16" s="32">
        <v>78029.056666666656</v>
      </c>
      <c r="N16" s="32">
        <v>88665.683333333334</v>
      </c>
      <c r="O16" s="32">
        <v>152773.43333333332</v>
      </c>
    </row>
    <row r="17" spans="2:17">
      <c r="B17" s="7" t="s">
        <v>65</v>
      </c>
      <c r="C17" s="33">
        <v>17.137247161345261</v>
      </c>
      <c r="D17" s="33">
        <v>16.999517034960231</v>
      </c>
      <c r="E17" s="33">
        <v>18.804210606521199</v>
      </c>
      <c r="F17" s="33">
        <v>15.683894408118029</v>
      </c>
      <c r="G17" s="33">
        <v>17.876735516347249</v>
      </c>
      <c r="H17" s="33">
        <v>19.186264516910342</v>
      </c>
      <c r="I17" s="33">
        <v>11.80791021723619</v>
      </c>
      <c r="J17" s="33">
        <v>19.945834651465802</v>
      </c>
      <c r="K17" s="33">
        <v>16.182116413844486</v>
      </c>
      <c r="L17" s="33">
        <v>20.834223725200733</v>
      </c>
      <c r="M17" s="33">
        <v>11.011695731729793</v>
      </c>
      <c r="N17" s="33">
        <v>15.579849806360194</v>
      </c>
      <c r="O17" s="33">
        <v>19.514560652212001</v>
      </c>
    </row>
    <row r="18" spans="2:17">
      <c r="B18" s="63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2"/>
    </row>
    <row r="19" spans="2:17">
      <c r="B19" s="62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12"/>
    </row>
    <row r="20" spans="2:17">
      <c r="B20" s="13" t="s">
        <v>124</v>
      </c>
      <c r="C20" s="20" t="s">
        <v>45</v>
      </c>
      <c r="D20" s="20" t="s">
        <v>46</v>
      </c>
      <c r="E20" s="20" t="s">
        <v>47</v>
      </c>
      <c r="F20" s="20" t="s">
        <v>48</v>
      </c>
      <c r="G20" s="20" t="s">
        <v>49</v>
      </c>
      <c r="H20" s="20" t="s">
        <v>50</v>
      </c>
      <c r="I20" s="20" t="s">
        <v>51</v>
      </c>
      <c r="J20" s="20" t="s">
        <v>52</v>
      </c>
      <c r="K20" s="20" t="s">
        <v>53</v>
      </c>
      <c r="L20" s="20" t="s">
        <v>54</v>
      </c>
      <c r="M20" s="20" t="s">
        <v>55</v>
      </c>
      <c r="N20" s="20" t="s">
        <v>56</v>
      </c>
      <c r="O20" s="20" t="s">
        <v>57</v>
      </c>
      <c r="P20" s="12"/>
    </row>
    <row r="21" spans="2:17">
      <c r="B21" s="39" t="s">
        <v>66</v>
      </c>
      <c r="C21" s="68">
        <v>639.66666666666663</v>
      </c>
      <c r="D21" s="68">
        <v>292</v>
      </c>
      <c r="E21" s="68">
        <v>289</v>
      </c>
      <c r="F21" s="68">
        <v>244</v>
      </c>
      <c r="G21" s="68">
        <v>248</v>
      </c>
      <c r="H21" s="68">
        <v>252</v>
      </c>
      <c r="I21" s="68">
        <v>1003.6666666666666</v>
      </c>
      <c r="J21" s="68">
        <v>443.66666666666669</v>
      </c>
      <c r="K21" s="68">
        <v>599.66666666666663</v>
      </c>
      <c r="L21" s="68">
        <v>344.66666666666669</v>
      </c>
      <c r="M21" s="68">
        <v>1052</v>
      </c>
      <c r="N21" s="68">
        <v>444.33333333333331</v>
      </c>
      <c r="O21" s="68">
        <v>382.66666666666669</v>
      </c>
      <c r="P21" s="28"/>
    </row>
    <row r="22" spans="2:17">
      <c r="B22" s="15" t="s">
        <v>19</v>
      </c>
      <c r="C22" s="69">
        <v>670</v>
      </c>
      <c r="D22" s="69">
        <v>261.33333333333331</v>
      </c>
      <c r="E22" s="69">
        <v>344.66666666666669</v>
      </c>
      <c r="F22" s="69">
        <v>230.66666666666666</v>
      </c>
      <c r="G22" s="69">
        <v>266.33333333333331</v>
      </c>
      <c r="H22" s="69">
        <v>270.66666666666669</v>
      </c>
      <c r="I22" s="69">
        <v>894.33333333333337</v>
      </c>
      <c r="J22" s="69">
        <v>466.33333333333331</v>
      </c>
      <c r="K22" s="69">
        <v>617</v>
      </c>
      <c r="L22" s="69">
        <v>353</v>
      </c>
      <c r="M22" s="69">
        <v>1063.3333333333333</v>
      </c>
      <c r="N22" s="69">
        <v>476</v>
      </c>
      <c r="O22" s="69">
        <v>310.66666666666669</v>
      </c>
      <c r="P22" s="28"/>
    </row>
    <row r="23" spans="2:17">
      <c r="B23" s="15" t="s">
        <v>67</v>
      </c>
      <c r="C23" s="69">
        <v>681</v>
      </c>
      <c r="D23" s="69">
        <v>249</v>
      </c>
      <c r="E23" s="69">
        <v>335.33333333333331</v>
      </c>
      <c r="F23" s="69">
        <v>218</v>
      </c>
      <c r="G23" s="69">
        <v>259.33333333333331</v>
      </c>
      <c r="H23" s="69">
        <v>274</v>
      </c>
      <c r="I23" s="69">
        <v>849.33333333333337</v>
      </c>
      <c r="J23" s="69">
        <v>479.66666666666669</v>
      </c>
      <c r="K23" s="69">
        <v>637.33333333333337</v>
      </c>
      <c r="L23" s="69">
        <v>347.66666666666669</v>
      </c>
      <c r="M23" s="69">
        <v>944</v>
      </c>
      <c r="N23" s="69">
        <v>475</v>
      </c>
      <c r="O23" s="69">
        <v>324</v>
      </c>
      <c r="P23" s="28"/>
    </row>
    <row r="24" spans="2:17">
      <c r="B24" s="15" t="s">
        <v>68</v>
      </c>
      <c r="C24" s="69">
        <v>626</v>
      </c>
      <c r="D24" s="69">
        <v>224.33333333333334</v>
      </c>
      <c r="E24" s="69">
        <v>286.33333333333331</v>
      </c>
      <c r="F24" s="69">
        <v>180.66666666666666</v>
      </c>
      <c r="G24" s="69">
        <v>280</v>
      </c>
      <c r="H24" s="69">
        <v>268.66666666666669</v>
      </c>
      <c r="I24" s="69">
        <v>480.66666666666669</v>
      </c>
      <c r="J24" s="69">
        <v>424.66666666666669</v>
      </c>
      <c r="K24" s="69">
        <v>614.33333333333337</v>
      </c>
      <c r="L24" s="69">
        <v>420.33333333333331</v>
      </c>
      <c r="M24" s="69">
        <v>598.33333333333337</v>
      </c>
      <c r="N24" s="69">
        <v>424.33333333333331</v>
      </c>
      <c r="O24" s="69">
        <v>381.66666666666669</v>
      </c>
      <c r="P24" s="28"/>
    </row>
    <row r="25" spans="2:17">
      <c r="B25" s="15" t="s">
        <v>102</v>
      </c>
      <c r="C25" s="69">
        <v>115.66666666666667</v>
      </c>
      <c r="D25" s="69">
        <v>26</v>
      </c>
      <c r="E25" s="69">
        <v>30</v>
      </c>
      <c r="F25" s="69">
        <v>21.333333333333332</v>
      </c>
      <c r="G25" s="69">
        <v>17.666666666666668</v>
      </c>
      <c r="H25" s="69">
        <v>0.33333333333333331</v>
      </c>
      <c r="I25" s="69">
        <v>80</v>
      </c>
      <c r="J25" s="69">
        <v>69</v>
      </c>
      <c r="K25" s="69">
        <v>0</v>
      </c>
      <c r="L25" s="69">
        <v>62</v>
      </c>
      <c r="M25" s="69">
        <v>30.666666666666668</v>
      </c>
      <c r="N25" s="69">
        <v>58.666666666666664</v>
      </c>
      <c r="O25" s="69">
        <v>15.333333333333334</v>
      </c>
      <c r="P25" s="28"/>
    </row>
    <row r="26" spans="2:17" s="12" customFormat="1">
      <c r="B26" s="15" t="s">
        <v>98</v>
      </c>
      <c r="C26" s="69">
        <v>85.666666666666671</v>
      </c>
      <c r="D26" s="69">
        <v>95.666666666666671</v>
      </c>
      <c r="E26" s="69">
        <v>1.6666666666666667</v>
      </c>
      <c r="F26" s="69">
        <v>9.3333333333333339</v>
      </c>
      <c r="G26" s="69">
        <v>17.666666666666668</v>
      </c>
      <c r="H26" s="69">
        <v>33</v>
      </c>
      <c r="I26" s="69">
        <v>157.33333333333334</v>
      </c>
      <c r="J26" s="69">
        <v>17</v>
      </c>
      <c r="K26" s="69">
        <v>337.66666666666669</v>
      </c>
      <c r="L26" s="69">
        <v>9.6666666666666661</v>
      </c>
      <c r="M26" s="69">
        <v>201.33333333333334</v>
      </c>
      <c r="N26" s="69">
        <v>171.33333333333334</v>
      </c>
      <c r="O26" s="69">
        <v>154.33333333333334</v>
      </c>
      <c r="P26" s="3"/>
      <c r="Q26" s="36"/>
    </row>
    <row r="27" spans="2:17">
      <c r="B27" s="15" t="s">
        <v>69</v>
      </c>
      <c r="C27" s="69">
        <v>1267.3333333333333</v>
      </c>
      <c r="D27" s="69">
        <v>662.33333333333337</v>
      </c>
      <c r="E27" s="69">
        <v>810</v>
      </c>
      <c r="F27" s="69">
        <v>593</v>
      </c>
      <c r="G27" s="69">
        <v>766.66666666666663</v>
      </c>
      <c r="H27" s="69">
        <v>753.33333333333337</v>
      </c>
      <c r="I27" s="69">
        <v>1628.6666666666667</v>
      </c>
      <c r="J27" s="69">
        <v>964</v>
      </c>
      <c r="K27" s="69">
        <v>1506.3333333333333</v>
      </c>
      <c r="L27" s="69">
        <v>978.66666666666663</v>
      </c>
      <c r="M27" s="69">
        <v>2336.6666666666665</v>
      </c>
      <c r="N27" s="69">
        <v>1079.3333333333333</v>
      </c>
      <c r="O27" s="69">
        <v>1139.6666666666667</v>
      </c>
      <c r="P27" s="28"/>
    </row>
    <row r="28" spans="2:17">
      <c r="B28" s="15" t="s">
        <v>23</v>
      </c>
      <c r="C28" s="69">
        <v>1058</v>
      </c>
      <c r="D28" s="69">
        <v>512</v>
      </c>
      <c r="E28" s="69">
        <v>733.33333333333337</v>
      </c>
      <c r="F28" s="69">
        <v>472.66666666666669</v>
      </c>
      <c r="G28" s="69">
        <v>634</v>
      </c>
      <c r="H28" s="69">
        <v>661</v>
      </c>
      <c r="I28" s="69">
        <v>1337</v>
      </c>
      <c r="J28" s="69">
        <v>886</v>
      </c>
      <c r="K28" s="69">
        <v>1336</v>
      </c>
      <c r="L28" s="69">
        <v>847</v>
      </c>
      <c r="M28" s="69">
        <v>1853.3333333333333</v>
      </c>
      <c r="N28" s="69">
        <v>966</v>
      </c>
      <c r="O28" s="69">
        <v>876.66666666666663</v>
      </c>
      <c r="P28" s="28"/>
    </row>
    <row r="29" spans="2:17">
      <c r="B29" s="15" t="s">
        <v>70</v>
      </c>
      <c r="C29" s="69">
        <v>955</v>
      </c>
      <c r="D29" s="69">
        <v>430.33333333333331</v>
      </c>
      <c r="E29" s="69">
        <v>620</v>
      </c>
      <c r="F29" s="69">
        <v>394.33333333333331</v>
      </c>
      <c r="G29" s="69">
        <v>547</v>
      </c>
      <c r="H29" s="69">
        <v>563</v>
      </c>
      <c r="I29" s="69">
        <v>1181.3333333333333</v>
      </c>
      <c r="J29" s="69">
        <v>811.33333333333337</v>
      </c>
      <c r="K29" s="69">
        <v>1171</v>
      </c>
      <c r="L29" s="69">
        <v>760.66666666666663</v>
      </c>
      <c r="M29" s="69">
        <v>1456.3333333333333</v>
      </c>
      <c r="N29" s="69">
        <v>852</v>
      </c>
      <c r="O29" s="69">
        <v>774.66666666666663</v>
      </c>
      <c r="P29" s="28"/>
    </row>
    <row r="30" spans="2:17">
      <c r="B30" s="15" t="s">
        <v>71</v>
      </c>
      <c r="C30" s="69">
        <v>599.66666666666663</v>
      </c>
      <c r="D30" s="69">
        <v>285</v>
      </c>
      <c r="E30" s="69">
        <v>385</v>
      </c>
      <c r="F30" s="69">
        <v>226.66666666666666</v>
      </c>
      <c r="G30" s="69">
        <v>373</v>
      </c>
      <c r="H30" s="69">
        <v>377.66666666666669</v>
      </c>
      <c r="I30" s="69">
        <v>467</v>
      </c>
      <c r="J30" s="69">
        <v>530</v>
      </c>
      <c r="K30" s="69">
        <v>789.66666666666663</v>
      </c>
      <c r="L30" s="69">
        <v>560</v>
      </c>
      <c r="M30" s="69">
        <v>603.66666666666663</v>
      </c>
      <c r="N30" s="69">
        <v>490</v>
      </c>
      <c r="O30" s="69">
        <v>579</v>
      </c>
      <c r="P30" s="28"/>
    </row>
    <row r="31" spans="2:17">
      <c r="B31" s="15" t="s">
        <v>103</v>
      </c>
      <c r="C31" s="69">
        <v>93.666666666666671</v>
      </c>
      <c r="D31" s="69">
        <v>26.666666666666668</v>
      </c>
      <c r="E31" s="69">
        <v>23.666666666666668</v>
      </c>
      <c r="F31" s="69">
        <v>21</v>
      </c>
      <c r="G31" s="69">
        <v>25.666666666666668</v>
      </c>
      <c r="H31" s="69">
        <v>0</v>
      </c>
      <c r="I31" s="69">
        <v>56.666666666666664</v>
      </c>
      <c r="J31" s="69">
        <v>78.666666666666671</v>
      </c>
      <c r="K31" s="69">
        <v>0</v>
      </c>
      <c r="L31" s="69">
        <v>59</v>
      </c>
      <c r="M31" s="69">
        <v>29.333333333333332</v>
      </c>
      <c r="N31" s="69">
        <v>45.666666666666664</v>
      </c>
      <c r="O31" s="69">
        <v>11</v>
      </c>
      <c r="P31" s="28"/>
    </row>
    <row r="32" spans="2:17" s="12" customFormat="1">
      <c r="B32" s="7" t="s">
        <v>99</v>
      </c>
      <c r="C32" s="70">
        <v>82</v>
      </c>
      <c r="D32" s="70">
        <v>109.66666666666667</v>
      </c>
      <c r="E32" s="70">
        <v>1.3333333333333333</v>
      </c>
      <c r="F32" s="70">
        <v>10.666666666666666</v>
      </c>
      <c r="G32" s="70">
        <v>34.333333333333336</v>
      </c>
      <c r="H32" s="70">
        <v>19.666666666666668</v>
      </c>
      <c r="I32" s="70">
        <v>135.33333333333334</v>
      </c>
      <c r="J32" s="70">
        <v>11</v>
      </c>
      <c r="K32" s="70">
        <v>455.33333333333331</v>
      </c>
      <c r="L32" s="70">
        <v>6.666666666666667</v>
      </c>
      <c r="M32" s="70">
        <v>216.33333333333334</v>
      </c>
      <c r="N32" s="70">
        <v>185.66666666666666</v>
      </c>
      <c r="O32" s="70">
        <v>144.33333333333334</v>
      </c>
      <c r="P32" s="28"/>
    </row>
    <row r="33" spans="1:17">
      <c r="B33" s="71" t="s">
        <v>27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12"/>
    </row>
    <row r="34" spans="1:17">
      <c r="B34" s="6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2"/>
    </row>
    <row r="35" spans="1:17">
      <c r="A35" s="12" t="s">
        <v>28</v>
      </c>
      <c r="B35" s="13" t="s">
        <v>125</v>
      </c>
      <c r="C35" s="20" t="s">
        <v>45</v>
      </c>
      <c r="D35" s="20" t="s">
        <v>46</v>
      </c>
      <c r="E35" s="20" t="s">
        <v>47</v>
      </c>
      <c r="F35" s="20" t="s">
        <v>48</v>
      </c>
      <c r="G35" s="20" t="s">
        <v>49</v>
      </c>
      <c r="H35" s="20" t="s">
        <v>50</v>
      </c>
      <c r="I35" s="20" t="s">
        <v>51</v>
      </c>
      <c r="J35" s="20" t="s">
        <v>52</v>
      </c>
      <c r="K35" s="20" t="s">
        <v>53</v>
      </c>
      <c r="L35" s="20" t="s">
        <v>54</v>
      </c>
      <c r="M35" s="20" t="s">
        <v>55</v>
      </c>
      <c r="N35" s="20" t="s">
        <v>56</v>
      </c>
      <c r="O35" s="20" t="s">
        <v>57</v>
      </c>
      <c r="P35" s="34"/>
    </row>
    <row r="36" spans="1:17">
      <c r="A36" s="12">
        <v>2</v>
      </c>
      <c r="B36" s="3" t="s">
        <v>72</v>
      </c>
      <c r="C36" s="32">
        <f>C6/$A36</f>
        <v>1168</v>
      </c>
      <c r="D36" s="32">
        <f t="shared" ref="D36:O36" si="0">D6/$A36</f>
        <v>535.16666666666663</v>
      </c>
      <c r="E36" s="32">
        <f t="shared" si="0"/>
        <v>764.16666666666663</v>
      </c>
      <c r="F36" s="32">
        <f t="shared" si="0"/>
        <v>472</v>
      </c>
      <c r="G36" s="32">
        <f t="shared" si="0"/>
        <v>583.33333333333337</v>
      </c>
      <c r="H36" s="32">
        <f t="shared" si="0"/>
        <v>711.33333333333337</v>
      </c>
      <c r="I36" s="32">
        <f t="shared" si="0"/>
        <v>1180.1666666666667</v>
      </c>
      <c r="J36" s="32">
        <f t="shared" si="0"/>
        <v>770.66666666666663</v>
      </c>
      <c r="K36" s="32">
        <f t="shared" si="0"/>
        <v>1437</v>
      </c>
      <c r="L36" s="32">
        <f t="shared" si="0"/>
        <v>806.33333333333337</v>
      </c>
      <c r="M36" s="32">
        <f t="shared" si="0"/>
        <v>1693.8333333333333</v>
      </c>
      <c r="N36" s="32">
        <f t="shared" si="0"/>
        <v>1034.3333333333333</v>
      </c>
      <c r="O36" s="32">
        <f t="shared" si="0"/>
        <v>947</v>
      </c>
      <c r="P36" s="32"/>
      <c r="Q36" s="18"/>
    </row>
    <row r="37" spans="1:17">
      <c r="A37" s="12">
        <v>2</v>
      </c>
      <c r="B37" s="3" t="s">
        <v>73</v>
      </c>
      <c r="C37" s="32">
        <f t="shared" ref="C37:O37" si="1">C7/$A37</f>
        <v>896.83333333333337</v>
      </c>
      <c r="D37" s="32">
        <f t="shared" si="1"/>
        <v>380.83333333333331</v>
      </c>
      <c r="E37" s="32">
        <f t="shared" si="1"/>
        <v>631.66666666666663</v>
      </c>
      <c r="F37" s="32">
        <f t="shared" si="1"/>
        <v>324</v>
      </c>
      <c r="G37" s="32">
        <f t="shared" si="1"/>
        <v>430.5</v>
      </c>
      <c r="H37" s="32">
        <f t="shared" si="1"/>
        <v>546.83333333333337</v>
      </c>
      <c r="I37" s="32">
        <f t="shared" si="1"/>
        <v>935.66666666666663</v>
      </c>
      <c r="J37" s="32">
        <f t="shared" si="1"/>
        <v>645.66666666666663</v>
      </c>
      <c r="K37" s="32">
        <f t="shared" si="1"/>
        <v>1168.6666666666667</v>
      </c>
      <c r="L37" s="32">
        <f t="shared" si="1"/>
        <v>628.83333333333337</v>
      </c>
      <c r="M37" s="32">
        <f t="shared" si="1"/>
        <v>1324.6666666666667</v>
      </c>
      <c r="N37" s="32">
        <f t="shared" si="1"/>
        <v>791.33333333333337</v>
      </c>
      <c r="O37" s="32">
        <f t="shared" si="1"/>
        <v>660.66666666666663</v>
      </c>
      <c r="P37" s="32"/>
      <c r="Q37" s="18"/>
    </row>
    <row r="38" spans="1:17" s="16" customFormat="1">
      <c r="A38" s="14">
        <v>2</v>
      </c>
      <c r="B38" s="15" t="s">
        <v>74</v>
      </c>
      <c r="C38" s="69">
        <f t="shared" ref="C38:C43" si="2">C8/$A38</f>
        <v>780.5</v>
      </c>
      <c r="D38" s="69">
        <f t="shared" ref="D38:O38" si="3">D8/$A38</f>
        <v>315.16666666666669</v>
      </c>
      <c r="E38" s="69">
        <f t="shared" si="3"/>
        <v>516.5</v>
      </c>
      <c r="F38" s="69">
        <f t="shared" si="3"/>
        <v>257.16666666666669</v>
      </c>
      <c r="G38" s="69">
        <f t="shared" si="3"/>
        <v>365.66666666666669</v>
      </c>
      <c r="H38" s="69">
        <f t="shared" si="3"/>
        <v>452.83333333333331</v>
      </c>
      <c r="I38" s="69">
        <f t="shared" si="3"/>
        <v>806.33333333333337</v>
      </c>
      <c r="J38" s="69">
        <f t="shared" si="3"/>
        <v>578</v>
      </c>
      <c r="K38" s="69">
        <f t="shared" si="3"/>
        <v>971.5</v>
      </c>
      <c r="L38" s="69">
        <f t="shared" si="3"/>
        <v>545.33333333333337</v>
      </c>
      <c r="M38" s="69">
        <f t="shared" si="3"/>
        <v>995.16666666666663</v>
      </c>
      <c r="N38" s="69">
        <f t="shared" si="3"/>
        <v>690</v>
      </c>
      <c r="O38" s="69">
        <f t="shared" si="3"/>
        <v>563.33333333333337</v>
      </c>
      <c r="P38" s="32"/>
      <c r="Q38" s="18"/>
    </row>
    <row r="39" spans="1:17" s="16" customFormat="1">
      <c r="A39" s="14">
        <v>2</v>
      </c>
      <c r="B39" s="15" t="s">
        <v>75</v>
      </c>
      <c r="C39" s="69">
        <f t="shared" si="2"/>
        <v>630.16666666666663</v>
      </c>
      <c r="D39" s="69">
        <f t="shared" ref="D39:O39" si="4">D9/$A39</f>
        <v>364.5</v>
      </c>
      <c r="E39" s="69">
        <f t="shared" si="4"/>
        <v>432.16666666666669</v>
      </c>
      <c r="F39" s="69">
        <f t="shared" si="4"/>
        <v>452.5</v>
      </c>
      <c r="G39" s="69">
        <f t="shared" si="4"/>
        <v>489.83333333333331</v>
      </c>
      <c r="H39" s="69">
        <f t="shared" si="4"/>
        <v>462.33333333333331</v>
      </c>
      <c r="I39" s="69">
        <f t="shared" si="4"/>
        <v>540.33333333333337</v>
      </c>
      <c r="J39" s="69">
        <f t="shared" si="4"/>
        <v>349.83333333333331</v>
      </c>
      <c r="K39" s="69">
        <f t="shared" si="4"/>
        <v>719.16666666666663</v>
      </c>
      <c r="L39" s="69">
        <f t="shared" si="4"/>
        <v>829.66666666666663</v>
      </c>
      <c r="M39" s="69">
        <f t="shared" si="4"/>
        <v>233</v>
      </c>
      <c r="N39" s="69">
        <f t="shared" si="4"/>
        <v>886.5</v>
      </c>
      <c r="O39" s="69">
        <f t="shared" si="4"/>
        <v>713.33333333333337</v>
      </c>
      <c r="P39" s="32"/>
      <c r="Q39" s="18"/>
    </row>
    <row r="40" spans="1:17" s="16" customFormat="1">
      <c r="A40" s="14">
        <v>1.5</v>
      </c>
      <c r="B40" s="15" t="s">
        <v>76</v>
      </c>
      <c r="C40" s="69">
        <f t="shared" si="2"/>
        <v>654.22222222222229</v>
      </c>
      <c r="D40" s="69">
        <f t="shared" ref="D40:O40" si="5">D10/$A40</f>
        <v>264.22222222222223</v>
      </c>
      <c r="E40" s="69">
        <f t="shared" si="5"/>
        <v>408</v>
      </c>
      <c r="F40" s="69">
        <f t="shared" si="5"/>
        <v>201.33333333333334</v>
      </c>
      <c r="G40" s="69">
        <f t="shared" si="5"/>
        <v>340.66666666666669</v>
      </c>
      <c r="H40" s="69">
        <f t="shared" si="5"/>
        <v>399.33333333333331</v>
      </c>
      <c r="I40" s="69">
        <f t="shared" si="5"/>
        <v>441.77777777777777</v>
      </c>
      <c r="J40" s="69">
        <f t="shared" si="5"/>
        <v>503.33333333333331</v>
      </c>
      <c r="K40" s="69">
        <f t="shared" si="5"/>
        <v>810</v>
      </c>
      <c r="L40" s="69">
        <f t="shared" si="5"/>
        <v>530.88888888888891</v>
      </c>
      <c r="M40" s="69">
        <f t="shared" si="5"/>
        <v>565.33333333333337</v>
      </c>
      <c r="N40" s="69">
        <f t="shared" si="5"/>
        <v>514.66666666666663</v>
      </c>
      <c r="O40" s="69">
        <f t="shared" si="5"/>
        <v>554.88888888888891</v>
      </c>
      <c r="P40" s="32"/>
    </row>
    <row r="41" spans="1:17" s="12" customFormat="1">
      <c r="A41" s="12">
        <v>1.5</v>
      </c>
      <c r="B41" s="3" t="s">
        <v>104</v>
      </c>
      <c r="C41" s="32">
        <f t="shared" si="2"/>
        <v>123.1111111111111</v>
      </c>
      <c r="D41" s="32">
        <f t="shared" ref="D41:O42" si="6">D11/$A41</f>
        <v>23.333333333333332</v>
      </c>
      <c r="E41" s="32">
        <f t="shared" si="6"/>
        <v>33.333333333333336</v>
      </c>
      <c r="F41" s="32">
        <f t="shared" si="6"/>
        <v>20.222222222222221</v>
      </c>
      <c r="G41" s="32">
        <f t="shared" si="6"/>
        <v>23.333333333333332</v>
      </c>
      <c r="H41" s="32">
        <f t="shared" si="6"/>
        <v>0.22222222222222221</v>
      </c>
      <c r="I41" s="32">
        <f t="shared" si="6"/>
        <v>68.222222222222214</v>
      </c>
      <c r="J41" s="32">
        <f t="shared" si="6"/>
        <v>78.444444444444443</v>
      </c>
      <c r="K41" s="32">
        <f t="shared" si="6"/>
        <v>0</v>
      </c>
      <c r="L41" s="32">
        <f t="shared" si="6"/>
        <v>59.333333333333336</v>
      </c>
      <c r="M41" s="32">
        <f t="shared" si="6"/>
        <v>32</v>
      </c>
      <c r="N41" s="32">
        <f t="shared" si="6"/>
        <v>53.333333333333336</v>
      </c>
      <c r="O41" s="32">
        <f t="shared" si="6"/>
        <v>13.333333333333334</v>
      </c>
      <c r="P41" s="32"/>
    </row>
    <row r="42" spans="1:17" s="12" customFormat="1">
      <c r="A42" s="12">
        <v>1.5</v>
      </c>
      <c r="B42" s="3" t="s">
        <v>132</v>
      </c>
      <c r="C42" s="32">
        <f t="shared" si="2"/>
        <v>90.8888888888889</v>
      </c>
      <c r="D42" s="32">
        <f>D12/$A42</f>
        <v>111.1111111111111</v>
      </c>
      <c r="E42" s="32">
        <f>E12/$A42</f>
        <v>1.1111111111111112</v>
      </c>
      <c r="F42" s="32">
        <f t="shared" si="6"/>
        <v>9.5555555555555554</v>
      </c>
      <c r="G42" s="32">
        <f t="shared" si="6"/>
        <v>30.666666666666668</v>
      </c>
      <c r="H42" s="32">
        <f t="shared" si="6"/>
        <v>27.111111111111111</v>
      </c>
      <c r="I42" s="32">
        <f t="shared" si="6"/>
        <v>144</v>
      </c>
      <c r="J42" s="32">
        <f t="shared" si="6"/>
        <v>15.333333333333334</v>
      </c>
      <c r="K42" s="32">
        <f>K12/$A42</f>
        <v>492.22222222222223</v>
      </c>
      <c r="L42" s="32">
        <f t="shared" si="6"/>
        <v>8.4444444444444446</v>
      </c>
      <c r="M42" s="32">
        <f t="shared" si="6"/>
        <v>213.33333333333334</v>
      </c>
      <c r="N42" s="32">
        <f t="shared" si="6"/>
        <v>208.2222222222222</v>
      </c>
      <c r="O42" s="32">
        <f t="shared" si="6"/>
        <v>158.44444444444443</v>
      </c>
      <c r="P42" s="3"/>
      <c r="Q42" s="36"/>
    </row>
    <row r="43" spans="1:17">
      <c r="A43" s="12">
        <v>0.5</v>
      </c>
      <c r="B43" s="3" t="s">
        <v>77</v>
      </c>
      <c r="C43" s="32">
        <f t="shared" si="2"/>
        <v>1064</v>
      </c>
      <c r="D43" s="32">
        <f t="shared" ref="D43:O43" si="7">D13/$A43</f>
        <v>378</v>
      </c>
      <c r="E43" s="32">
        <f t="shared" si="7"/>
        <v>436.66666666666669</v>
      </c>
      <c r="F43" s="32">
        <f t="shared" si="7"/>
        <v>236.66666666666666</v>
      </c>
      <c r="G43" s="32">
        <f t="shared" si="7"/>
        <v>587.33333333333337</v>
      </c>
      <c r="H43" s="32">
        <f t="shared" si="7"/>
        <v>170.66666666666666</v>
      </c>
      <c r="I43" s="32">
        <f t="shared" si="7"/>
        <v>570.66666666666663</v>
      </c>
      <c r="J43" s="32">
        <f t="shared" si="7"/>
        <v>736.66666666666663</v>
      </c>
      <c r="K43" s="32">
        <f t="shared" si="7"/>
        <v>714</v>
      </c>
      <c r="L43" s="32">
        <f t="shared" si="7"/>
        <v>785.33333333333337</v>
      </c>
      <c r="M43" s="32">
        <f t="shared" si="7"/>
        <v>830.66666666666663</v>
      </c>
      <c r="N43" s="32">
        <f t="shared" si="7"/>
        <v>825.33333333333337</v>
      </c>
      <c r="O43" s="32">
        <f t="shared" si="7"/>
        <v>1034.6666666666667</v>
      </c>
      <c r="P43" s="32"/>
    </row>
    <row r="44" spans="1:17">
      <c r="A44" s="12">
        <v>5</v>
      </c>
      <c r="B44" s="3" t="s">
        <v>78</v>
      </c>
      <c r="C44" s="32">
        <f t="shared" ref="C44:O44" si="8">C14/$A44</f>
        <v>541.73333333333335</v>
      </c>
      <c r="D44" s="32">
        <f t="shared" si="8"/>
        <v>194.46666666666667</v>
      </c>
      <c r="E44" s="32">
        <f t="shared" si="8"/>
        <v>277.46666666666664</v>
      </c>
      <c r="F44" s="32">
        <f t="shared" si="8"/>
        <v>234</v>
      </c>
      <c r="G44" s="32">
        <f t="shared" si="8"/>
        <v>269</v>
      </c>
      <c r="H44" s="32">
        <f t="shared" si="8"/>
        <v>299.33333333333337</v>
      </c>
      <c r="I44" s="32">
        <f t="shared" si="8"/>
        <v>579.4</v>
      </c>
      <c r="J44" s="32">
        <f t="shared" si="8"/>
        <v>381.8</v>
      </c>
      <c r="K44" s="32">
        <f t="shared" si="8"/>
        <v>547.06666666666672</v>
      </c>
      <c r="L44" s="32">
        <f t="shared" si="8"/>
        <v>314.26666666666665</v>
      </c>
      <c r="M44" s="32">
        <f t="shared" si="8"/>
        <v>909.6</v>
      </c>
      <c r="N44" s="32">
        <f t="shared" si="8"/>
        <v>421.13333333333333</v>
      </c>
      <c r="O44" s="32">
        <f t="shared" si="8"/>
        <v>348.66666666666663</v>
      </c>
      <c r="P44" s="32"/>
      <c r="Q44" s="19"/>
    </row>
    <row r="45" spans="1:17">
      <c r="A45" s="12">
        <v>2</v>
      </c>
      <c r="B45" s="3" t="s">
        <v>79</v>
      </c>
      <c r="C45" s="32">
        <f>C15/$A45</f>
        <v>266.33333333333331</v>
      </c>
      <c r="D45" s="32">
        <f t="shared" ref="D45:O45" si="9">D15/$A45</f>
        <v>106.66666666666667</v>
      </c>
      <c r="E45" s="32">
        <f t="shared" si="9"/>
        <v>209.16666666666666</v>
      </c>
      <c r="F45" s="32">
        <f t="shared" si="9"/>
        <v>111.66666666666667</v>
      </c>
      <c r="G45" s="32">
        <f t="shared" si="9"/>
        <v>153.33333333333334</v>
      </c>
      <c r="H45" s="32">
        <f t="shared" si="9"/>
        <v>249.16666666666666</v>
      </c>
      <c r="I45" s="32">
        <f t="shared" si="9"/>
        <v>322</v>
      </c>
      <c r="J45" s="32">
        <f t="shared" si="9"/>
        <v>196.83333333333334</v>
      </c>
      <c r="K45" s="32">
        <f t="shared" si="9"/>
        <v>407.83333333333331</v>
      </c>
      <c r="L45" s="32">
        <f t="shared" si="9"/>
        <v>221.83333333333334</v>
      </c>
      <c r="M45" s="32">
        <f t="shared" si="9"/>
        <v>379.83333333333331</v>
      </c>
      <c r="N45" s="32">
        <f t="shared" si="9"/>
        <v>298.5</v>
      </c>
      <c r="O45" s="32">
        <f t="shared" si="9"/>
        <v>221.83333333333334</v>
      </c>
      <c r="P45" s="32"/>
      <c r="Q45" s="18"/>
    </row>
    <row r="46" spans="1:17">
      <c r="A46" s="12">
        <v>50</v>
      </c>
      <c r="B46" s="3" t="s">
        <v>80</v>
      </c>
      <c r="C46" s="32">
        <f>C16/$A46</f>
        <v>3501.0133333333333</v>
      </c>
      <c r="D46" s="32">
        <f t="shared" ref="D46:O46" si="10">D16/$A46</f>
        <v>144.94333333333333</v>
      </c>
      <c r="E46" s="32">
        <f t="shared" si="10"/>
        <v>1187.0716666666667</v>
      </c>
      <c r="F46" s="32">
        <f t="shared" si="10"/>
        <v>213.90599999999998</v>
      </c>
      <c r="G46" s="32">
        <f t="shared" si="10"/>
        <v>349.62066666666664</v>
      </c>
      <c r="H46" s="32">
        <f t="shared" si="10"/>
        <v>117.23</v>
      </c>
      <c r="I46" s="32">
        <f t="shared" si="10"/>
        <v>737.56333333333328</v>
      </c>
      <c r="J46" s="32">
        <f t="shared" si="10"/>
        <v>151.79666666666665</v>
      </c>
      <c r="K46" s="32">
        <f t="shared" si="10"/>
        <v>933.25733333333335</v>
      </c>
      <c r="L46" s="32">
        <f t="shared" si="10"/>
        <v>2007.14</v>
      </c>
      <c r="M46" s="32">
        <f t="shared" si="10"/>
        <v>1560.5811333333331</v>
      </c>
      <c r="N46" s="32">
        <f t="shared" si="10"/>
        <v>1773.3136666666667</v>
      </c>
      <c r="O46" s="32">
        <f t="shared" si="10"/>
        <v>3055.4686666666662</v>
      </c>
      <c r="P46" s="32"/>
      <c r="Q46" s="18"/>
    </row>
    <row r="47" spans="1:17">
      <c r="A47" s="173">
        <v>0.05</v>
      </c>
      <c r="B47" s="7" t="s">
        <v>81</v>
      </c>
      <c r="C47" s="33">
        <f>C17/$A47</f>
        <v>342.74494322690521</v>
      </c>
      <c r="D47" s="33">
        <f t="shared" ref="D47:O47" si="11">D17/$A47</f>
        <v>339.99034069920458</v>
      </c>
      <c r="E47" s="33">
        <f t="shared" si="11"/>
        <v>376.08421213042396</v>
      </c>
      <c r="F47" s="33">
        <f>F17/$A47</f>
        <v>313.67788816236055</v>
      </c>
      <c r="G47" s="33">
        <f t="shared" si="11"/>
        <v>357.53471032694495</v>
      </c>
      <c r="H47" s="33">
        <f t="shared" si="11"/>
        <v>383.72529033820683</v>
      </c>
      <c r="I47" s="33">
        <f t="shared" si="11"/>
        <v>236.15820434472377</v>
      </c>
      <c r="J47" s="33">
        <f t="shared" si="11"/>
        <v>398.91669302931604</v>
      </c>
      <c r="K47" s="33">
        <f t="shared" si="11"/>
        <v>323.64232827688971</v>
      </c>
      <c r="L47" s="33">
        <f t="shared" si="11"/>
        <v>416.68447450401464</v>
      </c>
      <c r="M47" s="33">
        <f t="shared" si="11"/>
        <v>220.23391463459583</v>
      </c>
      <c r="N47" s="33">
        <f t="shared" si="11"/>
        <v>311.59699612720385</v>
      </c>
      <c r="O47" s="33">
        <f t="shared" si="11"/>
        <v>390.29121304424001</v>
      </c>
      <c r="P47" s="32"/>
      <c r="Q47" s="18"/>
    </row>
    <row r="48" spans="1:17">
      <c r="B48" s="62"/>
      <c r="C48" s="66"/>
      <c r="D48" s="6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12"/>
      <c r="Q48" s="18"/>
    </row>
    <row r="49" spans="2:18">
      <c r="B49" s="13" t="s">
        <v>126</v>
      </c>
      <c r="C49" s="20" t="s">
        <v>45</v>
      </c>
      <c r="D49" s="20" t="s">
        <v>46</v>
      </c>
      <c r="E49" s="20" t="s">
        <v>47</v>
      </c>
      <c r="F49" s="20" t="s">
        <v>48</v>
      </c>
      <c r="G49" s="20" t="s">
        <v>49</v>
      </c>
      <c r="H49" s="20" t="s">
        <v>50</v>
      </c>
      <c r="I49" s="20" t="s">
        <v>51</v>
      </c>
      <c r="J49" s="20" t="s">
        <v>52</v>
      </c>
      <c r="K49" s="20" t="s">
        <v>53</v>
      </c>
      <c r="L49" s="20" t="s">
        <v>54</v>
      </c>
      <c r="M49" s="20" t="s">
        <v>55</v>
      </c>
      <c r="N49" s="20" t="s">
        <v>56</v>
      </c>
      <c r="O49" s="20" t="s">
        <v>57</v>
      </c>
      <c r="P49" s="35" t="s">
        <v>128</v>
      </c>
      <c r="Q49" s="18"/>
    </row>
    <row r="50" spans="2:18">
      <c r="B50" s="15" t="s">
        <v>66</v>
      </c>
      <c r="C50" s="73">
        <f t="shared" ref="C50:O50" si="12">(C21/$A36)*$P$50</f>
        <v>127.93333333333334</v>
      </c>
      <c r="D50" s="73">
        <f t="shared" si="12"/>
        <v>58.400000000000006</v>
      </c>
      <c r="E50" s="73">
        <f t="shared" si="12"/>
        <v>57.800000000000004</v>
      </c>
      <c r="F50" s="73">
        <f t="shared" si="12"/>
        <v>48.800000000000004</v>
      </c>
      <c r="G50" s="73">
        <f t="shared" si="12"/>
        <v>49.6</v>
      </c>
      <c r="H50" s="73">
        <f t="shared" si="12"/>
        <v>50.400000000000006</v>
      </c>
      <c r="I50" s="73">
        <f t="shared" si="12"/>
        <v>200.73333333333335</v>
      </c>
      <c r="J50" s="73">
        <f t="shared" si="12"/>
        <v>88.733333333333348</v>
      </c>
      <c r="K50" s="73">
        <f t="shared" si="12"/>
        <v>119.93333333333334</v>
      </c>
      <c r="L50" s="73">
        <f t="shared" si="12"/>
        <v>68.933333333333337</v>
      </c>
      <c r="M50" s="73">
        <f t="shared" si="12"/>
        <v>210.4</v>
      </c>
      <c r="N50" s="73">
        <f t="shared" si="12"/>
        <v>88.866666666666674</v>
      </c>
      <c r="O50" s="73">
        <f t="shared" si="12"/>
        <v>76.533333333333346</v>
      </c>
      <c r="P50" s="388">
        <v>0.4</v>
      </c>
      <c r="Q50" s="18"/>
    </row>
    <row r="51" spans="2:18">
      <c r="B51" s="15" t="s">
        <v>19</v>
      </c>
      <c r="C51" s="73">
        <f t="shared" ref="C51:O51" si="13">(C22/$A37)*$P$50</f>
        <v>134</v>
      </c>
      <c r="D51" s="73">
        <f t="shared" si="13"/>
        <v>52.266666666666666</v>
      </c>
      <c r="E51" s="73">
        <f t="shared" si="13"/>
        <v>68.933333333333337</v>
      </c>
      <c r="F51" s="73">
        <f t="shared" si="13"/>
        <v>46.133333333333333</v>
      </c>
      <c r="G51" s="73">
        <f t="shared" si="13"/>
        <v>53.266666666666666</v>
      </c>
      <c r="H51" s="73">
        <f t="shared" si="13"/>
        <v>54.13333333333334</v>
      </c>
      <c r="I51" s="73">
        <f t="shared" si="13"/>
        <v>178.86666666666667</v>
      </c>
      <c r="J51" s="73">
        <f t="shared" si="13"/>
        <v>93.266666666666666</v>
      </c>
      <c r="K51" s="73">
        <f t="shared" si="13"/>
        <v>123.4</v>
      </c>
      <c r="L51" s="73">
        <f t="shared" si="13"/>
        <v>70.600000000000009</v>
      </c>
      <c r="M51" s="73">
        <f t="shared" si="13"/>
        <v>212.66666666666666</v>
      </c>
      <c r="N51" s="73">
        <f t="shared" si="13"/>
        <v>95.2</v>
      </c>
      <c r="O51" s="73">
        <f t="shared" si="13"/>
        <v>62.13333333333334</v>
      </c>
      <c r="P51" s="12"/>
      <c r="Q51" s="18"/>
    </row>
    <row r="52" spans="2:18" ht="17.25" customHeight="1">
      <c r="B52" s="15" t="s">
        <v>67</v>
      </c>
      <c r="C52" s="73">
        <f t="shared" ref="C52:O52" si="14">(C23/$A38)*$P$50</f>
        <v>136.20000000000002</v>
      </c>
      <c r="D52" s="73">
        <f t="shared" si="14"/>
        <v>49.800000000000004</v>
      </c>
      <c r="E52" s="73">
        <f t="shared" si="14"/>
        <v>67.066666666666663</v>
      </c>
      <c r="F52" s="73">
        <f t="shared" si="14"/>
        <v>43.6</v>
      </c>
      <c r="G52" s="73">
        <f t="shared" si="14"/>
        <v>51.866666666666667</v>
      </c>
      <c r="H52" s="73">
        <f t="shared" si="14"/>
        <v>54.800000000000004</v>
      </c>
      <c r="I52" s="73">
        <f t="shared" si="14"/>
        <v>169.86666666666667</v>
      </c>
      <c r="J52" s="73">
        <f t="shared" si="14"/>
        <v>95.933333333333337</v>
      </c>
      <c r="K52" s="73">
        <f t="shared" si="14"/>
        <v>127.46666666666668</v>
      </c>
      <c r="L52" s="73">
        <f t="shared" si="14"/>
        <v>69.533333333333346</v>
      </c>
      <c r="M52" s="73">
        <f t="shared" si="14"/>
        <v>188.8</v>
      </c>
      <c r="N52" s="73">
        <f t="shared" si="14"/>
        <v>95</v>
      </c>
      <c r="O52" s="73">
        <f t="shared" si="14"/>
        <v>64.8</v>
      </c>
      <c r="P52" s="12"/>
      <c r="Q52" s="18"/>
    </row>
    <row r="53" spans="2:18">
      <c r="B53" s="15" t="s">
        <v>68</v>
      </c>
      <c r="C53" s="73">
        <f t="shared" ref="C53:O53" si="15">(C24/$A40)*$P$50</f>
        <v>166.93333333333334</v>
      </c>
      <c r="D53" s="73">
        <f t="shared" si="15"/>
        <v>59.82222222222223</v>
      </c>
      <c r="E53" s="73">
        <f t="shared" si="15"/>
        <v>76.355555555555554</v>
      </c>
      <c r="F53" s="73">
        <f t="shared" si="15"/>
        <v>48.177777777777777</v>
      </c>
      <c r="G53" s="73">
        <f t="shared" si="15"/>
        <v>74.666666666666671</v>
      </c>
      <c r="H53" s="73">
        <f t="shared" si="15"/>
        <v>71.644444444444446</v>
      </c>
      <c r="I53" s="73">
        <f t="shared" si="15"/>
        <v>128.17777777777778</v>
      </c>
      <c r="J53" s="73">
        <f t="shared" si="15"/>
        <v>113.24444444444447</v>
      </c>
      <c r="K53" s="73">
        <f t="shared" si="15"/>
        <v>163.82222222222225</v>
      </c>
      <c r="L53" s="73">
        <f t="shared" si="15"/>
        <v>112.0888888888889</v>
      </c>
      <c r="M53" s="73">
        <f t="shared" si="15"/>
        <v>159.55555555555557</v>
      </c>
      <c r="N53" s="73">
        <f t="shared" si="15"/>
        <v>113.15555555555555</v>
      </c>
      <c r="O53" s="73">
        <f t="shared" si="15"/>
        <v>101.77777777777779</v>
      </c>
      <c r="P53" s="12"/>
      <c r="Q53" s="18"/>
    </row>
    <row r="54" spans="2:18">
      <c r="B54" s="15" t="s">
        <v>102</v>
      </c>
      <c r="C54" s="73">
        <f t="shared" ref="C54:O54" si="16">(C25/$A41)*$P$50</f>
        <v>30.844444444444449</v>
      </c>
      <c r="D54" s="73">
        <f t="shared" si="16"/>
        <v>6.9333333333333336</v>
      </c>
      <c r="E54" s="73">
        <f t="shared" si="16"/>
        <v>8</v>
      </c>
      <c r="F54" s="73">
        <f t="shared" si="16"/>
        <v>5.6888888888888891</v>
      </c>
      <c r="G54" s="73">
        <f t="shared" si="16"/>
        <v>4.7111111111111112</v>
      </c>
      <c r="H54" s="73">
        <f t="shared" si="16"/>
        <v>8.8888888888888892E-2</v>
      </c>
      <c r="I54" s="73">
        <f t="shared" si="16"/>
        <v>21.333333333333336</v>
      </c>
      <c r="J54" s="73">
        <f t="shared" si="16"/>
        <v>18.400000000000002</v>
      </c>
      <c r="K54" s="73">
        <f t="shared" si="16"/>
        <v>0</v>
      </c>
      <c r="L54" s="73">
        <f t="shared" si="16"/>
        <v>16.533333333333335</v>
      </c>
      <c r="M54" s="73">
        <f t="shared" si="16"/>
        <v>8.1777777777777789</v>
      </c>
      <c r="N54" s="73">
        <f t="shared" si="16"/>
        <v>15.644444444444444</v>
      </c>
      <c r="O54" s="73">
        <f t="shared" si="16"/>
        <v>4.0888888888888895</v>
      </c>
      <c r="P54" s="12"/>
      <c r="Q54" s="18"/>
    </row>
    <row r="55" spans="2:18" s="12" customFormat="1">
      <c r="B55" s="3" t="s">
        <v>98</v>
      </c>
      <c r="C55" s="73">
        <f t="shared" ref="C55:O55" si="17">(C26/$A42)*$P$50</f>
        <v>22.844444444444449</v>
      </c>
      <c r="D55" s="73">
        <f t="shared" si="17"/>
        <v>25.511111111111113</v>
      </c>
      <c r="E55" s="73">
        <f t="shared" si="17"/>
        <v>0.44444444444444448</v>
      </c>
      <c r="F55" s="73">
        <f t="shared" si="17"/>
        <v>2.4888888888888889</v>
      </c>
      <c r="G55" s="73">
        <f t="shared" si="17"/>
        <v>4.7111111111111112</v>
      </c>
      <c r="H55" s="73">
        <f t="shared" si="17"/>
        <v>8.8000000000000007</v>
      </c>
      <c r="I55" s="73">
        <f t="shared" si="17"/>
        <v>41.955555555555563</v>
      </c>
      <c r="J55" s="73">
        <f t="shared" si="17"/>
        <v>4.5333333333333341</v>
      </c>
      <c r="K55" s="73">
        <f t="shared" si="17"/>
        <v>90.044444444444451</v>
      </c>
      <c r="L55" s="73">
        <f t="shared" si="17"/>
        <v>2.5777777777777775</v>
      </c>
      <c r="M55" s="73">
        <f t="shared" si="17"/>
        <v>53.688888888888897</v>
      </c>
      <c r="N55" s="73">
        <f t="shared" si="17"/>
        <v>45.688888888888897</v>
      </c>
      <c r="O55" s="73">
        <f t="shared" si="17"/>
        <v>41.155555555555566</v>
      </c>
      <c r="P55" s="3"/>
      <c r="Q55" s="36"/>
    </row>
    <row r="56" spans="2:18">
      <c r="B56" s="15" t="s">
        <v>69</v>
      </c>
      <c r="C56" s="73">
        <f t="shared" ref="C56:O56" si="18">(C27/$A36)*$P$50</f>
        <v>253.46666666666667</v>
      </c>
      <c r="D56" s="73">
        <f t="shared" si="18"/>
        <v>132.46666666666667</v>
      </c>
      <c r="E56" s="73">
        <f t="shared" si="18"/>
        <v>162</v>
      </c>
      <c r="F56" s="73">
        <f t="shared" si="18"/>
        <v>118.60000000000001</v>
      </c>
      <c r="G56" s="73">
        <f t="shared" si="18"/>
        <v>153.33333333333334</v>
      </c>
      <c r="H56" s="73">
        <f t="shared" si="18"/>
        <v>150.66666666666669</v>
      </c>
      <c r="I56" s="73">
        <f t="shared" si="18"/>
        <v>325.73333333333335</v>
      </c>
      <c r="J56" s="73">
        <f t="shared" si="18"/>
        <v>192.8</v>
      </c>
      <c r="K56" s="73">
        <f t="shared" si="18"/>
        <v>301.26666666666665</v>
      </c>
      <c r="L56" s="73">
        <f t="shared" si="18"/>
        <v>195.73333333333335</v>
      </c>
      <c r="M56" s="73">
        <f t="shared" si="18"/>
        <v>467.33333333333331</v>
      </c>
      <c r="N56" s="73">
        <f t="shared" si="18"/>
        <v>215.86666666666667</v>
      </c>
      <c r="O56" s="73">
        <f t="shared" si="18"/>
        <v>227.93333333333337</v>
      </c>
      <c r="P56" s="12"/>
      <c r="Q56" s="18"/>
    </row>
    <row r="57" spans="2:18">
      <c r="B57" s="15" t="s">
        <v>23</v>
      </c>
      <c r="C57" s="73">
        <f t="shared" ref="C57:O57" si="19">(C28/$A37)*$P$50</f>
        <v>211.60000000000002</v>
      </c>
      <c r="D57" s="73">
        <f t="shared" si="19"/>
        <v>102.4</v>
      </c>
      <c r="E57" s="73">
        <f t="shared" si="19"/>
        <v>146.66666666666669</v>
      </c>
      <c r="F57" s="73">
        <f t="shared" si="19"/>
        <v>94.533333333333346</v>
      </c>
      <c r="G57" s="73">
        <f t="shared" si="19"/>
        <v>126.80000000000001</v>
      </c>
      <c r="H57" s="73">
        <f t="shared" si="19"/>
        <v>132.20000000000002</v>
      </c>
      <c r="I57" s="73">
        <f t="shared" si="19"/>
        <v>267.40000000000003</v>
      </c>
      <c r="J57" s="73">
        <f t="shared" si="19"/>
        <v>177.20000000000002</v>
      </c>
      <c r="K57" s="73">
        <f t="shared" si="19"/>
        <v>267.2</v>
      </c>
      <c r="L57" s="73">
        <f t="shared" si="19"/>
        <v>169.4</v>
      </c>
      <c r="M57" s="73">
        <f t="shared" si="19"/>
        <v>370.66666666666669</v>
      </c>
      <c r="N57" s="73">
        <f t="shared" si="19"/>
        <v>193.20000000000002</v>
      </c>
      <c r="O57" s="73">
        <f t="shared" si="19"/>
        <v>175.33333333333334</v>
      </c>
      <c r="P57" s="12"/>
      <c r="Q57" s="18"/>
    </row>
    <row r="58" spans="2:18">
      <c r="B58" s="15" t="s">
        <v>70</v>
      </c>
      <c r="C58" s="73">
        <f t="shared" ref="C58:O58" si="20">(C29/$A38)*$P$50</f>
        <v>191</v>
      </c>
      <c r="D58" s="73">
        <f t="shared" si="20"/>
        <v>86.066666666666663</v>
      </c>
      <c r="E58" s="73">
        <f t="shared" si="20"/>
        <v>124</v>
      </c>
      <c r="F58" s="73">
        <f t="shared" si="20"/>
        <v>78.866666666666674</v>
      </c>
      <c r="G58" s="73">
        <f t="shared" si="20"/>
        <v>109.4</v>
      </c>
      <c r="H58" s="73">
        <f t="shared" si="20"/>
        <v>112.60000000000001</v>
      </c>
      <c r="I58" s="73">
        <f t="shared" si="20"/>
        <v>236.26666666666665</v>
      </c>
      <c r="J58" s="73">
        <f t="shared" si="20"/>
        <v>162.26666666666668</v>
      </c>
      <c r="K58" s="73">
        <f t="shared" si="20"/>
        <v>234.20000000000002</v>
      </c>
      <c r="L58" s="73">
        <f t="shared" si="20"/>
        <v>152.13333333333333</v>
      </c>
      <c r="M58" s="73">
        <f t="shared" si="20"/>
        <v>291.26666666666665</v>
      </c>
      <c r="N58" s="73">
        <f t="shared" si="20"/>
        <v>170.4</v>
      </c>
      <c r="O58" s="73">
        <f t="shared" si="20"/>
        <v>154.93333333333334</v>
      </c>
      <c r="P58" s="12"/>
      <c r="Q58" s="18"/>
    </row>
    <row r="59" spans="2:18">
      <c r="B59" s="15" t="s">
        <v>71</v>
      </c>
      <c r="C59" s="73">
        <f t="shared" ref="C59:O59" si="21">(C30/$A40)*$P$50</f>
        <v>159.91111111111113</v>
      </c>
      <c r="D59" s="73">
        <f t="shared" si="21"/>
        <v>76</v>
      </c>
      <c r="E59" s="73">
        <f t="shared" si="21"/>
        <v>102.66666666666669</v>
      </c>
      <c r="F59" s="73">
        <f t="shared" si="21"/>
        <v>60.44444444444445</v>
      </c>
      <c r="G59" s="73">
        <f t="shared" si="21"/>
        <v>99.466666666666669</v>
      </c>
      <c r="H59" s="73">
        <f t="shared" si="21"/>
        <v>100.71111111111112</v>
      </c>
      <c r="I59" s="73">
        <f t="shared" si="21"/>
        <v>124.53333333333333</v>
      </c>
      <c r="J59" s="73">
        <f t="shared" si="21"/>
        <v>141.33333333333334</v>
      </c>
      <c r="K59" s="73">
        <f t="shared" si="21"/>
        <v>210.57777777777778</v>
      </c>
      <c r="L59" s="73">
        <f t="shared" si="21"/>
        <v>149.33333333333334</v>
      </c>
      <c r="M59" s="73">
        <f t="shared" si="21"/>
        <v>160.97777777777776</v>
      </c>
      <c r="N59" s="73">
        <f t="shared" si="21"/>
        <v>130.66666666666669</v>
      </c>
      <c r="O59" s="73">
        <f t="shared" si="21"/>
        <v>154.4</v>
      </c>
      <c r="P59" s="12"/>
      <c r="Q59" s="18"/>
    </row>
    <row r="60" spans="2:18">
      <c r="B60" s="15" t="s">
        <v>103</v>
      </c>
      <c r="C60" s="73">
        <f t="shared" ref="C60:O60" si="22">(C31/$A41)*$P$50</f>
        <v>24.977777777777781</v>
      </c>
      <c r="D60" s="73">
        <f t="shared" si="22"/>
        <v>7.1111111111111116</v>
      </c>
      <c r="E60" s="73">
        <f t="shared" si="22"/>
        <v>6.3111111111111118</v>
      </c>
      <c r="F60" s="73">
        <f t="shared" si="22"/>
        <v>5.6000000000000005</v>
      </c>
      <c r="G60" s="73">
        <f t="shared" si="22"/>
        <v>6.844444444444445</v>
      </c>
      <c r="H60" s="73">
        <f t="shared" si="22"/>
        <v>0</v>
      </c>
      <c r="I60" s="73">
        <f t="shared" si="22"/>
        <v>15.111111111111112</v>
      </c>
      <c r="J60" s="73">
        <f t="shared" si="22"/>
        <v>20.977777777777781</v>
      </c>
      <c r="K60" s="73">
        <f t="shared" si="22"/>
        <v>0</v>
      </c>
      <c r="L60" s="73">
        <f t="shared" si="22"/>
        <v>15.733333333333334</v>
      </c>
      <c r="M60" s="73">
        <f t="shared" si="22"/>
        <v>7.822222222222222</v>
      </c>
      <c r="N60" s="73">
        <f t="shared" si="22"/>
        <v>12.177777777777777</v>
      </c>
      <c r="O60" s="73">
        <f t="shared" si="22"/>
        <v>2.9333333333333336</v>
      </c>
      <c r="P60" s="12"/>
      <c r="Q60" s="18"/>
    </row>
    <row r="61" spans="2:18" s="12" customFormat="1">
      <c r="B61" s="7" t="s">
        <v>100</v>
      </c>
      <c r="C61" s="199">
        <f t="shared" ref="C61:O61" si="23">(C32/$A42)*$P$50</f>
        <v>21.866666666666667</v>
      </c>
      <c r="D61" s="199">
        <f t="shared" si="23"/>
        <v>29.244444444444447</v>
      </c>
      <c r="E61" s="199">
        <f t="shared" si="23"/>
        <v>0.35555555555555557</v>
      </c>
      <c r="F61" s="199">
        <f t="shared" si="23"/>
        <v>2.8444444444444446</v>
      </c>
      <c r="G61" s="199">
        <f t="shared" si="23"/>
        <v>9.1555555555555568</v>
      </c>
      <c r="H61" s="199">
        <f t="shared" si="23"/>
        <v>5.2444444444444454</v>
      </c>
      <c r="I61" s="199">
        <f t="shared" si="23"/>
        <v>36.088888888888896</v>
      </c>
      <c r="J61" s="199">
        <f t="shared" si="23"/>
        <v>2.9333333333333336</v>
      </c>
      <c r="K61" s="199">
        <f t="shared" si="23"/>
        <v>121.42222222222222</v>
      </c>
      <c r="L61" s="199">
        <f t="shared" si="23"/>
        <v>1.7777777777777779</v>
      </c>
      <c r="M61" s="199">
        <f t="shared" si="23"/>
        <v>57.688888888888897</v>
      </c>
      <c r="N61" s="199">
        <f t="shared" si="23"/>
        <v>49.511111111111113</v>
      </c>
      <c r="O61" s="199">
        <f t="shared" si="23"/>
        <v>38.488888888888894</v>
      </c>
      <c r="P61" s="3"/>
      <c r="Q61" s="36"/>
    </row>
    <row r="62" spans="2:18">
      <c r="B62" s="62"/>
      <c r="C62" s="65"/>
      <c r="D62" s="6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14"/>
    </row>
    <row r="63" spans="2:18">
      <c r="B63" s="62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14"/>
      <c r="R63" s="16"/>
    </row>
    <row r="64" spans="2:18" s="12" customFormat="1">
      <c r="B64" s="13" t="s">
        <v>35</v>
      </c>
      <c r="C64" s="20" t="s">
        <v>45</v>
      </c>
      <c r="D64" s="20" t="s">
        <v>46</v>
      </c>
      <c r="E64" s="20" t="s">
        <v>47</v>
      </c>
      <c r="F64" s="20" t="s">
        <v>48</v>
      </c>
      <c r="G64" s="20" t="s">
        <v>49</v>
      </c>
      <c r="H64" s="20" t="s">
        <v>50</v>
      </c>
      <c r="I64" s="20" t="s">
        <v>51</v>
      </c>
      <c r="J64" s="20" t="s">
        <v>52</v>
      </c>
      <c r="K64" s="20" t="s">
        <v>53</v>
      </c>
      <c r="L64" s="20" t="s">
        <v>54</v>
      </c>
      <c r="M64" s="20" t="s">
        <v>55</v>
      </c>
      <c r="N64" s="20" t="s">
        <v>56</v>
      </c>
      <c r="O64" s="20" t="s">
        <v>57</v>
      </c>
      <c r="P64" s="14"/>
      <c r="Q64" s="1"/>
      <c r="R64" s="14"/>
    </row>
    <row r="65" spans="2:18" s="12" customFormat="1">
      <c r="B65" s="3" t="s">
        <v>58</v>
      </c>
      <c r="C65" s="94">
        <v>0.06</v>
      </c>
      <c r="D65" s="94">
        <v>0.06</v>
      </c>
      <c r="E65" s="94">
        <v>0.04</v>
      </c>
      <c r="F65" s="94">
        <v>0.06</v>
      </c>
      <c r="G65" s="94">
        <v>0.06</v>
      </c>
      <c r="H65" s="94">
        <v>0.06</v>
      </c>
      <c r="I65" s="94">
        <v>0.04</v>
      </c>
      <c r="J65" s="94">
        <v>0.04</v>
      </c>
      <c r="K65" s="94">
        <v>0.06</v>
      </c>
      <c r="L65" s="94">
        <v>0.02</v>
      </c>
      <c r="M65" s="94">
        <v>0.04</v>
      </c>
      <c r="N65" s="94">
        <v>0.02</v>
      </c>
      <c r="O65" s="94">
        <v>0.04</v>
      </c>
      <c r="P65" s="14"/>
      <c r="Q65" s="1"/>
      <c r="R65" s="14"/>
    </row>
    <row r="66" spans="2:18" s="12" customFormat="1">
      <c r="B66" s="3" t="s">
        <v>9</v>
      </c>
      <c r="C66" s="94">
        <v>7.0000000000000007E-2</v>
      </c>
      <c r="D66" s="94">
        <v>7.0000000000000007E-2</v>
      </c>
      <c r="E66" s="94">
        <v>0.05</v>
      </c>
      <c r="F66" s="94">
        <v>7.0000000000000007E-2</v>
      </c>
      <c r="G66" s="94">
        <v>7.0000000000000007E-2</v>
      </c>
      <c r="H66" s="94">
        <v>7.0000000000000007E-2</v>
      </c>
      <c r="I66" s="94">
        <v>0.05</v>
      </c>
      <c r="J66" s="94">
        <v>0.05</v>
      </c>
      <c r="K66" s="94">
        <v>7.0000000000000007E-2</v>
      </c>
      <c r="L66" s="94">
        <v>0.03</v>
      </c>
      <c r="M66" s="94">
        <v>0.05</v>
      </c>
      <c r="N66" s="94">
        <v>0.03</v>
      </c>
      <c r="O66" s="94">
        <v>0.05</v>
      </c>
      <c r="P66" s="14"/>
      <c r="Q66" s="1"/>
      <c r="R66" s="14"/>
    </row>
    <row r="67" spans="2:18" s="14" customFormat="1">
      <c r="B67" s="15" t="s">
        <v>59</v>
      </c>
      <c r="C67" s="94">
        <v>7.0000000000000007E-2</v>
      </c>
      <c r="D67" s="94">
        <v>7.0000000000000007E-2</v>
      </c>
      <c r="E67" s="94">
        <v>0.06</v>
      </c>
      <c r="F67" s="94">
        <v>7.0000000000000007E-2</v>
      </c>
      <c r="G67" s="94">
        <v>7.0000000000000007E-2</v>
      </c>
      <c r="H67" s="94">
        <v>7.0000000000000007E-2</v>
      </c>
      <c r="I67" s="94">
        <v>0.06</v>
      </c>
      <c r="J67" s="94">
        <v>0.06</v>
      </c>
      <c r="K67" s="94">
        <v>7.0000000000000007E-2</v>
      </c>
      <c r="L67" s="94">
        <v>0.05</v>
      </c>
      <c r="M67" s="94">
        <v>0.06</v>
      </c>
      <c r="N67" s="94">
        <v>0.05</v>
      </c>
      <c r="O67" s="94">
        <v>0.06</v>
      </c>
      <c r="Q67" s="1"/>
    </row>
    <row r="68" spans="2:18" s="14" customFormat="1">
      <c r="B68" s="15" t="s">
        <v>60</v>
      </c>
      <c r="C68" s="94">
        <v>0.05</v>
      </c>
      <c r="D68" s="94">
        <v>0.1</v>
      </c>
      <c r="E68" s="94">
        <v>0.1</v>
      </c>
      <c r="F68" s="94">
        <v>0.05</v>
      </c>
      <c r="G68" s="94">
        <v>0.05</v>
      </c>
      <c r="H68" s="94">
        <v>0.05</v>
      </c>
      <c r="I68" s="94">
        <v>0.05</v>
      </c>
      <c r="J68" s="94">
        <v>0.05</v>
      </c>
      <c r="K68" s="94">
        <v>0.1</v>
      </c>
      <c r="L68" s="94">
        <v>0.1</v>
      </c>
      <c r="M68" s="94">
        <v>0.05</v>
      </c>
      <c r="N68" s="94">
        <v>0.1</v>
      </c>
      <c r="O68" s="94">
        <v>0.1</v>
      </c>
      <c r="P68" s="21"/>
    </row>
    <row r="69" spans="2:18" s="14" customFormat="1">
      <c r="B69" s="15" t="s">
        <v>61</v>
      </c>
      <c r="C69" s="94">
        <v>0.05</v>
      </c>
      <c r="D69" s="94">
        <v>0.15</v>
      </c>
      <c r="E69" s="94">
        <v>0.1</v>
      </c>
      <c r="F69" s="94">
        <v>0.1</v>
      </c>
      <c r="G69" s="94">
        <v>0.2</v>
      </c>
      <c r="H69" s="94">
        <v>0.1</v>
      </c>
      <c r="I69" s="94">
        <v>0.2</v>
      </c>
      <c r="J69" s="94">
        <v>0.2</v>
      </c>
      <c r="K69" s="94">
        <v>0.2</v>
      </c>
      <c r="L69" s="94">
        <v>0.2</v>
      </c>
      <c r="M69" s="94">
        <v>0.1</v>
      </c>
      <c r="N69" s="94">
        <v>0.2</v>
      </c>
      <c r="O69" s="94">
        <v>0.2</v>
      </c>
      <c r="P69" s="22"/>
      <c r="Q69" s="16"/>
    </row>
    <row r="70" spans="2:18" s="12" customFormat="1">
      <c r="B70" s="3" t="s">
        <v>101</v>
      </c>
      <c r="C70" s="94">
        <v>0.05</v>
      </c>
      <c r="D70" s="94">
        <v>0.01</v>
      </c>
      <c r="E70" s="94">
        <v>0.04</v>
      </c>
      <c r="F70" s="94">
        <v>0.02</v>
      </c>
      <c r="G70" s="94">
        <v>0.03</v>
      </c>
      <c r="H70" s="94">
        <v>0</v>
      </c>
      <c r="I70" s="94">
        <v>7.0000000000000007E-2</v>
      </c>
      <c r="J70" s="94">
        <v>0.17</v>
      </c>
      <c r="K70" s="94">
        <v>0</v>
      </c>
      <c r="L70" s="94">
        <v>0.06</v>
      </c>
      <c r="M70" s="94">
        <v>0.02</v>
      </c>
      <c r="N70" s="94">
        <v>0.04</v>
      </c>
      <c r="O70" s="94">
        <v>0.01</v>
      </c>
      <c r="P70" s="22"/>
      <c r="Q70" s="14"/>
      <c r="R70" s="14"/>
    </row>
    <row r="71" spans="2:18" s="12" customFormat="1">
      <c r="B71" s="3" t="s">
        <v>97</v>
      </c>
      <c r="C71" s="94">
        <v>0.05</v>
      </c>
      <c r="D71" s="94">
        <v>0.09</v>
      </c>
      <c r="E71" s="94">
        <v>0.01</v>
      </c>
      <c r="F71" s="94">
        <v>0.08</v>
      </c>
      <c r="G71" s="94">
        <v>7.0000000000000007E-2</v>
      </c>
      <c r="H71" s="94">
        <v>0.05</v>
      </c>
      <c r="I71" s="94">
        <v>0.13</v>
      </c>
      <c r="J71" s="94">
        <v>0.03</v>
      </c>
      <c r="K71" s="94">
        <v>0.05</v>
      </c>
      <c r="L71" s="94">
        <v>0.14000000000000001</v>
      </c>
      <c r="M71" s="94">
        <v>0.18</v>
      </c>
      <c r="N71" s="94">
        <v>0.16</v>
      </c>
      <c r="O71" s="94">
        <v>0.19</v>
      </c>
      <c r="P71" s="3"/>
      <c r="Q71" s="36"/>
    </row>
    <row r="72" spans="2:18" s="12" customFormat="1">
      <c r="B72" s="3" t="s">
        <v>62</v>
      </c>
      <c r="C72" s="94">
        <v>0.2</v>
      </c>
      <c r="D72" s="94">
        <v>0.05</v>
      </c>
      <c r="E72" s="94">
        <v>0.05</v>
      </c>
      <c r="F72" s="94">
        <v>0.1</v>
      </c>
      <c r="G72" s="94">
        <v>0.05</v>
      </c>
      <c r="H72" s="94">
        <v>0.1</v>
      </c>
      <c r="I72" s="94">
        <v>0.1</v>
      </c>
      <c r="J72" s="94">
        <v>0.1</v>
      </c>
      <c r="K72" s="94">
        <v>0.1</v>
      </c>
      <c r="L72" s="94">
        <v>0.15</v>
      </c>
      <c r="M72" s="94">
        <v>0.1</v>
      </c>
      <c r="N72" s="94">
        <v>0.05</v>
      </c>
      <c r="O72" s="94">
        <v>0.05</v>
      </c>
      <c r="P72" s="21"/>
      <c r="Q72" s="16"/>
      <c r="R72" s="14"/>
    </row>
    <row r="73" spans="2:18" s="12" customFormat="1">
      <c r="B73" s="3" t="s">
        <v>63</v>
      </c>
      <c r="C73" s="94">
        <v>0.1</v>
      </c>
      <c r="D73" s="94">
        <v>0.2</v>
      </c>
      <c r="E73" s="94">
        <v>0.1</v>
      </c>
      <c r="F73" s="94">
        <v>0.2</v>
      </c>
      <c r="G73" s="94">
        <v>0.15</v>
      </c>
      <c r="H73" s="94">
        <v>0.1</v>
      </c>
      <c r="I73" s="94">
        <v>0.1</v>
      </c>
      <c r="J73" s="94">
        <v>0.05</v>
      </c>
      <c r="K73" s="94">
        <v>0.05</v>
      </c>
      <c r="L73" s="94">
        <v>0.05</v>
      </c>
      <c r="M73" s="94">
        <v>0.2</v>
      </c>
      <c r="N73" s="94">
        <v>0.1</v>
      </c>
      <c r="O73" s="94">
        <v>0.1</v>
      </c>
      <c r="P73" s="18"/>
      <c r="Q73" s="16"/>
      <c r="R73" s="14"/>
    </row>
    <row r="74" spans="2:18" s="12" customFormat="1">
      <c r="B74" s="3" t="s">
        <v>16</v>
      </c>
      <c r="C74" s="94">
        <v>0.15</v>
      </c>
      <c r="D74" s="94">
        <v>0.1</v>
      </c>
      <c r="E74" s="94">
        <v>0.2</v>
      </c>
      <c r="F74" s="94">
        <v>0.15</v>
      </c>
      <c r="G74" s="94">
        <v>0.1</v>
      </c>
      <c r="H74" s="94">
        <v>0.2</v>
      </c>
      <c r="I74" s="94">
        <v>0.1</v>
      </c>
      <c r="J74" s="94">
        <v>0.1</v>
      </c>
      <c r="K74" s="94">
        <v>0.15</v>
      </c>
      <c r="L74" s="94">
        <v>0.1</v>
      </c>
      <c r="M74" s="94">
        <v>0.05</v>
      </c>
      <c r="N74" s="94">
        <v>0.15</v>
      </c>
      <c r="O74" s="94">
        <v>0.1</v>
      </c>
      <c r="P74" s="21"/>
      <c r="R74" s="14"/>
    </row>
    <row r="75" spans="2:18" s="12" customFormat="1">
      <c r="B75" s="3" t="s">
        <v>64</v>
      </c>
      <c r="C75" s="94">
        <v>0.1</v>
      </c>
      <c r="D75" s="94">
        <v>0.05</v>
      </c>
      <c r="E75" s="94">
        <v>0.05</v>
      </c>
      <c r="F75" s="94">
        <v>0.05</v>
      </c>
      <c r="G75" s="94">
        <v>0.05</v>
      </c>
      <c r="H75" s="94">
        <v>0.05</v>
      </c>
      <c r="I75" s="94">
        <v>0.05</v>
      </c>
      <c r="J75" s="94">
        <v>0.05</v>
      </c>
      <c r="K75" s="94">
        <v>0.1</v>
      </c>
      <c r="L75" s="94">
        <v>0.05</v>
      </c>
      <c r="M75" s="94">
        <v>0.05</v>
      </c>
      <c r="N75" s="94">
        <v>0.05</v>
      </c>
      <c r="O75" s="94">
        <v>0.05</v>
      </c>
      <c r="P75" s="18"/>
      <c r="R75" s="14"/>
    </row>
    <row r="76" spans="2:18" s="12" customFormat="1">
      <c r="B76" s="7" t="s">
        <v>65</v>
      </c>
      <c r="C76" s="95">
        <v>0.05</v>
      </c>
      <c r="D76" s="95">
        <v>0.05</v>
      </c>
      <c r="E76" s="95">
        <v>0.2</v>
      </c>
      <c r="F76" s="95">
        <v>0.05</v>
      </c>
      <c r="G76" s="95">
        <v>0.1</v>
      </c>
      <c r="H76" s="95">
        <v>0.15</v>
      </c>
      <c r="I76" s="95">
        <v>0.05</v>
      </c>
      <c r="J76" s="95">
        <v>0.1</v>
      </c>
      <c r="K76" s="95">
        <v>0.05</v>
      </c>
      <c r="L76" s="95">
        <v>0.05</v>
      </c>
      <c r="M76" s="95">
        <v>0.1</v>
      </c>
      <c r="N76" s="95">
        <v>0.05</v>
      </c>
      <c r="O76" s="95">
        <v>0.05</v>
      </c>
      <c r="P76" s="21"/>
      <c r="R76" s="14"/>
    </row>
    <row r="77" spans="2:18" s="12" customFormat="1">
      <c r="B77" s="62"/>
      <c r="C77" s="74">
        <f>SUM(C65:C76)</f>
        <v>1</v>
      </c>
      <c r="D77" s="74">
        <f t="shared" ref="D77:O77" si="24">SUM(D65:D76)</f>
        <v>1</v>
      </c>
      <c r="E77" s="74">
        <f>SUM(E65:E76)</f>
        <v>1</v>
      </c>
      <c r="F77" s="74">
        <f t="shared" si="24"/>
        <v>1</v>
      </c>
      <c r="G77" s="74">
        <f>SUM(G65:G76)</f>
        <v>1.0000000000000002</v>
      </c>
      <c r="H77" s="74">
        <f t="shared" si="24"/>
        <v>1</v>
      </c>
      <c r="I77" s="74">
        <f t="shared" si="24"/>
        <v>1</v>
      </c>
      <c r="J77" s="74">
        <f t="shared" si="24"/>
        <v>1.0000000000000002</v>
      </c>
      <c r="K77" s="74">
        <f t="shared" si="24"/>
        <v>1</v>
      </c>
      <c r="L77" s="74">
        <f t="shared" si="24"/>
        <v>1.0000000000000002</v>
      </c>
      <c r="M77" s="74">
        <f t="shared" si="24"/>
        <v>1.0000000000000002</v>
      </c>
      <c r="N77" s="74">
        <f t="shared" si="24"/>
        <v>1</v>
      </c>
      <c r="O77" s="74">
        <f t="shared" si="24"/>
        <v>1</v>
      </c>
      <c r="P77" s="23"/>
      <c r="R77" s="14"/>
    </row>
    <row r="78" spans="2:18">
      <c r="B78" s="62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14"/>
      <c r="R78" s="16"/>
    </row>
    <row r="79" spans="2:18">
      <c r="B79" s="46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12"/>
      <c r="R79" s="16"/>
    </row>
    <row r="80" spans="2:18">
      <c r="B80" s="13" t="s">
        <v>83</v>
      </c>
      <c r="C80" s="20" t="s">
        <v>45</v>
      </c>
      <c r="D80" s="20" t="s">
        <v>46</v>
      </c>
      <c r="E80" s="20" t="s">
        <v>47</v>
      </c>
      <c r="F80" s="20" t="s">
        <v>48</v>
      </c>
      <c r="G80" s="20" t="s">
        <v>49</v>
      </c>
      <c r="H80" s="20" t="s">
        <v>50</v>
      </c>
      <c r="I80" s="20" t="s">
        <v>51</v>
      </c>
      <c r="J80" s="20" t="s">
        <v>52</v>
      </c>
      <c r="K80" s="20" t="s">
        <v>53</v>
      </c>
      <c r="L80" s="20" t="s">
        <v>54</v>
      </c>
      <c r="M80" s="20" t="s">
        <v>55</v>
      </c>
      <c r="N80" s="20" t="s">
        <v>56</v>
      </c>
      <c r="O80" s="20" t="s">
        <v>57</v>
      </c>
      <c r="P80" s="12"/>
    </row>
    <row r="81" spans="1:17">
      <c r="B81" s="3" t="s">
        <v>58</v>
      </c>
      <c r="C81" s="75">
        <f>IF(C36="NA",0, ((C36+C50+C56)*C65))</f>
        <v>92.963999999999999</v>
      </c>
      <c r="D81" s="75">
        <f t="shared" ref="D81:O81" si="25">IF(D36="NA",0, ((D36+D50+D56)*D65))</f>
        <v>43.561999999999998</v>
      </c>
      <c r="E81" s="75">
        <f t="shared" si="25"/>
        <v>39.358666666666664</v>
      </c>
      <c r="F81" s="75">
        <f t="shared" si="25"/>
        <v>38.363999999999997</v>
      </c>
      <c r="G81" s="75">
        <f t="shared" si="25"/>
        <v>47.176000000000002</v>
      </c>
      <c r="H81" s="75">
        <f t="shared" si="25"/>
        <v>54.744000000000007</v>
      </c>
      <c r="I81" s="75">
        <f t="shared" si="25"/>
        <v>68.265333333333345</v>
      </c>
      <c r="J81" s="75">
        <f t="shared" si="25"/>
        <v>42.088000000000001</v>
      </c>
      <c r="K81" s="75">
        <f t="shared" si="25"/>
        <v>111.492</v>
      </c>
      <c r="L81" s="75">
        <f t="shared" si="25"/>
        <v>21.42</v>
      </c>
      <c r="M81" s="75">
        <f t="shared" si="25"/>
        <v>94.862666666666669</v>
      </c>
      <c r="N81" s="75">
        <f t="shared" si="25"/>
        <v>26.781333333333333</v>
      </c>
      <c r="O81" s="75">
        <f t="shared" si="25"/>
        <v>50.058666666666667</v>
      </c>
      <c r="P81" s="12"/>
    </row>
    <row r="82" spans="1:17">
      <c r="B82" s="3" t="s">
        <v>9</v>
      </c>
      <c r="C82" s="75">
        <f>IF(C37="NA",0, ((C37+C51+C57)*C66))</f>
        <v>86.970333333333343</v>
      </c>
      <c r="D82" s="75">
        <f t="shared" ref="D82:O82" si="26">IF(D37="NA",0, ((D37+D51+D57)*D66))</f>
        <v>37.485000000000007</v>
      </c>
      <c r="E82" s="75">
        <f t="shared" si="26"/>
        <v>42.363333333333337</v>
      </c>
      <c r="F82" s="75">
        <f t="shared" si="26"/>
        <v>32.526666666666671</v>
      </c>
      <c r="G82" s="75">
        <f t="shared" si="26"/>
        <v>42.739666666666665</v>
      </c>
      <c r="H82" s="75">
        <f t="shared" si="26"/>
        <v>51.32166666666668</v>
      </c>
      <c r="I82" s="75">
        <f t="shared" si="26"/>
        <v>69.096666666666678</v>
      </c>
      <c r="J82" s="75">
        <f t="shared" si="26"/>
        <v>45.806666666666672</v>
      </c>
      <c r="K82" s="75">
        <f t="shared" si="26"/>
        <v>109.14866666666668</v>
      </c>
      <c r="L82" s="75">
        <f t="shared" si="26"/>
        <v>26.065000000000001</v>
      </c>
      <c r="M82" s="75">
        <f t="shared" si="26"/>
        <v>95.40000000000002</v>
      </c>
      <c r="N82" s="75">
        <f t="shared" si="26"/>
        <v>32.391999999999996</v>
      </c>
      <c r="O82" s="75">
        <f t="shared" si="26"/>
        <v>44.906666666666666</v>
      </c>
      <c r="P82" s="12"/>
    </row>
    <row r="83" spans="1:17" s="16" customFormat="1">
      <c r="A83" s="14"/>
      <c r="B83" s="15" t="s">
        <v>59</v>
      </c>
      <c r="C83" s="75">
        <f>IF(C38="NA",0, ((C38+C52+C58)*C67))</f>
        <v>77.539000000000016</v>
      </c>
      <c r="D83" s="75">
        <f t="shared" ref="D83:O83" si="27">IF(D38="NA",0, ((D38+D52+D58)*D67))</f>
        <v>31.572333333333336</v>
      </c>
      <c r="E83" s="75">
        <f t="shared" si="27"/>
        <v>42.453999999999994</v>
      </c>
      <c r="F83" s="75">
        <f t="shared" si="27"/>
        <v>26.574333333333339</v>
      </c>
      <c r="G83" s="75">
        <f t="shared" si="27"/>
        <v>36.885333333333342</v>
      </c>
      <c r="H83" s="75">
        <f t="shared" si="27"/>
        <v>43.416333333333341</v>
      </c>
      <c r="I83" s="75">
        <f t="shared" si="27"/>
        <v>72.748000000000005</v>
      </c>
      <c r="J83" s="75">
        <f t="shared" si="27"/>
        <v>50.172000000000004</v>
      </c>
      <c r="K83" s="75">
        <f t="shared" si="27"/>
        <v>93.321666666666687</v>
      </c>
      <c r="L83" s="75">
        <f t="shared" si="27"/>
        <v>38.35</v>
      </c>
      <c r="M83" s="75">
        <f t="shared" si="27"/>
        <v>88.513999999999996</v>
      </c>
      <c r="N83" s="75">
        <f t="shared" si="27"/>
        <v>47.77</v>
      </c>
      <c r="O83" s="75">
        <f t="shared" si="27"/>
        <v>46.983999999999995</v>
      </c>
      <c r="P83" s="14"/>
    </row>
    <row r="84" spans="1:17" s="16" customFormat="1">
      <c r="A84" s="14"/>
      <c r="B84" s="15" t="s">
        <v>60</v>
      </c>
      <c r="C84" s="75">
        <f>C39*C68</f>
        <v>31.508333333333333</v>
      </c>
      <c r="D84" s="75">
        <f t="shared" ref="D84:O84" si="28">D39*D68</f>
        <v>36.450000000000003</v>
      </c>
      <c r="E84" s="75">
        <f t="shared" si="28"/>
        <v>43.216666666666669</v>
      </c>
      <c r="F84" s="75">
        <f t="shared" si="28"/>
        <v>22.625</v>
      </c>
      <c r="G84" s="75">
        <f t="shared" si="28"/>
        <v>24.491666666666667</v>
      </c>
      <c r="H84" s="75">
        <f t="shared" si="28"/>
        <v>23.116666666666667</v>
      </c>
      <c r="I84" s="75">
        <f t="shared" si="28"/>
        <v>27.016666666666669</v>
      </c>
      <c r="J84" s="75">
        <f t="shared" si="28"/>
        <v>17.491666666666667</v>
      </c>
      <c r="K84" s="75">
        <f t="shared" si="28"/>
        <v>71.916666666666671</v>
      </c>
      <c r="L84" s="75">
        <f t="shared" si="28"/>
        <v>82.966666666666669</v>
      </c>
      <c r="M84" s="75">
        <f t="shared" si="28"/>
        <v>11.65</v>
      </c>
      <c r="N84" s="75">
        <f t="shared" si="28"/>
        <v>88.65</v>
      </c>
      <c r="O84" s="75">
        <f t="shared" si="28"/>
        <v>71.333333333333343</v>
      </c>
      <c r="P84" s="14"/>
    </row>
    <row r="85" spans="1:17" s="16" customFormat="1">
      <c r="A85" s="14"/>
      <c r="B85" s="15" t="s">
        <v>61</v>
      </c>
      <c r="C85" s="75">
        <f>IF(C40="NA",0, ((C40+C53+C59)*C69))</f>
        <v>49.053333333333342</v>
      </c>
      <c r="D85" s="75">
        <f t="shared" ref="D85:O85" si="29">IF(D40="NA",0, ((D40+D53+D59)*D69))</f>
        <v>60.006666666666668</v>
      </c>
      <c r="E85" s="75">
        <f t="shared" si="29"/>
        <v>58.702222222222225</v>
      </c>
      <c r="F85" s="75">
        <f t="shared" si="29"/>
        <v>30.995555555555558</v>
      </c>
      <c r="G85" s="75">
        <f t="shared" si="29"/>
        <v>102.96000000000002</v>
      </c>
      <c r="H85" s="75">
        <f t="shared" si="29"/>
        <v>57.168888888888887</v>
      </c>
      <c r="I85" s="75">
        <f t="shared" si="29"/>
        <v>138.89777777777778</v>
      </c>
      <c r="J85" s="75">
        <f t="shared" si="29"/>
        <v>151.58222222222224</v>
      </c>
      <c r="K85" s="75">
        <f t="shared" si="29"/>
        <v>236.88000000000002</v>
      </c>
      <c r="L85" s="75">
        <f t="shared" si="29"/>
        <v>158.46222222222227</v>
      </c>
      <c r="M85" s="75">
        <f t="shared" si="29"/>
        <v>88.586666666666673</v>
      </c>
      <c r="N85" s="75">
        <f t="shared" si="29"/>
        <v>151.69777777777776</v>
      </c>
      <c r="O85" s="75">
        <f t="shared" si="29"/>
        <v>162.21333333333337</v>
      </c>
      <c r="P85" s="14"/>
    </row>
    <row r="86" spans="1:17">
      <c r="B86" s="3" t="s">
        <v>101</v>
      </c>
      <c r="C86" s="75">
        <f>IF(C41="NA",0, ((C41+C54+C60)*C70))</f>
        <v>8.9466666666666672</v>
      </c>
      <c r="D86" s="75">
        <f t="shared" ref="D86:N86" si="30">IF(D41="NA",0, ((D41+D54+D60)*D70))</f>
        <v>0.37377777777777782</v>
      </c>
      <c r="E86" s="75">
        <f t="shared" si="30"/>
        <v>1.9057777777777778</v>
      </c>
      <c r="F86" s="75">
        <f t="shared" si="30"/>
        <v>0.63022222222222224</v>
      </c>
      <c r="G86" s="75">
        <f t="shared" si="30"/>
        <v>1.0466666666666666</v>
      </c>
      <c r="H86" s="200">
        <f t="shared" si="30"/>
        <v>0</v>
      </c>
      <c r="I86" s="75">
        <f t="shared" si="30"/>
        <v>7.3266666666666671</v>
      </c>
      <c r="J86" s="75">
        <f t="shared" si="30"/>
        <v>20.029777777777781</v>
      </c>
      <c r="K86" s="200">
        <f t="shared" si="30"/>
        <v>0</v>
      </c>
      <c r="L86" s="75">
        <f t="shared" si="30"/>
        <v>5.4960000000000004</v>
      </c>
      <c r="M86" s="75">
        <f t="shared" si="30"/>
        <v>0.96</v>
      </c>
      <c r="N86" s="75">
        <f t="shared" si="30"/>
        <v>3.2462222222222223</v>
      </c>
      <c r="O86" s="75">
        <f>IF(O41="NA",0, ((O41+O54+O60)*O70))</f>
        <v>0.20355555555555557</v>
      </c>
      <c r="P86" s="12"/>
    </row>
    <row r="87" spans="1:17" s="12" customFormat="1">
      <c r="B87" s="3" t="s">
        <v>97</v>
      </c>
      <c r="C87" s="75">
        <f>IF(C42="NA",0, ((C42+C55+C61)*C71))</f>
        <v>6.7800000000000011</v>
      </c>
      <c r="D87" s="75">
        <f>IF(D42="NA",0, ((D42+D55+D61)*D71))</f>
        <v>14.927999999999997</v>
      </c>
      <c r="E87" s="75">
        <f t="shared" ref="E87:O87" si="31">IF(E42="NA",0, ((E42+E55+E61)*E71))</f>
        <v>1.9111111111111113E-2</v>
      </c>
      <c r="F87" s="75">
        <f t="shared" si="31"/>
        <v>1.1911111111111112</v>
      </c>
      <c r="G87" s="75">
        <f t="shared" si="31"/>
        <v>3.1173333333333342</v>
      </c>
      <c r="H87" s="75">
        <f t="shared" si="31"/>
        <v>2.0577777777777779</v>
      </c>
      <c r="I87" s="75">
        <f t="shared" si="31"/>
        <v>28.865777777777783</v>
      </c>
      <c r="J87" s="75">
        <f t="shared" si="31"/>
        <v>0.68399999999999994</v>
      </c>
      <c r="K87" s="75">
        <f t="shared" si="31"/>
        <v>35.184444444444445</v>
      </c>
      <c r="L87" s="75">
        <f t="shared" si="31"/>
        <v>1.7920000000000003</v>
      </c>
      <c r="M87" s="75">
        <f t="shared" si="31"/>
        <v>58.448</v>
      </c>
      <c r="N87" s="75">
        <f t="shared" si="31"/>
        <v>48.547555555555554</v>
      </c>
      <c r="O87" s="75">
        <f t="shared" si="31"/>
        <v>45.236888888888892</v>
      </c>
      <c r="P87" s="3"/>
      <c r="Q87" s="36"/>
    </row>
    <row r="88" spans="1:17">
      <c r="B88" s="3" t="s">
        <v>62</v>
      </c>
      <c r="C88" s="75">
        <f t="shared" ref="C88:O88" si="32">C43*C72</f>
        <v>212.8</v>
      </c>
      <c r="D88" s="75">
        <f t="shared" si="32"/>
        <v>18.900000000000002</v>
      </c>
      <c r="E88" s="75">
        <f t="shared" si="32"/>
        <v>21.833333333333336</v>
      </c>
      <c r="F88" s="75">
        <f t="shared" si="32"/>
        <v>23.666666666666668</v>
      </c>
      <c r="G88" s="75">
        <f t="shared" si="32"/>
        <v>29.366666666666671</v>
      </c>
      <c r="H88" s="75">
        <f t="shared" si="32"/>
        <v>17.066666666666666</v>
      </c>
      <c r="I88" s="75">
        <f t="shared" si="32"/>
        <v>57.066666666666663</v>
      </c>
      <c r="J88" s="75">
        <f t="shared" si="32"/>
        <v>73.666666666666671</v>
      </c>
      <c r="K88" s="75">
        <f t="shared" si="32"/>
        <v>71.400000000000006</v>
      </c>
      <c r="L88" s="75">
        <f t="shared" si="32"/>
        <v>117.8</v>
      </c>
      <c r="M88" s="75">
        <f t="shared" si="32"/>
        <v>83.066666666666663</v>
      </c>
      <c r="N88" s="75">
        <f t="shared" si="32"/>
        <v>41.266666666666673</v>
      </c>
      <c r="O88" s="75">
        <f t="shared" si="32"/>
        <v>51.733333333333341</v>
      </c>
      <c r="P88" s="12"/>
    </row>
    <row r="89" spans="1:17">
      <c r="B89" s="3" t="s">
        <v>63</v>
      </c>
      <c r="C89" s="90">
        <f>C44*C73</f>
        <v>54.173333333333339</v>
      </c>
      <c r="D89" s="90">
        <f t="shared" ref="D89:O89" si="33">D44*D73</f>
        <v>38.893333333333338</v>
      </c>
      <c r="E89" s="90">
        <f t="shared" si="33"/>
        <v>27.746666666666666</v>
      </c>
      <c r="F89" s="90">
        <f t="shared" si="33"/>
        <v>46.800000000000004</v>
      </c>
      <c r="G89" s="90">
        <f t="shared" si="33"/>
        <v>40.35</v>
      </c>
      <c r="H89" s="90">
        <f t="shared" si="33"/>
        <v>29.933333333333337</v>
      </c>
      <c r="I89" s="90">
        <f t="shared" si="33"/>
        <v>57.94</v>
      </c>
      <c r="J89" s="90">
        <f t="shared" si="33"/>
        <v>19.09</v>
      </c>
      <c r="K89" s="90">
        <f t="shared" si="33"/>
        <v>27.353333333333339</v>
      </c>
      <c r="L89" s="90">
        <f t="shared" si="33"/>
        <v>15.713333333333333</v>
      </c>
      <c r="M89" s="90">
        <f t="shared" si="33"/>
        <v>181.92000000000002</v>
      </c>
      <c r="N89" s="90">
        <f t="shared" si="33"/>
        <v>42.113333333333337</v>
      </c>
      <c r="O89" s="90">
        <f t="shared" si="33"/>
        <v>34.866666666666667</v>
      </c>
    </row>
    <row r="90" spans="1:17">
      <c r="B90" s="3" t="s">
        <v>16</v>
      </c>
      <c r="C90" s="90">
        <f t="shared" ref="C90:O90" si="34">C45*C74</f>
        <v>39.949999999999996</v>
      </c>
      <c r="D90" s="90">
        <f t="shared" si="34"/>
        <v>10.666666666666668</v>
      </c>
      <c r="E90" s="90">
        <f t="shared" si="34"/>
        <v>41.833333333333336</v>
      </c>
      <c r="F90" s="90">
        <f t="shared" si="34"/>
        <v>16.75</v>
      </c>
      <c r="G90" s="90">
        <f t="shared" si="34"/>
        <v>15.333333333333336</v>
      </c>
      <c r="H90" s="90">
        <f t="shared" si="34"/>
        <v>49.833333333333336</v>
      </c>
      <c r="I90" s="90">
        <f t="shared" si="34"/>
        <v>32.200000000000003</v>
      </c>
      <c r="J90" s="90">
        <f t="shared" si="34"/>
        <v>19.683333333333337</v>
      </c>
      <c r="K90" s="90">
        <f t="shared" si="34"/>
        <v>61.174999999999997</v>
      </c>
      <c r="L90" s="90">
        <f t="shared" si="34"/>
        <v>22.183333333333337</v>
      </c>
      <c r="M90" s="90">
        <f t="shared" si="34"/>
        <v>18.991666666666667</v>
      </c>
      <c r="N90" s="90">
        <f t="shared" si="34"/>
        <v>44.774999999999999</v>
      </c>
      <c r="O90" s="90">
        <f t="shared" si="34"/>
        <v>22.183333333333337</v>
      </c>
    </row>
    <row r="91" spans="1:17">
      <c r="B91" s="3" t="s">
        <v>64</v>
      </c>
      <c r="C91" s="90">
        <f>C46*C75</f>
        <v>350.10133333333334</v>
      </c>
      <c r="D91" s="90">
        <f t="shared" ref="D91:O91" si="35">D46*D75</f>
        <v>7.2471666666666668</v>
      </c>
      <c r="E91" s="90">
        <f t="shared" si="35"/>
        <v>59.35358333333334</v>
      </c>
      <c r="F91" s="90">
        <f t="shared" si="35"/>
        <v>10.6953</v>
      </c>
      <c r="G91" s="90">
        <f t="shared" si="35"/>
        <v>17.481033333333333</v>
      </c>
      <c r="H91" s="90">
        <f t="shared" si="35"/>
        <v>5.8615000000000004</v>
      </c>
      <c r="I91" s="90">
        <f t="shared" si="35"/>
        <v>36.878166666666665</v>
      </c>
      <c r="J91" s="90">
        <f t="shared" si="35"/>
        <v>7.589833333333333</v>
      </c>
      <c r="K91" s="90">
        <f t="shared" si="35"/>
        <v>93.325733333333346</v>
      </c>
      <c r="L91" s="90">
        <f t="shared" si="35"/>
        <v>100.35700000000001</v>
      </c>
      <c r="M91" s="90">
        <f t="shared" si="35"/>
        <v>78.029056666666662</v>
      </c>
      <c r="N91" s="90">
        <f t="shared" si="35"/>
        <v>88.665683333333334</v>
      </c>
      <c r="O91" s="90">
        <f t="shared" si="35"/>
        <v>152.77343333333332</v>
      </c>
      <c r="Q91" s="16"/>
    </row>
    <row r="92" spans="1:17">
      <c r="B92" s="7" t="s">
        <v>65</v>
      </c>
      <c r="C92" s="91">
        <f>C47*C76</f>
        <v>17.137247161345261</v>
      </c>
      <c r="D92" s="91">
        <f t="shared" ref="D92:O92" si="36">D47*D76</f>
        <v>16.999517034960231</v>
      </c>
      <c r="E92" s="91">
        <f t="shared" si="36"/>
        <v>75.216842426084796</v>
      </c>
      <c r="F92" s="91">
        <f t="shared" si="36"/>
        <v>15.683894408118029</v>
      </c>
      <c r="G92" s="91">
        <f t="shared" si="36"/>
        <v>35.753471032694499</v>
      </c>
      <c r="H92" s="91">
        <f t="shared" si="36"/>
        <v>57.558793550731025</v>
      </c>
      <c r="I92" s="91">
        <f t="shared" si="36"/>
        <v>11.80791021723619</v>
      </c>
      <c r="J92" s="91">
        <f t="shared" si="36"/>
        <v>39.891669302931604</v>
      </c>
      <c r="K92" s="91">
        <f t="shared" si="36"/>
        <v>16.182116413844486</v>
      </c>
      <c r="L92" s="91">
        <f t="shared" si="36"/>
        <v>20.834223725200733</v>
      </c>
      <c r="M92" s="91">
        <f t="shared" si="36"/>
        <v>22.023391463459586</v>
      </c>
      <c r="N92" s="91">
        <f t="shared" si="36"/>
        <v>15.579849806360194</v>
      </c>
      <c r="O92" s="91">
        <f t="shared" si="36"/>
        <v>19.514560652212001</v>
      </c>
    </row>
    <row r="93" spans="1:17" s="10" customFormat="1">
      <c r="A93" s="12"/>
      <c r="B93" s="17" t="s">
        <v>38</v>
      </c>
      <c r="C93" s="77">
        <f>SUM(C81:C92)</f>
        <v>1027.9235804946786</v>
      </c>
      <c r="D93" s="77">
        <f t="shared" ref="D93:N93" si="37">SUM(D81:D92)</f>
        <v>317.08446147940464</v>
      </c>
      <c r="E93" s="77">
        <f t="shared" si="37"/>
        <v>454.00353687052922</v>
      </c>
      <c r="F93" s="77">
        <f t="shared" si="37"/>
        <v>266.50274996367358</v>
      </c>
      <c r="G93" s="77">
        <f t="shared" si="37"/>
        <v>396.70117103269456</v>
      </c>
      <c r="H93" s="77">
        <f t="shared" si="37"/>
        <v>392.07896021739765</v>
      </c>
      <c r="I93" s="77">
        <f t="shared" si="37"/>
        <v>608.10963243945844</v>
      </c>
      <c r="J93" s="77">
        <f t="shared" si="37"/>
        <v>487.77583596959835</v>
      </c>
      <c r="K93" s="77">
        <f t="shared" si="37"/>
        <v>927.37962752495571</v>
      </c>
      <c r="L93" s="77">
        <f t="shared" si="37"/>
        <v>611.43977928075628</v>
      </c>
      <c r="M93" s="77">
        <f t="shared" si="37"/>
        <v>822.45211479679278</v>
      </c>
      <c r="N93" s="77">
        <f t="shared" si="37"/>
        <v>631.48542202858243</v>
      </c>
      <c r="O93" s="77">
        <f>SUM(O81:O92)</f>
        <v>702.00777176332315</v>
      </c>
    </row>
    <row r="94" spans="1:17">
      <c r="B94" s="46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7">
      <c r="A95" s="28"/>
      <c r="B95" s="3" t="s">
        <v>86</v>
      </c>
      <c r="C95" s="78">
        <v>54452.007349452811</v>
      </c>
      <c r="D95" s="78">
        <v>54452.007349452811</v>
      </c>
      <c r="E95" s="78">
        <v>54452.007349452811</v>
      </c>
      <c r="F95" s="78">
        <v>54452.007349452811</v>
      </c>
      <c r="G95" s="78">
        <v>54452.007349452811</v>
      </c>
      <c r="H95" s="78">
        <v>54452.007349452811</v>
      </c>
      <c r="I95" s="78">
        <v>54452.007349452811</v>
      </c>
      <c r="J95" s="78">
        <v>54452.007349452811</v>
      </c>
      <c r="K95" s="78">
        <v>54452.007349452811</v>
      </c>
      <c r="L95" s="78">
        <v>54452.007349452811</v>
      </c>
      <c r="M95" s="78">
        <v>54452.007349452811</v>
      </c>
      <c r="N95" s="78">
        <v>54452.007349452811</v>
      </c>
      <c r="O95" s="78">
        <v>54452.007349452811</v>
      </c>
      <c r="P95" s="4"/>
    </row>
    <row r="96" spans="1:17">
      <c r="A96" s="28"/>
      <c r="B96" s="17" t="s">
        <v>39</v>
      </c>
      <c r="C96" s="202">
        <f>C93*C95</f>
        <v>55972502.359772086</v>
      </c>
      <c r="D96" s="202">
        <f t="shared" ref="D96:O96" si="38">D93*D95</f>
        <v>17265885.426873829</v>
      </c>
      <c r="E96" s="202">
        <f t="shared" si="38"/>
        <v>24721403.926351629</v>
      </c>
      <c r="F96" s="202">
        <f t="shared" si="38"/>
        <v>14511609.699671339</v>
      </c>
      <c r="G96" s="202">
        <f t="shared" si="38"/>
        <v>21601175.080608822</v>
      </c>
      <c r="H96" s="202">
        <f t="shared" si="38"/>
        <v>21349486.423323553</v>
      </c>
      <c r="I96" s="202">
        <f t="shared" si="38"/>
        <v>33112790.174866438</v>
      </c>
      <c r="J96" s="202">
        <f t="shared" si="38"/>
        <v>26560373.405102059</v>
      </c>
      <c r="K96" s="202">
        <f t="shared" si="38"/>
        <v>50497682.293721698</v>
      </c>
      <c r="L96" s="202">
        <f t="shared" si="38"/>
        <v>33294123.355143547</v>
      </c>
      <c r="M96" s="202">
        <f t="shared" si="38"/>
        <v>44784168.599487968</v>
      </c>
      <c r="N96" s="202">
        <f t="shared" si="38"/>
        <v>34385648.841372684</v>
      </c>
      <c r="O96" s="202">
        <f t="shared" si="38"/>
        <v>38225732.347429462</v>
      </c>
    </row>
    <row r="97" spans="1:15">
      <c r="A97" s="28"/>
      <c r="B97" s="52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>
      <c r="B98" s="17" t="s">
        <v>40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>
      <c r="B99" s="3" t="s">
        <v>41</v>
      </c>
      <c r="C99" s="81">
        <v>8362496.4419317823</v>
      </c>
      <c r="D99" s="81">
        <v>3625947.5893996945</v>
      </c>
      <c r="E99" s="81">
        <v>4445213.5890887398</v>
      </c>
      <c r="F99" s="81">
        <v>3129237.0123768798</v>
      </c>
      <c r="G99" s="81">
        <v>3865463.530878393</v>
      </c>
      <c r="H99" s="81">
        <v>3821434.0125590889</v>
      </c>
      <c r="I99" s="81">
        <v>5540054.6434442857</v>
      </c>
      <c r="J99" s="81">
        <v>5412828.5875539845</v>
      </c>
      <c r="K99" s="81">
        <v>7450501.5636600899</v>
      </c>
      <c r="L99" s="81">
        <v>7779899.2059603725</v>
      </c>
      <c r="M99" s="81">
        <v>11676567.476474226</v>
      </c>
      <c r="N99" s="81">
        <v>4781059.5498860655</v>
      </c>
      <c r="O99" s="81">
        <v>9001759.5451000351</v>
      </c>
    </row>
    <row r="100" spans="1:15">
      <c r="B100" s="7" t="s">
        <v>42</v>
      </c>
      <c r="C100" s="96">
        <v>1213788.476</v>
      </c>
      <c r="D100" s="96">
        <v>425660.04200000002</v>
      </c>
      <c r="E100" s="96">
        <v>421844.34700000001</v>
      </c>
      <c r="F100" s="96">
        <v>203820.00100000002</v>
      </c>
      <c r="G100" s="96">
        <v>549265.04200000002</v>
      </c>
      <c r="H100" s="96">
        <v>316486.826</v>
      </c>
      <c r="I100" s="96">
        <v>502435.58400000003</v>
      </c>
      <c r="J100" s="96">
        <v>930587.77200000011</v>
      </c>
      <c r="K100" s="96">
        <v>1228948.45</v>
      </c>
      <c r="L100" s="96">
        <v>518496.94400000008</v>
      </c>
      <c r="M100" s="96">
        <v>1459408.3590000002</v>
      </c>
      <c r="N100" s="96">
        <v>702953.68800000008</v>
      </c>
      <c r="O100" s="96">
        <v>674168.39300000016</v>
      </c>
    </row>
    <row r="101" spans="1:15" s="10" customFormat="1">
      <c r="A101" s="24"/>
      <c r="B101" s="17" t="s">
        <v>43</v>
      </c>
      <c r="C101" s="79">
        <f>SUM(C99:C100)</f>
        <v>9576284.9179317821</v>
      </c>
      <c r="D101" s="79">
        <f t="shared" ref="D101:O101" si="39">SUM(D99:D100)</f>
        <v>4051607.6313996944</v>
      </c>
      <c r="E101" s="79">
        <f t="shared" si="39"/>
        <v>4867057.9360887399</v>
      </c>
      <c r="F101" s="79">
        <f t="shared" si="39"/>
        <v>3333057.01337688</v>
      </c>
      <c r="G101" s="79">
        <f t="shared" si="39"/>
        <v>4414728.5728783933</v>
      </c>
      <c r="H101" s="79">
        <f t="shared" si="39"/>
        <v>4137920.8385590888</v>
      </c>
      <c r="I101" s="79">
        <f t="shared" si="39"/>
        <v>6042490.2274442855</v>
      </c>
      <c r="J101" s="79">
        <f t="shared" si="39"/>
        <v>6343416.3595539844</v>
      </c>
      <c r="K101" s="79">
        <f t="shared" si="39"/>
        <v>8679450.01366009</v>
      </c>
      <c r="L101" s="79">
        <f t="shared" si="39"/>
        <v>8298396.1499603726</v>
      </c>
      <c r="M101" s="79">
        <f t="shared" si="39"/>
        <v>13135975.835474227</v>
      </c>
      <c r="N101" s="79">
        <f t="shared" si="39"/>
        <v>5484013.2378860656</v>
      </c>
      <c r="O101" s="79">
        <f t="shared" si="39"/>
        <v>9675927.9381000362</v>
      </c>
    </row>
    <row r="102" spans="1:15" s="10" customFormat="1">
      <c r="A102" s="24"/>
      <c r="B102" s="62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s="10" customFormat="1">
      <c r="A103" s="24"/>
      <c r="B103" s="17" t="s">
        <v>44</v>
      </c>
      <c r="C103" s="79">
        <f>C101+C96</f>
        <v>65548787.277703866</v>
      </c>
      <c r="D103" s="79">
        <f t="shared" ref="D103:O103" si="40">D101+D96</f>
        <v>21317493.058273524</v>
      </c>
      <c r="E103" s="79">
        <f t="shared" si="40"/>
        <v>29588461.86244037</v>
      </c>
      <c r="F103" s="79">
        <f t="shared" si="40"/>
        <v>17844666.71304822</v>
      </c>
      <c r="G103" s="79">
        <f t="shared" si="40"/>
        <v>26015903.653487217</v>
      </c>
      <c r="H103" s="79">
        <f t="shared" si="40"/>
        <v>25487407.26188264</v>
      </c>
      <c r="I103" s="79">
        <f t="shared" si="40"/>
        <v>39155280.402310722</v>
      </c>
      <c r="J103" s="79">
        <f t="shared" si="40"/>
        <v>32903789.764656045</v>
      </c>
      <c r="K103" s="79">
        <f t="shared" si="40"/>
        <v>59177132.307381786</v>
      </c>
      <c r="L103" s="79">
        <f t="shared" si="40"/>
        <v>41592519.505103916</v>
      </c>
      <c r="M103" s="79">
        <f t="shared" si="40"/>
        <v>57920144.434962198</v>
      </c>
      <c r="N103" s="79">
        <f t="shared" si="40"/>
        <v>39869662.079258747</v>
      </c>
      <c r="O103" s="79">
        <f t="shared" si="40"/>
        <v>47901660.285529494</v>
      </c>
    </row>
    <row r="104" spans="1:15" s="10" customFormat="1" ht="16.5" thickBot="1">
      <c r="A104" s="24"/>
      <c r="B104" s="2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s="10" customFormat="1" ht="16.5" thickBot="1">
      <c r="A105" s="24"/>
      <c r="B105" s="124" t="s">
        <v>109</v>
      </c>
      <c r="C105" s="180" t="s">
        <v>45</v>
      </c>
      <c r="D105" s="180" t="s">
        <v>46</v>
      </c>
      <c r="E105" s="180" t="s">
        <v>47</v>
      </c>
      <c r="F105" s="180" t="s">
        <v>48</v>
      </c>
      <c r="G105" s="180" t="s">
        <v>49</v>
      </c>
      <c r="H105" s="180" t="s">
        <v>50</v>
      </c>
      <c r="I105" s="180" t="s">
        <v>51</v>
      </c>
      <c r="J105" s="180" t="s">
        <v>52</v>
      </c>
      <c r="K105" s="180" t="s">
        <v>53</v>
      </c>
      <c r="L105" s="180" t="s">
        <v>54</v>
      </c>
      <c r="M105" s="180" t="s">
        <v>55</v>
      </c>
      <c r="N105" s="180" t="s">
        <v>56</v>
      </c>
      <c r="O105" s="181" t="s">
        <v>57</v>
      </c>
    </row>
    <row r="106" spans="1:15" s="10" customFormat="1">
      <c r="A106" s="24"/>
      <c r="B106" s="174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6"/>
    </row>
    <row r="107" spans="1:15" s="10" customFormat="1">
      <c r="A107" s="24"/>
      <c r="B107" s="103" t="s">
        <v>135</v>
      </c>
      <c r="C107" s="378">
        <v>1</v>
      </c>
      <c r="D107" s="378">
        <v>1</v>
      </c>
      <c r="E107" s="378">
        <v>1</v>
      </c>
      <c r="F107" s="378">
        <v>1</v>
      </c>
      <c r="G107" s="378">
        <v>1</v>
      </c>
      <c r="H107" s="378">
        <v>1</v>
      </c>
      <c r="I107" s="378">
        <v>1</v>
      </c>
      <c r="J107" s="378">
        <v>1</v>
      </c>
      <c r="K107" s="378">
        <v>1</v>
      </c>
      <c r="L107" s="378">
        <v>1</v>
      </c>
      <c r="M107" s="378">
        <v>1</v>
      </c>
      <c r="N107" s="378">
        <v>1</v>
      </c>
      <c r="O107" s="379">
        <v>1</v>
      </c>
    </row>
    <row r="108" spans="1:15">
      <c r="B108" s="106" t="s">
        <v>95</v>
      </c>
      <c r="C108" s="101">
        <f>C103*C107</f>
        <v>65548787.277703866</v>
      </c>
      <c r="D108" s="101">
        <f t="shared" ref="D108:O108" si="41">D103*D107</f>
        <v>21317493.058273524</v>
      </c>
      <c r="E108" s="101">
        <f t="shared" si="41"/>
        <v>29588461.86244037</v>
      </c>
      <c r="F108" s="101">
        <f t="shared" si="41"/>
        <v>17844666.71304822</v>
      </c>
      <c r="G108" s="101">
        <f t="shared" si="41"/>
        <v>26015903.653487217</v>
      </c>
      <c r="H108" s="101">
        <f t="shared" si="41"/>
        <v>25487407.26188264</v>
      </c>
      <c r="I108" s="101">
        <f t="shared" si="41"/>
        <v>39155280.402310722</v>
      </c>
      <c r="J108" s="101">
        <f t="shared" si="41"/>
        <v>32903789.764656045</v>
      </c>
      <c r="K108" s="101">
        <f t="shared" si="41"/>
        <v>59177132.307381786</v>
      </c>
      <c r="L108" s="101">
        <f t="shared" si="41"/>
        <v>41592519.505103916</v>
      </c>
      <c r="M108" s="101">
        <f t="shared" si="41"/>
        <v>57920144.434962198</v>
      </c>
      <c r="N108" s="101">
        <f t="shared" si="41"/>
        <v>39869662.079258747</v>
      </c>
      <c r="O108" s="107">
        <f t="shared" si="41"/>
        <v>47901660.285529494</v>
      </c>
    </row>
    <row r="109" spans="1:15">
      <c r="B109" s="174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6"/>
    </row>
    <row r="110" spans="1:15">
      <c r="B110" s="103" t="s">
        <v>89</v>
      </c>
      <c r="C110" s="182">
        <f>2/3</f>
        <v>0.66666666666666663</v>
      </c>
      <c r="D110" s="182">
        <f t="shared" ref="D110:N110" si="42">2/3</f>
        <v>0.66666666666666663</v>
      </c>
      <c r="E110" s="182">
        <f t="shared" si="42"/>
        <v>0.66666666666666663</v>
      </c>
      <c r="F110" s="182">
        <f t="shared" si="42"/>
        <v>0.66666666666666663</v>
      </c>
      <c r="G110" s="182">
        <f t="shared" si="42"/>
        <v>0.66666666666666663</v>
      </c>
      <c r="H110" s="182">
        <f t="shared" si="42"/>
        <v>0.66666666666666663</v>
      </c>
      <c r="I110" s="182">
        <f t="shared" si="42"/>
        <v>0.66666666666666663</v>
      </c>
      <c r="J110" s="182">
        <f t="shared" si="42"/>
        <v>0.66666666666666663</v>
      </c>
      <c r="K110" s="182">
        <f t="shared" si="42"/>
        <v>0.66666666666666663</v>
      </c>
      <c r="L110" s="182">
        <f t="shared" si="42"/>
        <v>0.66666666666666663</v>
      </c>
      <c r="M110" s="182">
        <f t="shared" si="42"/>
        <v>0.66666666666666663</v>
      </c>
      <c r="N110" s="182">
        <f t="shared" si="42"/>
        <v>0.66666666666666663</v>
      </c>
      <c r="O110" s="183">
        <f>2/3</f>
        <v>0.66666666666666663</v>
      </c>
    </row>
    <row r="111" spans="1:15">
      <c r="B111" s="106" t="s">
        <v>95</v>
      </c>
      <c r="C111" s="101">
        <f>C108*C110</f>
        <v>43699191.518469244</v>
      </c>
      <c r="D111" s="101">
        <f t="shared" ref="D111:O111" si="43">D108*D110</f>
        <v>14211662.038849015</v>
      </c>
      <c r="E111" s="101">
        <f t="shared" si="43"/>
        <v>19725641.241626911</v>
      </c>
      <c r="F111" s="101">
        <f t="shared" si="43"/>
        <v>11896444.475365479</v>
      </c>
      <c r="G111" s="101">
        <f t="shared" si="43"/>
        <v>17343935.768991478</v>
      </c>
      <c r="H111" s="101">
        <f t="shared" si="43"/>
        <v>16991604.841255091</v>
      </c>
      <c r="I111" s="101">
        <f t="shared" si="43"/>
        <v>26103520.268207148</v>
      </c>
      <c r="J111" s="101">
        <f t="shared" si="43"/>
        <v>21935859.843104027</v>
      </c>
      <c r="K111" s="101">
        <f t="shared" si="43"/>
        <v>39451421.538254522</v>
      </c>
      <c r="L111" s="101">
        <f t="shared" si="43"/>
        <v>27728346.336735941</v>
      </c>
      <c r="M111" s="101">
        <f t="shared" si="43"/>
        <v>38613429.62330813</v>
      </c>
      <c r="N111" s="101">
        <f t="shared" si="43"/>
        <v>26579774.719505832</v>
      </c>
      <c r="O111" s="107">
        <f t="shared" si="43"/>
        <v>31934440.190352995</v>
      </c>
    </row>
    <row r="112" spans="1:15">
      <c r="B112" s="177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9"/>
    </row>
    <row r="113" spans="2:16">
      <c r="B113" s="103" t="s">
        <v>108</v>
      </c>
      <c r="C113" s="99">
        <f t="shared" ref="C113:O113" si="44">C132</f>
        <v>2307795.2882022136</v>
      </c>
      <c r="D113" s="99">
        <f t="shared" si="44"/>
        <v>138637.13802765639</v>
      </c>
      <c r="E113" s="99">
        <f t="shared" si="44"/>
        <v>353292.8039125292</v>
      </c>
      <c r="F113" s="99">
        <f t="shared" si="44"/>
        <v>127860.06186572502</v>
      </c>
      <c r="G113" s="99">
        <f t="shared" si="44"/>
        <v>162776.66408779979</v>
      </c>
      <c r="H113" s="99">
        <f t="shared" si="44"/>
        <v>262911.82174549479</v>
      </c>
      <c r="I113" s="99">
        <f t="shared" si="44"/>
        <v>653178.35073711432</v>
      </c>
      <c r="J113" s="99">
        <f t="shared" si="44"/>
        <v>22131.23145190486</v>
      </c>
      <c r="K113" s="99">
        <f t="shared" si="44"/>
        <v>969979.15330507734</v>
      </c>
      <c r="L113" s="99">
        <f t="shared" si="44"/>
        <v>588304.97821553482</v>
      </c>
      <c r="M113" s="99">
        <f t="shared" si="44"/>
        <v>456016.97615845338</v>
      </c>
      <c r="N113" s="99">
        <f t="shared" si="44"/>
        <v>658276.65496210079</v>
      </c>
      <c r="O113" s="393">
        <f t="shared" si="44"/>
        <v>341399.26075309189</v>
      </c>
    </row>
    <row r="114" spans="2:16">
      <c r="B114" s="106" t="s">
        <v>95</v>
      </c>
      <c r="C114" s="101">
        <f>C111-C113</f>
        <v>41391396.230267033</v>
      </c>
      <c r="D114" s="101">
        <f t="shared" ref="D114:O114" si="45">D111-D113</f>
        <v>14073024.900821358</v>
      </c>
      <c r="E114" s="101">
        <f t="shared" si="45"/>
        <v>19372348.437714383</v>
      </c>
      <c r="F114" s="101">
        <f t="shared" si="45"/>
        <v>11768584.413499754</v>
      </c>
      <c r="G114" s="101">
        <f t="shared" si="45"/>
        <v>17181159.104903679</v>
      </c>
      <c r="H114" s="101">
        <f t="shared" si="45"/>
        <v>16728693.019509597</v>
      </c>
      <c r="I114" s="101">
        <f t="shared" si="45"/>
        <v>25450341.917470034</v>
      </c>
      <c r="J114" s="101">
        <f t="shared" si="45"/>
        <v>21913728.611652121</v>
      </c>
      <c r="K114" s="101">
        <f t="shared" si="45"/>
        <v>38481442.384949446</v>
      </c>
      <c r="L114" s="101">
        <f t="shared" si="45"/>
        <v>27140041.358520407</v>
      </c>
      <c r="M114" s="101">
        <f t="shared" si="45"/>
        <v>38157412.647149675</v>
      </c>
      <c r="N114" s="101">
        <f t="shared" si="45"/>
        <v>25921498.064543732</v>
      </c>
      <c r="O114" s="107">
        <f t="shared" si="45"/>
        <v>31593040.929599904</v>
      </c>
    </row>
    <row r="115" spans="2:16">
      <c r="B115" s="177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5"/>
    </row>
    <row r="116" spans="2:16" ht="16.5" thickBot="1">
      <c r="B116" s="104" t="s">
        <v>110</v>
      </c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6"/>
    </row>
    <row r="117" spans="2:16">
      <c r="B117" s="103" t="s">
        <v>94</v>
      </c>
      <c r="C117" s="380">
        <v>93</v>
      </c>
      <c r="D117" s="380">
        <v>92</v>
      </c>
      <c r="E117" s="380">
        <v>88</v>
      </c>
      <c r="F117" s="380">
        <v>95</v>
      </c>
      <c r="G117" s="380">
        <v>93</v>
      </c>
      <c r="H117" s="380">
        <v>80</v>
      </c>
      <c r="I117" s="380">
        <v>96</v>
      </c>
      <c r="J117" s="380">
        <v>94</v>
      </c>
      <c r="K117" s="380">
        <v>96</v>
      </c>
      <c r="L117" s="380">
        <v>88</v>
      </c>
      <c r="M117" s="380">
        <v>91</v>
      </c>
      <c r="N117" s="380">
        <v>85</v>
      </c>
      <c r="O117" s="381">
        <v>98</v>
      </c>
      <c r="P117" s="31" t="s">
        <v>88</v>
      </c>
    </row>
    <row r="118" spans="2:16" ht="16.5" thickBot="1">
      <c r="B118" s="108" t="s">
        <v>111</v>
      </c>
      <c r="C118" s="100">
        <f t="shared" ref="C118:O118" si="46">C114*($P$118*C117/100)</f>
        <v>2097922.9179310845</v>
      </c>
      <c r="D118" s="100">
        <f t="shared" si="46"/>
        <v>705621.46852718294</v>
      </c>
      <c r="E118" s="100">
        <f t="shared" si="46"/>
        <v>929097.83107278182</v>
      </c>
      <c r="F118" s="100">
        <f t="shared" si="46"/>
        <v>609318.45800894976</v>
      </c>
      <c r="G118" s="100">
        <f t="shared" si="46"/>
        <v>870827.04923204298</v>
      </c>
      <c r="H118" s="100">
        <f t="shared" si="46"/>
        <v>729371.01565061847</v>
      </c>
      <c r="I118" s="100">
        <f t="shared" si="46"/>
        <v>1331561.8891220323</v>
      </c>
      <c r="J118" s="100">
        <f t="shared" si="46"/>
        <v>1122640.3167749383</v>
      </c>
      <c r="K118" s="100">
        <f t="shared" si="46"/>
        <v>2013349.0655805552</v>
      </c>
      <c r="L118" s="100">
        <f t="shared" si="46"/>
        <v>1301636.3835546388</v>
      </c>
      <c r="M118" s="100">
        <f t="shared" si="46"/>
        <v>1892416.8802353882</v>
      </c>
      <c r="N118" s="100">
        <f t="shared" si="46"/>
        <v>1200813.3978399886</v>
      </c>
      <c r="O118" s="105">
        <f t="shared" si="46"/>
        <v>1687384.3160499309</v>
      </c>
      <c r="P118" s="392">
        <v>5.45E-2</v>
      </c>
    </row>
    <row r="119" spans="2:16">
      <c r="B119" s="109" t="s">
        <v>95</v>
      </c>
      <c r="C119" s="101">
        <f>ROUND(C114+C118,-3)</f>
        <v>43489000</v>
      </c>
      <c r="D119" s="101">
        <f t="shared" ref="D119:O119" si="47">ROUND(D114+D118,-3)</f>
        <v>14779000</v>
      </c>
      <c r="E119" s="101">
        <f t="shared" si="47"/>
        <v>20301000</v>
      </c>
      <c r="F119" s="101">
        <f t="shared" si="47"/>
        <v>12378000</v>
      </c>
      <c r="G119" s="101">
        <f t="shared" si="47"/>
        <v>18052000</v>
      </c>
      <c r="H119" s="101">
        <f t="shared" si="47"/>
        <v>17458000</v>
      </c>
      <c r="I119" s="101">
        <f t="shared" si="47"/>
        <v>26782000</v>
      </c>
      <c r="J119" s="101">
        <f t="shared" si="47"/>
        <v>23036000</v>
      </c>
      <c r="K119" s="101">
        <f t="shared" si="47"/>
        <v>40495000</v>
      </c>
      <c r="L119" s="101">
        <f t="shared" si="47"/>
        <v>28442000</v>
      </c>
      <c r="M119" s="101">
        <f t="shared" si="47"/>
        <v>40050000</v>
      </c>
      <c r="N119" s="101">
        <f t="shared" si="47"/>
        <v>27122000</v>
      </c>
      <c r="O119" s="107">
        <f t="shared" si="47"/>
        <v>33280000</v>
      </c>
    </row>
    <row r="120" spans="2:16">
      <c r="B120" s="106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9"/>
    </row>
    <row r="121" spans="2:16">
      <c r="B121" s="106" t="s">
        <v>90</v>
      </c>
      <c r="C121" s="382">
        <v>0</v>
      </c>
      <c r="D121" s="382">
        <v>0</v>
      </c>
      <c r="E121" s="382">
        <v>72700</v>
      </c>
      <c r="F121" s="382">
        <v>0</v>
      </c>
      <c r="G121" s="382">
        <v>0</v>
      </c>
      <c r="H121" s="382">
        <v>0</v>
      </c>
      <c r="I121" s="382">
        <v>0</v>
      </c>
      <c r="J121" s="382">
        <v>0</v>
      </c>
      <c r="K121" s="382">
        <v>0</v>
      </c>
      <c r="L121" s="382">
        <v>150000</v>
      </c>
      <c r="M121" s="382">
        <v>0</v>
      </c>
      <c r="N121" s="382">
        <v>0</v>
      </c>
      <c r="O121" s="383">
        <v>0</v>
      </c>
    </row>
    <row r="122" spans="2:16">
      <c r="B122" s="177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1"/>
    </row>
    <row r="123" spans="2:16" ht="16.5" thickBot="1">
      <c r="B123" s="110" t="s">
        <v>116</v>
      </c>
      <c r="C123" s="102">
        <f>C119+C121</f>
        <v>43489000</v>
      </c>
      <c r="D123" s="102">
        <f t="shared" ref="D123:O123" si="48">D119+D121</f>
        <v>14779000</v>
      </c>
      <c r="E123" s="102">
        <f t="shared" si="48"/>
        <v>20373700</v>
      </c>
      <c r="F123" s="102">
        <f t="shared" si="48"/>
        <v>12378000</v>
      </c>
      <c r="G123" s="102">
        <f t="shared" si="48"/>
        <v>18052000</v>
      </c>
      <c r="H123" s="102">
        <f t="shared" si="48"/>
        <v>17458000</v>
      </c>
      <c r="I123" s="102">
        <f t="shared" si="48"/>
        <v>26782000</v>
      </c>
      <c r="J123" s="102">
        <f t="shared" si="48"/>
        <v>23036000</v>
      </c>
      <c r="K123" s="102">
        <f t="shared" si="48"/>
        <v>40495000</v>
      </c>
      <c r="L123" s="102">
        <f t="shared" si="48"/>
        <v>28592000</v>
      </c>
      <c r="M123" s="102">
        <f t="shared" si="48"/>
        <v>40050000</v>
      </c>
      <c r="N123" s="102">
        <f t="shared" si="48"/>
        <v>27122000</v>
      </c>
      <c r="O123" s="111">
        <f t="shared" si="48"/>
        <v>33280000</v>
      </c>
    </row>
    <row r="124" spans="2:16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2:16">
      <c r="B125" s="207" t="s">
        <v>118</v>
      </c>
      <c r="C125" s="389">
        <v>42730000</v>
      </c>
      <c r="D125" s="389">
        <v>14530000</v>
      </c>
      <c r="E125" s="389">
        <v>20290700</v>
      </c>
      <c r="F125" s="389">
        <v>12024000</v>
      </c>
      <c r="G125" s="389">
        <v>18229000</v>
      </c>
      <c r="H125" s="389">
        <v>17508000</v>
      </c>
      <c r="I125" s="389">
        <v>26060000</v>
      </c>
      <c r="J125" s="389">
        <v>21726000</v>
      </c>
      <c r="K125" s="389">
        <v>38498000</v>
      </c>
      <c r="L125" s="389">
        <v>28591000</v>
      </c>
      <c r="M125" s="389">
        <v>40541000</v>
      </c>
      <c r="N125" s="389">
        <v>26644000</v>
      </c>
      <c r="O125" s="390">
        <v>33438000</v>
      </c>
    </row>
    <row r="126" spans="2:16" ht="16.5" thickBot="1">
      <c r="B126" s="208" t="s">
        <v>87</v>
      </c>
      <c r="C126" s="209">
        <f>C123/C125-1</f>
        <v>1.7762695998127853E-2</v>
      </c>
      <c r="D126" s="209">
        <f t="shared" ref="D126:O126" si="49">D123/D125-1</f>
        <v>1.7136958017893944E-2</v>
      </c>
      <c r="E126" s="209">
        <f t="shared" si="49"/>
        <v>4.0905439437772806E-3</v>
      </c>
      <c r="F126" s="209">
        <f t="shared" si="49"/>
        <v>2.9441117764471114E-2</v>
      </c>
      <c r="G126" s="209">
        <f t="shared" si="49"/>
        <v>-9.70980306105651E-3</v>
      </c>
      <c r="H126" s="209">
        <f t="shared" si="49"/>
        <v>-2.8558373315056285E-3</v>
      </c>
      <c r="I126" s="209">
        <f t="shared" si="49"/>
        <v>2.7705295471987634E-2</v>
      </c>
      <c r="J126" s="209">
        <f t="shared" si="49"/>
        <v>6.0296419037098481E-2</v>
      </c>
      <c r="K126" s="209">
        <f t="shared" si="49"/>
        <v>5.1872824562315012E-2</v>
      </c>
      <c r="L126" s="209">
        <f t="shared" si="49"/>
        <v>3.4976041411560743E-5</v>
      </c>
      <c r="M126" s="209">
        <f t="shared" si="49"/>
        <v>-1.2111196073111175E-2</v>
      </c>
      <c r="N126" s="209">
        <f t="shared" si="49"/>
        <v>1.7940249211830128E-2</v>
      </c>
      <c r="O126" s="210">
        <f t="shared" si="49"/>
        <v>-4.7251629882170132E-3</v>
      </c>
    </row>
    <row r="127" spans="2:16" ht="16.5" thickBot="1"/>
    <row r="128" spans="2:16" s="12" customFormat="1" ht="16.5" thickBot="1">
      <c r="B128" s="391" t="s">
        <v>115</v>
      </c>
      <c r="C128" s="211" t="s">
        <v>45</v>
      </c>
      <c r="D128" s="211" t="s">
        <v>46</v>
      </c>
      <c r="E128" s="211" t="s">
        <v>47</v>
      </c>
      <c r="F128" s="211" t="s">
        <v>48</v>
      </c>
      <c r="G128" s="211" t="s">
        <v>49</v>
      </c>
      <c r="H128" s="211" t="s">
        <v>50</v>
      </c>
      <c r="I128" s="211" t="s">
        <v>51</v>
      </c>
      <c r="J128" s="211" t="s">
        <v>52</v>
      </c>
      <c r="K128" s="211" t="s">
        <v>53</v>
      </c>
      <c r="L128" s="211" t="s">
        <v>54</v>
      </c>
      <c r="M128" s="211" t="s">
        <v>55</v>
      </c>
      <c r="N128" s="211" t="s">
        <v>56</v>
      </c>
      <c r="O128" s="212" t="s">
        <v>57</v>
      </c>
    </row>
    <row r="129" spans="2:16" s="12" customFormat="1">
      <c r="B129" s="186" t="s">
        <v>119</v>
      </c>
      <c r="C129" s="213">
        <v>6494.8666666666668</v>
      </c>
      <c r="D129" s="213">
        <v>2446.5666666666666</v>
      </c>
      <c r="E129" s="213">
        <v>3469.1333333333332</v>
      </c>
      <c r="F129" s="213">
        <v>1888.7666666666667</v>
      </c>
      <c r="G129" s="213">
        <v>2812.9333333333334</v>
      </c>
      <c r="H129" s="213">
        <v>3050.4666666666667</v>
      </c>
      <c r="I129" s="213">
        <v>6411.5333333333338</v>
      </c>
      <c r="J129" s="213">
        <v>4030.7666666666669</v>
      </c>
      <c r="K129" s="213">
        <v>7276.3</v>
      </c>
      <c r="L129" s="213">
        <v>4028.2666666666669</v>
      </c>
      <c r="M129" s="213">
        <v>7200.2333333333336</v>
      </c>
      <c r="N129" s="213">
        <v>5254.5</v>
      </c>
      <c r="O129" s="214">
        <v>4106.3999999999996</v>
      </c>
    </row>
    <row r="130" spans="2:16" s="12" customFormat="1">
      <c r="B130" s="186" t="s">
        <v>91</v>
      </c>
      <c r="C130" s="213">
        <f>C103*C110/C129</f>
        <v>6728.2661463621389</v>
      </c>
      <c r="D130" s="213">
        <f t="shared" ref="D130:O130" si="50">D103*D110/D129</f>
        <v>5808.8186324437029</v>
      </c>
      <c r="E130" s="213">
        <f t="shared" si="50"/>
        <v>5686.0429814248264</v>
      </c>
      <c r="F130" s="213">
        <f t="shared" si="50"/>
        <v>6298.5252150603455</v>
      </c>
      <c r="G130" s="213">
        <f t="shared" si="50"/>
        <v>6165.7827305984774</v>
      </c>
      <c r="H130" s="213">
        <f t="shared" si="50"/>
        <v>5570.1657149469229</v>
      </c>
      <c r="I130" s="213">
        <f t="shared" si="50"/>
        <v>4071.3381512805795</v>
      </c>
      <c r="J130" s="213">
        <f t="shared" si="50"/>
        <v>5442.1060947307033</v>
      </c>
      <c r="K130" s="213">
        <f t="shared" si="50"/>
        <v>5421.9069497209466</v>
      </c>
      <c r="L130" s="213">
        <f t="shared" si="50"/>
        <v>6883.4435828650721</v>
      </c>
      <c r="M130" s="213">
        <f t="shared" si="50"/>
        <v>5362.802542043748</v>
      </c>
      <c r="N130" s="213">
        <f t="shared" si="50"/>
        <v>5058.478393663685</v>
      </c>
      <c r="O130" s="214">
        <f t="shared" si="50"/>
        <v>7776.7485365168995</v>
      </c>
    </row>
    <row r="131" spans="2:16" s="12" customFormat="1">
      <c r="B131" s="186" t="s">
        <v>92</v>
      </c>
      <c r="C131" s="384">
        <v>343</v>
      </c>
      <c r="D131" s="384">
        <v>23.866666666666667</v>
      </c>
      <c r="E131" s="384">
        <v>62.133333333333333</v>
      </c>
      <c r="F131" s="384">
        <v>20.3</v>
      </c>
      <c r="G131" s="384">
        <v>26.4</v>
      </c>
      <c r="H131" s="384">
        <v>47.2</v>
      </c>
      <c r="I131" s="384">
        <v>160.43333333333334</v>
      </c>
      <c r="J131" s="384">
        <v>4.0666666666666664</v>
      </c>
      <c r="K131" s="384">
        <v>178.9</v>
      </c>
      <c r="L131" s="384">
        <v>85.466666666666669</v>
      </c>
      <c r="M131" s="384">
        <v>85.033333333333331</v>
      </c>
      <c r="N131" s="384">
        <v>130.13333333333333</v>
      </c>
      <c r="O131" s="385">
        <v>43.9</v>
      </c>
    </row>
    <row r="132" spans="2:16" s="12" customFormat="1">
      <c r="B132" s="186" t="s">
        <v>93</v>
      </c>
      <c r="C132" s="213">
        <f>C131*C130</f>
        <v>2307795.2882022136</v>
      </c>
      <c r="D132" s="213">
        <f t="shared" ref="D132:O132" si="51">D131*D130</f>
        <v>138637.13802765639</v>
      </c>
      <c r="E132" s="213">
        <f t="shared" si="51"/>
        <v>353292.8039125292</v>
      </c>
      <c r="F132" s="213">
        <f t="shared" si="51"/>
        <v>127860.06186572502</v>
      </c>
      <c r="G132" s="213">
        <f t="shared" si="51"/>
        <v>162776.66408779979</v>
      </c>
      <c r="H132" s="213">
        <f t="shared" si="51"/>
        <v>262911.82174549479</v>
      </c>
      <c r="I132" s="213">
        <f t="shared" si="51"/>
        <v>653178.35073711432</v>
      </c>
      <c r="J132" s="213">
        <f t="shared" si="51"/>
        <v>22131.23145190486</v>
      </c>
      <c r="K132" s="213">
        <f t="shared" si="51"/>
        <v>969979.15330507734</v>
      </c>
      <c r="L132" s="213">
        <f t="shared" si="51"/>
        <v>588304.97821553482</v>
      </c>
      <c r="M132" s="213">
        <f t="shared" si="51"/>
        <v>456016.97615845338</v>
      </c>
      <c r="N132" s="213">
        <f t="shared" si="51"/>
        <v>658276.65496210079</v>
      </c>
      <c r="O132" s="214">
        <f t="shared" si="51"/>
        <v>341399.26075309189</v>
      </c>
    </row>
    <row r="133" spans="2:16" s="12" customFormat="1">
      <c r="B133" s="191" t="s">
        <v>120</v>
      </c>
      <c r="C133" s="384">
        <v>343</v>
      </c>
      <c r="D133" s="384">
        <v>23.7</v>
      </c>
      <c r="E133" s="384">
        <v>34.93333333333333</v>
      </c>
      <c r="F133" s="384">
        <v>17.233333333333334</v>
      </c>
      <c r="G133" s="384">
        <v>28</v>
      </c>
      <c r="H133" s="384">
        <v>33.866666666666667</v>
      </c>
      <c r="I133" s="384">
        <v>84.15</v>
      </c>
      <c r="J133" s="384">
        <v>4.0666666666666664</v>
      </c>
      <c r="K133" s="384">
        <v>123.86666666666666</v>
      </c>
      <c r="L133" s="384">
        <v>76</v>
      </c>
      <c r="M133" s="384">
        <v>85.033333333333331</v>
      </c>
      <c r="N133" s="384">
        <v>71.333333333333329</v>
      </c>
      <c r="O133" s="385">
        <v>52.1</v>
      </c>
    </row>
    <row r="134" spans="2:16" s="12" customFormat="1">
      <c r="B134" s="186" t="s">
        <v>130</v>
      </c>
      <c r="C134" s="213">
        <f>C131-C133</f>
        <v>0</v>
      </c>
      <c r="D134" s="213">
        <f t="shared" ref="D134:O134" si="52">D131-D133</f>
        <v>0.16666666666666785</v>
      </c>
      <c r="E134" s="213">
        <f t="shared" si="52"/>
        <v>27.200000000000003</v>
      </c>
      <c r="F134" s="213">
        <f t="shared" si="52"/>
        <v>3.0666666666666664</v>
      </c>
      <c r="G134" s="213">
        <f t="shared" si="52"/>
        <v>-1.6000000000000014</v>
      </c>
      <c r="H134" s="213">
        <f t="shared" si="52"/>
        <v>13.333333333333336</v>
      </c>
      <c r="I134" s="213">
        <f t="shared" si="52"/>
        <v>76.283333333333331</v>
      </c>
      <c r="J134" s="213">
        <f t="shared" si="52"/>
        <v>0</v>
      </c>
      <c r="K134" s="213">
        <f t="shared" si="52"/>
        <v>55.033333333333346</v>
      </c>
      <c r="L134" s="213">
        <f t="shared" si="52"/>
        <v>9.4666666666666686</v>
      </c>
      <c r="M134" s="213">
        <f t="shared" si="52"/>
        <v>0</v>
      </c>
      <c r="N134" s="213">
        <f t="shared" si="52"/>
        <v>58.8</v>
      </c>
      <c r="O134" s="214">
        <f t="shared" si="52"/>
        <v>-8.2000000000000028</v>
      </c>
    </row>
    <row r="135" spans="2:16" s="12" customFormat="1" ht="16.5" thickBot="1">
      <c r="B135" s="215" t="s">
        <v>131</v>
      </c>
      <c r="C135" s="216">
        <f>C134/C133</f>
        <v>0</v>
      </c>
      <c r="D135" s="216">
        <f t="shared" ref="D135:O135" si="53">D134/D133</f>
        <v>7.0323488045007532E-3</v>
      </c>
      <c r="E135" s="216">
        <f t="shared" si="53"/>
        <v>0.77862595419847347</v>
      </c>
      <c r="F135" s="216">
        <f t="shared" si="53"/>
        <v>0.17794970986460346</v>
      </c>
      <c r="G135" s="216">
        <f t="shared" si="53"/>
        <v>-5.7142857142857197E-2</v>
      </c>
      <c r="H135" s="216">
        <f t="shared" si="53"/>
        <v>0.39370078740157488</v>
      </c>
      <c r="I135" s="216">
        <f t="shared" si="53"/>
        <v>0.90651614181025941</v>
      </c>
      <c r="J135" s="216">
        <f t="shared" si="53"/>
        <v>0</v>
      </c>
      <c r="K135" s="216">
        <f t="shared" si="53"/>
        <v>0.44429494079655557</v>
      </c>
      <c r="L135" s="216">
        <f t="shared" si="53"/>
        <v>0.12456140350877196</v>
      </c>
      <c r="M135" s="216">
        <f t="shared" si="53"/>
        <v>0</v>
      </c>
      <c r="N135" s="216">
        <f t="shared" si="53"/>
        <v>0.82429906542056075</v>
      </c>
      <c r="O135" s="217">
        <f t="shared" si="53"/>
        <v>-0.1573896353166987</v>
      </c>
      <c r="P135" s="97"/>
    </row>
    <row r="136" spans="2:16" s="12" customFormat="1">
      <c r="B136" s="15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97"/>
    </row>
    <row r="137" spans="2:16" s="12" customFormat="1">
      <c r="B137" s="15" t="s">
        <v>133</v>
      </c>
      <c r="C137" s="81">
        <v>2121291.5021079709</v>
      </c>
      <c r="D137" s="81">
        <v>131370.0031294869</v>
      </c>
      <c r="E137" s="81">
        <v>195262.99961567344</v>
      </c>
      <c r="F137" s="81">
        <v>89561.373291518117</v>
      </c>
      <c r="G137" s="81">
        <v>164202.74351126212</v>
      </c>
      <c r="H137" s="81">
        <v>187599.73906419225</v>
      </c>
      <c r="I137" s="81">
        <v>327213.36395952111</v>
      </c>
      <c r="J137" s="81">
        <v>18689.0860773022</v>
      </c>
      <c r="K137" s="81">
        <v>620291.43132788653</v>
      </c>
      <c r="L137" s="81">
        <v>489419.20195340685</v>
      </c>
      <c r="M137" s="81">
        <v>410573.93771615421</v>
      </c>
      <c r="N137" s="81">
        <v>340160.67682636541</v>
      </c>
      <c r="O137" s="81">
        <v>380029.24308144074</v>
      </c>
      <c r="P137" s="97"/>
    </row>
    <row r="138" spans="2:16" s="12" customFormat="1">
      <c r="B138" s="6" t="s">
        <v>134</v>
      </c>
      <c r="C138" s="81">
        <f>C137-C113</f>
        <v>-186503.78609424271</v>
      </c>
      <c r="D138" s="81">
        <f t="shared" ref="D138:O138" si="54">D137-D113</f>
        <v>-7267.13489816949</v>
      </c>
      <c r="E138" s="81">
        <f t="shared" si="54"/>
        <v>-158029.80429685576</v>
      </c>
      <c r="F138" s="81">
        <f t="shared" si="54"/>
        <v>-38298.688574206899</v>
      </c>
      <c r="G138" s="81">
        <f t="shared" si="54"/>
        <v>1426.0794234623318</v>
      </c>
      <c r="H138" s="81">
        <f t="shared" si="54"/>
        <v>-75312.082681302534</v>
      </c>
      <c r="I138" s="81">
        <f t="shared" si="54"/>
        <v>-325964.98677759321</v>
      </c>
      <c r="J138" s="81">
        <f t="shared" si="54"/>
        <v>-3442.14537460266</v>
      </c>
      <c r="K138" s="81">
        <f t="shared" si="54"/>
        <v>-349687.72197719081</v>
      </c>
      <c r="L138" s="81">
        <f t="shared" si="54"/>
        <v>-98885.776262127969</v>
      </c>
      <c r="M138" s="81">
        <f t="shared" si="54"/>
        <v>-45443.038442299177</v>
      </c>
      <c r="N138" s="81">
        <f t="shared" si="54"/>
        <v>-318115.97813573538</v>
      </c>
      <c r="O138" s="81">
        <f t="shared" si="54"/>
        <v>38629.982328348851</v>
      </c>
      <c r="P138" s="97"/>
    </row>
    <row r="139" spans="2:16" s="12" customFormat="1">
      <c r="B139" s="15" t="s">
        <v>87</v>
      </c>
      <c r="C139" s="29">
        <f>C132/C137-1</f>
        <v>8.7919923267929079E-2</v>
      </c>
      <c r="D139" s="29">
        <f t="shared" ref="D139:O139" si="55">D132/D137-1</f>
        <v>5.5318069003975845E-2</v>
      </c>
      <c r="E139" s="29">
        <f t="shared" si="55"/>
        <v>0.80931771307363931</v>
      </c>
      <c r="F139" s="29">
        <f t="shared" si="55"/>
        <v>0.42762507057084131</v>
      </c>
      <c r="G139" s="29">
        <f t="shared" si="55"/>
        <v>-8.6848696493583288E-3</v>
      </c>
      <c r="H139" s="29">
        <f t="shared" si="55"/>
        <v>0.40145089250647881</v>
      </c>
      <c r="I139" s="29">
        <f t="shared" si="55"/>
        <v>0.99618482213922555</v>
      </c>
      <c r="J139" s="29">
        <f t="shared" si="55"/>
        <v>0.18417943822213578</v>
      </c>
      <c r="K139" s="29">
        <f t="shared" si="55"/>
        <v>0.56374746500785622</v>
      </c>
      <c r="L139" s="29">
        <f t="shared" si="55"/>
        <v>0.20204719362756429</v>
      </c>
      <c r="M139" s="29">
        <f t="shared" si="55"/>
        <v>0.110681741503319</v>
      </c>
      <c r="N139" s="29">
        <f t="shared" si="55"/>
        <v>0.93519327719975487</v>
      </c>
      <c r="O139" s="29">
        <f t="shared" si="55"/>
        <v>-0.10165002570623338</v>
      </c>
      <c r="P139" s="97"/>
    </row>
    <row r="140" spans="2:16" s="12" customFormat="1" ht="16.5" thickBot="1">
      <c r="B140" s="15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97"/>
    </row>
    <row r="141" spans="2:16" s="12" customFormat="1">
      <c r="B141" s="187" t="s">
        <v>112</v>
      </c>
      <c r="C141" s="218" t="s">
        <v>45</v>
      </c>
      <c r="D141" s="219" t="s">
        <v>46</v>
      </c>
      <c r="E141" s="219" t="s">
        <v>47</v>
      </c>
      <c r="F141" s="219" t="s">
        <v>48</v>
      </c>
      <c r="G141" s="219" t="s">
        <v>49</v>
      </c>
      <c r="H141" s="219" t="s">
        <v>50</v>
      </c>
      <c r="I141" s="219" t="s">
        <v>51</v>
      </c>
      <c r="J141" s="219" t="s">
        <v>52</v>
      </c>
      <c r="K141" s="219" t="s">
        <v>53</v>
      </c>
      <c r="L141" s="219" t="s">
        <v>54</v>
      </c>
      <c r="M141" s="219" t="s">
        <v>55</v>
      </c>
      <c r="N141" s="219" t="s">
        <v>56</v>
      </c>
      <c r="O141" s="220" t="s">
        <v>57</v>
      </c>
      <c r="P141" s="97"/>
    </row>
    <row r="142" spans="2:16" s="12" customFormat="1">
      <c r="B142" s="221" t="s">
        <v>117</v>
      </c>
      <c r="C142" s="222">
        <f t="shared" ref="C142:O142" si="56">ROUND((C103*C107-C113)*(1+$P$118*C117/100),-3)+C121</f>
        <v>66446000</v>
      </c>
      <c r="D142" s="222">
        <f t="shared" si="56"/>
        <v>22241000</v>
      </c>
      <c r="E142" s="222">
        <f t="shared" si="56"/>
        <v>30709700</v>
      </c>
      <c r="F142" s="222">
        <f t="shared" si="56"/>
        <v>18634000</v>
      </c>
      <c r="G142" s="222">
        <f t="shared" si="56"/>
        <v>27163000</v>
      </c>
      <c r="H142" s="222">
        <f t="shared" si="56"/>
        <v>26324000</v>
      </c>
      <c r="I142" s="222">
        <f t="shared" si="56"/>
        <v>40517000</v>
      </c>
      <c r="J142" s="222">
        <f t="shared" si="56"/>
        <v>34566000</v>
      </c>
      <c r="K142" s="222">
        <f t="shared" si="56"/>
        <v>61253000</v>
      </c>
      <c r="L142" s="222">
        <f t="shared" si="56"/>
        <v>43121000</v>
      </c>
      <c r="M142" s="222">
        <f t="shared" si="56"/>
        <v>60314000</v>
      </c>
      <c r="N142" s="222">
        <f t="shared" si="56"/>
        <v>41028000</v>
      </c>
      <c r="O142" s="223">
        <f t="shared" si="56"/>
        <v>50100000</v>
      </c>
      <c r="P142" s="97"/>
    </row>
    <row r="143" spans="2:16" s="12" customFormat="1">
      <c r="B143" s="196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7"/>
      <c r="P143" s="97"/>
    </row>
    <row r="144" spans="2:16" s="12" customFormat="1">
      <c r="B144" s="191" t="s">
        <v>121</v>
      </c>
      <c r="C144" s="386">
        <v>65212000</v>
      </c>
      <c r="D144" s="386">
        <v>21864000</v>
      </c>
      <c r="E144" s="386">
        <v>30501700</v>
      </c>
      <c r="F144" s="386">
        <v>18083000</v>
      </c>
      <c r="G144" s="386">
        <v>27431000</v>
      </c>
      <c r="H144" s="386">
        <v>26361000</v>
      </c>
      <c r="I144" s="386">
        <v>39262000</v>
      </c>
      <c r="J144" s="386">
        <v>32598000</v>
      </c>
      <c r="K144" s="386">
        <v>58073000</v>
      </c>
      <c r="L144" s="386">
        <v>43069000</v>
      </c>
      <c r="M144" s="386">
        <v>61028000</v>
      </c>
      <c r="N144" s="386">
        <v>40145000</v>
      </c>
      <c r="O144" s="387">
        <v>50358000</v>
      </c>
      <c r="P144" s="3"/>
    </row>
    <row r="145" spans="2:16" s="12" customFormat="1">
      <c r="B145" s="224" t="s">
        <v>87</v>
      </c>
      <c r="C145" s="225">
        <f>C142/C144-1</f>
        <v>1.8922897626203694E-2</v>
      </c>
      <c r="D145" s="225">
        <f t="shared" ref="D145:O145" si="57">D142/D144-1</f>
        <v>1.7242956458104697E-2</v>
      </c>
      <c r="E145" s="225">
        <f t="shared" si="57"/>
        <v>6.8192920394600787E-3</v>
      </c>
      <c r="F145" s="225">
        <f t="shared" si="57"/>
        <v>3.0470607753138257E-2</v>
      </c>
      <c r="G145" s="225">
        <f t="shared" si="57"/>
        <v>-9.7699682840581836E-3</v>
      </c>
      <c r="H145" s="225">
        <f t="shared" si="57"/>
        <v>-1.4035886347255611E-3</v>
      </c>
      <c r="I145" s="225">
        <f t="shared" si="57"/>
        <v>3.1964749630686073E-2</v>
      </c>
      <c r="J145" s="225">
        <f t="shared" si="57"/>
        <v>6.0371801951039972E-2</v>
      </c>
      <c r="K145" s="225">
        <f t="shared" si="57"/>
        <v>5.4758665817161267E-2</v>
      </c>
      <c r="L145" s="225">
        <f t="shared" si="57"/>
        <v>1.2073649260488928E-3</v>
      </c>
      <c r="M145" s="225">
        <f t="shared" si="57"/>
        <v>-1.1699547748574401E-2</v>
      </c>
      <c r="N145" s="225">
        <f t="shared" si="57"/>
        <v>2.199526715655753E-2</v>
      </c>
      <c r="O145" s="226">
        <f t="shared" si="57"/>
        <v>-5.1233170499225267E-3</v>
      </c>
      <c r="P145" s="227"/>
    </row>
    <row r="146" spans="2:16" s="12" customFormat="1">
      <c r="B146" s="43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28"/>
      <c r="P146" s="227"/>
    </row>
    <row r="147" spans="2:16" s="12" customFormat="1">
      <c r="B147" s="43"/>
      <c r="C147" s="229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230"/>
      <c r="P147" s="227"/>
    </row>
    <row r="148" spans="2:16" s="12" customFormat="1">
      <c r="B148" s="192" t="s">
        <v>85</v>
      </c>
      <c r="C148" s="20" t="s">
        <v>45</v>
      </c>
      <c r="D148" s="20" t="s">
        <v>46</v>
      </c>
      <c r="E148" s="20" t="s">
        <v>47</v>
      </c>
      <c r="F148" s="20" t="s">
        <v>48</v>
      </c>
      <c r="G148" s="20" t="s">
        <v>49</v>
      </c>
      <c r="H148" s="20" t="s">
        <v>50</v>
      </c>
      <c r="I148" s="20" t="s">
        <v>51</v>
      </c>
      <c r="J148" s="20" t="s">
        <v>52</v>
      </c>
      <c r="K148" s="20" t="s">
        <v>53</v>
      </c>
      <c r="L148" s="20" t="s">
        <v>54</v>
      </c>
      <c r="M148" s="20" t="s">
        <v>55</v>
      </c>
      <c r="N148" s="20" t="s">
        <v>56</v>
      </c>
      <c r="O148" s="231" t="s">
        <v>57</v>
      </c>
      <c r="P148" s="227"/>
    </row>
    <row r="149" spans="2:16" s="12" customFormat="1">
      <c r="B149" s="43" t="s">
        <v>58</v>
      </c>
      <c r="C149" s="18">
        <f t="shared" ref="C149:C160" si="58">C81/$C$93</f>
        <v>9.0438629645271829E-2</v>
      </c>
      <c r="D149" s="18">
        <f t="shared" ref="D149:D160" si="59">D81/$D$93</f>
        <v>0.13738295404560355</v>
      </c>
      <c r="E149" s="18">
        <f t="shared" ref="E149:E160" si="60">E81/$E$93</f>
        <v>8.6692423010552008E-2</v>
      </c>
      <c r="F149" s="18">
        <f t="shared" ref="F149:F160" si="61">F81/$F$93</f>
        <v>0.1439534864282988</v>
      </c>
      <c r="G149" s="18">
        <f t="shared" ref="G149:G160" si="62">G81/$G$93</f>
        <v>0.11892074802096296</v>
      </c>
      <c r="H149" s="18">
        <f t="shared" ref="H149:H160" si="63">H81/$H$93</f>
        <v>0.13962493669552142</v>
      </c>
      <c r="I149" s="18">
        <f t="shared" ref="I149:I160" si="64">I81/$I$93</f>
        <v>0.11225826675279582</v>
      </c>
      <c r="J149" s="18">
        <f t="shared" ref="J149:J160" si="65">J81/$J$93</f>
        <v>8.6285537118372599E-2</v>
      </c>
      <c r="K149" s="18">
        <f t="shared" ref="K149:K160" si="66">K81/$K$93</f>
        <v>0.12022261077435602</v>
      </c>
      <c r="L149" s="18">
        <f t="shared" ref="L149:L160" si="67">L81/$L$93</f>
        <v>3.5032068121568075E-2</v>
      </c>
      <c r="M149" s="18">
        <f t="shared" ref="M149:M160" si="68">M81/$M$93</f>
        <v>0.11534126420248168</v>
      </c>
      <c r="N149" s="18">
        <f t="shared" ref="N149:N160" si="69">N81/$N$93</f>
        <v>4.2410057934989275E-2</v>
      </c>
      <c r="O149" s="232">
        <f t="shared" ref="O149:O160" si="70">O81/$O$93</f>
        <v>7.1307852534065089E-2</v>
      </c>
      <c r="P149" s="227"/>
    </row>
    <row r="150" spans="2:16" s="12" customFormat="1">
      <c r="B150" s="43" t="s">
        <v>9</v>
      </c>
      <c r="C150" s="18">
        <f t="shared" si="58"/>
        <v>8.4607781146026129E-2</v>
      </c>
      <c r="D150" s="18">
        <f t="shared" si="59"/>
        <v>0.11821771342912286</v>
      </c>
      <c r="E150" s="18">
        <f t="shared" si="60"/>
        <v>9.3310579968927276E-2</v>
      </c>
      <c r="F150" s="18">
        <f t="shared" si="61"/>
        <v>0.12205002263991764</v>
      </c>
      <c r="G150" s="18">
        <f t="shared" si="62"/>
        <v>0.10773768717497491</v>
      </c>
      <c r="H150" s="18">
        <f t="shared" si="63"/>
        <v>0.13089625272983316</v>
      </c>
      <c r="I150" s="18">
        <f t="shared" si="64"/>
        <v>0.11362534480745252</v>
      </c>
      <c r="J150" s="18">
        <f t="shared" si="65"/>
        <v>9.3909257672866078E-2</v>
      </c>
      <c r="K150" s="18">
        <f t="shared" si="66"/>
        <v>0.11769577789623108</v>
      </c>
      <c r="L150" s="18">
        <f t="shared" si="67"/>
        <v>4.2628891484064978E-2</v>
      </c>
      <c r="M150" s="18">
        <f t="shared" si="68"/>
        <v>0.11599459504529447</v>
      </c>
      <c r="N150" s="18">
        <f t="shared" si="69"/>
        <v>5.1294929178165354E-2</v>
      </c>
      <c r="O150" s="232">
        <f t="shared" si="70"/>
        <v>6.3968902443727688E-2</v>
      </c>
      <c r="P150" s="227"/>
    </row>
    <row r="151" spans="2:16" s="12" customFormat="1">
      <c r="B151" s="43" t="s">
        <v>59</v>
      </c>
      <c r="C151" s="18">
        <f t="shared" si="58"/>
        <v>7.5432650316947777E-2</v>
      </c>
      <c r="D151" s="18">
        <f t="shared" si="59"/>
        <v>9.9570736408930063E-2</v>
      </c>
      <c r="E151" s="18">
        <f t="shared" si="60"/>
        <v>9.3510284727378337E-2</v>
      </c>
      <c r="F151" s="18">
        <f t="shared" si="61"/>
        <v>9.9715043604449216E-2</v>
      </c>
      <c r="G151" s="18">
        <f t="shared" si="62"/>
        <v>9.2980147341923017E-2</v>
      </c>
      <c r="H151" s="18">
        <f t="shared" si="63"/>
        <v>0.11073364739913641</v>
      </c>
      <c r="I151" s="18">
        <f t="shared" si="64"/>
        <v>0.11962974457116921</v>
      </c>
      <c r="J151" s="18">
        <f t="shared" si="65"/>
        <v>0.10285872382396384</v>
      </c>
      <c r="K151" s="18">
        <f t="shared" si="66"/>
        <v>0.10062941205181414</v>
      </c>
      <c r="L151" s="18">
        <f t="shared" si="67"/>
        <v>6.2720812906729026E-2</v>
      </c>
      <c r="M151" s="18">
        <f t="shared" si="68"/>
        <v>0.10762207113038985</v>
      </c>
      <c r="N151" s="18">
        <f t="shared" si="69"/>
        <v>7.5647035281580621E-2</v>
      </c>
      <c r="O151" s="232">
        <f t="shared" si="70"/>
        <v>6.6928033976011755E-2</v>
      </c>
    </row>
    <row r="152" spans="2:16" s="12" customFormat="1">
      <c r="B152" s="43" t="s">
        <v>60</v>
      </c>
      <c r="C152" s="18">
        <f t="shared" si="58"/>
        <v>3.0652408341649524E-2</v>
      </c>
      <c r="D152" s="18">
        <f t="shared" si="59"/>
        <v>0.11495359889266449</v>
      </c>
      <c r="E152" s="18">
        <f t="shared" si="60"/>
        <v>9.5190154166113941E-2</v>
      </c>
      <c r="F152" s="18">
        <f t="shared" si="61"/>
        <v>8.4895934481291332E-2</v>
      </c>
      <c r="G152" s="18">
        <f t="shared" si="62"/>
        <v>6.173832712141946E-2</v>
      </c>
      <c r="H152" s="18">
        <f t="shared" si="63"/>
        <v>5.8959212332763467E-2</v>
      </c>
      <c r="I152" s="18">
        <f t="shared" si="64"/>
        <v>4.4427296042472024E-2</v>
      </c>
      <c r="J152" s="18">
        <f t="shared" si="65"/>
        <v>3.586005164010804E-2</v>
      </c>
      <c r="K152" s="18">
        <f t="shared" si="66"/>
        <v>7.7548249424674143E-2</v>
      </c>
      <c r="L152" s="18">
        <f t="shared" si="67"/>
        <v>0.1356906591263351</v>
      </c>
      <c r="M152" s="18">
        <f t="shared" si="68"/>
        <v>1.4164958409619292E-2</v>
      </c>
      <c r="N152" s="18">
        <f t="shared" si="69"/>
        <v>0.14038328820833415</v>
      </c>
      <c r="O152" s="232">
        <f t="shared" si="70"/>
        <v>0.10161330999820165</v>
      </c>
    </row>
    <row r="153" spans="2:16" s="12" customFormat="1">
      <c r="B153" s="43" t="s">
        <v>61</v>
      </c>
      <c r="C153" s="18">
        <f t="shared" si="58"/>
        <v>4.7720797794838878E-2</v>
      </c>
      <c r="D153" s="18">
        <f t="shared" si="59"/>
        <v>0.1892450559913805</v>
      </c>
      <c r="E153" s="18">
        <f t="shared" si="60"/>
        <v>0.12929904164813297</v>
      </c>
      <c r="F153" s="18">
        <f t="shared" si="61"/>
        <v>0.11630482447096886</v>
      </c>
      <c r="G153" s="18">
        <f t="shared" si="62"/>
        <v>0.25954044887736027</v>
      </c>
      <c r="H153" s="18">
        <f t="shared" si="63"/>
        <v>0.14580963196084334</v>
      </c>
      <c r="I153" s="18">
        <f t="shared" si="64"/>
        <v>0.22840910646421314</v>
      </c>
      <c r="J153" s="18">
        <f t="shared" si="65"/>
        <v>0.31076205716691124</v>
      </c>
      <c r="K153" s="18">
        <f t="shared" si="66"/>
        <v>0.25542937645956171</v>
      </c>
      <c r="L153" s="18">
        <f t="shared" si="67"/>
        <v>0.25916243527469413</v>
      </c>
      <c r="M153" s="18">
        <f t="shared" si="68"/>
        <v>0.10771042480516231</v>
      </c>
      <c r="N153" s="18">
        <f t="shared" si="69"/>
        <v>0.24022372090627864</v>
      </c>
      <c r="O153" s="232">
        <f t="shared" si="70"/>
        <v>0.23107056625011613</v>
      </c>
    </row>
    <row r="154" spans="2:16" s="12" customFormat="1">
      <c r="B154" s="43" t="s">
        <v>101</v>
      </c>
      <c r="C154" s="18">
        <f t="shared" si="58"/>
        <v>8.7036301495887151E-3</v>
      </c>
      <c r="D154" s="18">
        <f t="shared" si="59"/>
        <v>1.1787956307725144E-3</v>
      </c>
      <c r="E154" s="18">
        <f t="shared" si="60"/>
        <v>4.1977157070502277E-3</v>
      </c>
      <c r="F154" s="18">
        <f t="shared" si="61"/>
        <v>2.3647869386268115E-3</v>
      </c>
      <c r="G154" s="18">
        <f t="shared" si="62"/>
        <v>2.6384259566009814E-3</v>
      </c>
      <c r="H154" s="18">
        <f t="shared" si="63"/>
        <v>0</v>
      </c>
      <c r="I154" s="18">
        <f t="shared" si="64"/>
        <v>1.204826609517008E-2</v>
      </c>
      <c r="J154" s="18">
        <f t="shared" si="65"/>
        <v>4.1063489211110041E-2</v>
      </c>
      <c r="K154" s="18">
        <f t="shared" si="66"/>
        <v>0</v>
      </c>
      <c r="L154" s="18">
        <f t="shared" si="67"/>
        <v>8.9886202799317524E-3</v>
      </c>
      <c r="M154" s="18">
        <f t="shared" si="68"/>
        <v>1.167241208002963E-3</v>
      </c>
      <c r="N154" s="18">
        <f t="shared" si="69"/>
        <v>5.1406130830290034E-3</v>
      </c>
      <c r="O154" s="232">
        <f t="shared" si="70"/>
        <v>2.8996196871760964E-4</v>
      </c>
    </row>
    <row r="155" spans="2:16" s="12" customFormat="1">
      <c r="B155" s="43" t="s">
        <v>97</v>
      </c>
      <c r="C155" s="18">
        <f t="shared" si="58"/>
        <v>6.5958210597106739E-3</v>
      </c>
      <c r="D155" s="18">
        <f t="shared" si="59"/>
        <v>4.7078938937440189E-2</v>
      </c>
      <c r="E155" s="18">
        <f t="shared" si="60"/>
        <v>4.2094630457826448E-5</v>
      </c>
      <c r="F155" s="18">
        <f t="shared" si="61"/>
        <v>4.4694139601691501E-3</v>
      </c>
      <c r="G155" s="18">
        <f t="shared" si="62"/>
        <v>7.8581399828447085E-3</v>
      </c>
      <c r="H155" s="18">
        <f t="shared" si="63"/>
        <v>5.2483759307992281E-3</v>
      </c>
      <c r="I155" s="18">
        <f t="shared" si="64"/>
        <v>4.7468048914110189E-2</v>
      </c>
      <c r="J155" s="18">
        <f t="shared" si="65"/>
        <v>1.4022834867175168E-3</v>
      </c>
      <c r="K155" s="18">
        <f t="shared" si="66"/>
        <v>3.7939634859509179E-2</v>
      </c>
      <c r="L155" s="18">
        <f t="shared" si="67"/>
        <v>2.9307873984056954E-3</v>
      </c>
      <c r="M155" s="18">
        <f t="shared" si="68"/>
        <v>7.1065535547247066E-2</v>
      </c>
      <c r="N155" s="18">
        <f t="shared" si="69"/>
        <v>7.6878347246087622E-2</v>
      </c>
      <c r="O155" s="232">
        <f t="shared" si="70"/>
        <v>6.4439299261974808E-2</v>
      </c>
    </row>
    <row r="156" spans="2:16" s="12" customFormat="1">
      <c r="B156" s="43" t="s">
        <v>62</v>
      </c>
      <c r="C156" s="18">
        <f t="shared" si="58"/>
        <v>0.20701928045817569</v>
      </c>
      <c r="D156" s="18">
        <f t="shared" si="59"/>
        <v>5.9605569796196398E-2</v>
      </c>
      <c r="E156" s="18">
        <f t="shared" si="60"/>
        <v>4.8090667935830798E-2</v>
      </c>
      <c r="F156" s="18">
        <f t="shared" si="61"/>
        <v>8.8804587081719122E-2</v>
      </c>
      <c r="G156" s="18">
        <f t="shared" si="62"/>
        <v>7.4027174132658122E-2</v>
      </c>
      <c r="H156" s="18">
        <f t="shared" si="63"/>
        <v>4.3528647028658822E-2</v>
      </c>
      <c r="I156" s="18">
        <f t="shared" si="64"/>
        <v>9.3842727729441203E-2</v>
      </c>
      <c r="J156" s="18">
        <f t="shared" si="65"/>
        <v>0.15102565816986904</v>
      </c>
      <c r="K156" s="18">
        <f t="shared" si="66"/>
        <v>7.6991124110151576E-2</v>
      </c>
      <c r="L156" s="18">
        <f t="shared" si="67"/>
        <v>0.1926600198282315</v>
      </c>
      <c r="M156" s="18">
        <f t="shared" si="68"/>
        <v>0.10099878785914526</v>
      </c>
      <c r="N156" s="18">
        <f t="shared" si="69"/>
        <v>6.5348565821364044E-2</v>
      </c>
      <c r="O156" s="232">
        <f t="shared" si="70"/>
        <v>7.3693391176265874E-2</v>
      </c>
    </row>
    <row r="157" spans="2:16" s="12" customFormat="1">
      <c r="B157" s="43" t="s">
        <v>63</v>
      </c>
      <c r="C157" s="18">
        <f t="shared" si="58"/>
        <v>5.2701712813381443E-2</v>
      </c>
      <c r="D157" s="18">
        <f t="shared" si="59"/>
        <v>0.12265922193686413</v>
      </c>
      <c r="E157" s="18">
        <f t="shared" si="60"/>
        <v>6.1115529755397788E-2</v>
      </c>
      <c r="F157" s="18">
        <f t="shared" si="61"/>
        <v>0.17560794403201924</v>
      </c>
      <c r="G157" s="18">
        <f t="shared" si="62"/>
        <v>0.10171384141609835</v>
      </c>
      <c r="H157" s="18">
        <f t="shared" si="63"/>
        <v>7.6345166077608648E-2</v>
      </c>
      <c r="I157" s="18">
        <f t="shared" si="64"/>
        <v>9.5278872277637094E-2</v>
      </c>
      <c r="J157" s="18">
        <f t="shared" si="65"/>
        <v>3.9136830060580989E-2</v>
      </c>
      <c r="K157" s="18">
        <f t="shared" si="66"/>
        <v>2.9495292457885337E-2</v>
      </c>
      <c r="L157" s="18">
        <f t="shared" si="67"/>
        <v>2.5698905870692793E-2</v>
      </c>
      <c r="M157" s="18">
        <f t="shared" si="68"/>
        <v>0.22119220891656149</v>
      </c>
      <c r="N157" s="18">
        <f t="shared" si="69"/>
        <v>6.6689319918183623E-2</v>
      </c>
      <c r="O157" s="232">
        <f t="shared" si="70"/>
        <v>4.9667066475756499E-2</v>
      </c>
    </row>
    <row r="158" spans="2:16" s="12" customFormat="1">
      <c r="B158" s="43" t="s">
        <v>16</v>
      </c>
      <c r="C158" s="18">
        <f t="shared" si="58"/>
        <v>3.8864756834135893E-2</v>
      </c>
      <c r="D158" s="18">
        <f t="shared" si="59"/>
        <v>3.3639827750939766E-2</v>
      </c>
      <c r="E158" s="18">
        <f t="shared" si="60"/>
        <v>9.2143188182393365E-2</v>
      </c>
      <c r="F158" s="18">
        <f t="shared" si="61"/>
        <v>6.2851133814878668E-2</v>
      </c>
      <c r="G158" s="18">
        <f t="shared" si="62"/>
        <v>3.8652100001160879E-2</v>
      </c>
      <c r="H158" s="18">
        <f t="shared" si="63"/>
        <v>0.12710024864813466</v>
      </c>
      <c r="I158" s="18">
        <f t="shared" si="64"/>
        <v>5.2950978380046851E-2</v>
      </c>
      <c r="J158" s="18">
        <f t="shared" si="65"/>
        <v>4.0353235814166367E-2</v>
      </c>
      <c r="K158" s="18">
        <f t="shared" si="66"/>
        <v>6.5965434417906477E-2</v>
      </c>
      <c r="L158" s="18">
        <f t="shared" si="67"/>
        <v>3.6280487604891935E-2</v>
      </c>
      <c r="M158" s="18">
        <f t="shared" si="68"/>
        <v>2.3091516606239173E-2</v>
      </c>
      <c r="N158" s="18">
        <f t="shared" si="69"/>
        <v>7.090424962806724E-2</v>
      </c>
      <c r="O158" s="232">
        <f t="shared" si="70"/>
        <v>3.1599840095235136E-2</v>
      </c>
    </row>
    <row r="159" spans="2:16" s="12" customFormat="1">
      <c r="B159" s="43" t="s">
        <v>64</v>
      </c>
      <c r="C159" s="18">
        <f t="shared" si="58"/>
        <v>0.34059081820542569</v>
      </c>
      <c r="D159" s="18">
        <f t="shared" si="59"/>
        <v>2.2855634845220529E-2</v>
      </c>
      <c r="E159" s="18">
        <f t="shared" si="60"/>
        <v>0.13073374657488526</v>
      </c>
      <c r="F159" s="18">
        <f t="shared" si="61"/>
        <v>4.0132043671061005E-2</v>
      </c>
      <c r="G159" s="18">
        <f t="shared" si="62"/>
        <v>4.4065998816758253E-2</v>
      </c>
      <c r="H159" s="18">
        <f t="shared" si="63"/>
        <v>1.4949794798348655E-2</v>
      </c>
      <c r="I159" s="18">
        <f t="shared" si="64"/>
        <v>6.0643944281441958E-2</v>
      </c>
      <c r="J159" s="18">
        <f t="shared" si="65"/>
        <v>1.5560084722619152E-2</v>
      </c>
      <c r="K159" s="18">
        <f t="shared" si="66"/>
        <v>0.10063379716719295</v>
      </c>
      <c r="L159" s="18">
        <f t="shared" si="67"/>
        <v>0.16413227173091538</v>
      </c>
      <c r="M159" s="18">
        <f t="shared" si="68"/>
        <v>9.4873677461387126E-2</v>
      </c>
      <c r="N159" s="18">
        <f t="shared" si="69"/>
        <v>0.1404081238304819</v>
      </c>
      <c r="O159" s="232">
        <f t="shared" si="70"/>
        <v>0.21762356412321854</v>
      </c>
    </row>
    <row r="160" spans="2:16" s="12" customFormat="1">
      <c r="B160" s="193" t="s">
        <v>65</v>
      </c>
      <c r="C160" s="95">
        <f t="shared" si="58"/>
        <v>1.6671713234847788E-2</v>
      </c>
      <c r="D160" s="95">
        <f t="shared" si="59"/>
        <v>5.3611952334865168E-2</v>
      </c>
      <c r="E160" s="95">
        <f t="shared" si="60"/>
        <v>0.1656745736928803</v>
      </c>
      <c r="F160" s="95">
        <f t="shared" si="61"/>
        <v>5.8850778876600209E-2</v>
      </c>
      <c r="G160" s="95">
        <f t="shared" si="62"/>
        <v>9.012696115723802E-2</v>
      </c>
      <c r="H160" s="95">
        <f t="shared" si="63"/>
        <v>0.14680408639835241</v>
      </c>
      <c r="I160" s="95">
        <f t="shared" si="64"/>
        <v>1.9417403684049931E-2</v>
      </c>
      <c r="J160" s="95">
        <f t="shared" si="65"/>
        <v>8.1782791112715011E-2</v>
      </c>
      <c r="K160" s="95">
        <f t="shared" si="66"/>
        <v>1.7449290380717391E-2</v>
      </c>
      <c r="L160" s="95">
        <f t="shared" si="67"/>
        <v>3.4074040373539768E-2</v>
      </c>
      <c r="M160" s="95">
        <f t="shared" si="68"/>
        <v>2.6777718808469488E-2</v>
      </c>
      <c r="N160" s="95">
        <f t="shared" si="69"/>
        <v>2.4671748963438486E-2</v>
      </c>
      <c r="O160" s="233">
        <f t="shared" si="70"/>
        <v>2.7798211696709242E-2</v>
      </c>
    </row>
    <row r="161" spans="2:16" s="12" customFormat="1">
      <c r="B161" s="194" t="s">
        <v>38</v>
      </c>
      <c r="C161" s="234">
        <f t="shared" ref="C161:O161" si="71">SUM(C149:C160)</f>
        <v>1</v>
      </c>
      <c r="D161" s="234">
        <f t="shared" si="71"/>
        <v>1.0000000000000002</v>
      </c>
      <c r="E161" s="234">
        <f t="shared" si="71"/>
        <v>1</v>
      </c>
      <c r="F161" s="234">
        <f t="shared" si="71"/>
        <v>1.0000000000000002</v>
      </c>
      <c r="G161" s="234">
        <f t="shared" si="71"/>
        <v>1</v>
      </c>
      <c r="H161" s="234">
        <f t="shared" si="71"/>
        <v>1.0000000000000002</v>
      </c>
      <c r="I161" s="234">
        <f t="shared" si="71"/>
        <v>1</v>
      </c>
      <c r="J161" s="234">
        <f t="shared" si="71"/>
        <v>0.99999999999999989</v>
      </c>
      <c r="K161" s="234">
        <f t="shared" si="71"/>
        <v>0.99999999999999989</v>
      </c>
      <c r="L161" s="234">
        <f t="shared" si="71"/>
        <v>1</v>
      </c>
      <c r="M161" s="234">
        <f t="shared" si="71"/>
        <v>1.0000000000000002</v>
      </c>
      <c r="N161" s="234">
        <f t="shared" si="71"/>
        <v>1</v>
      </c>
      <c r="O161" s="235">
        <f t="shared" si="71"/>
        <v>0.99999999999999978</v>
      </c>
    </row>
    <row r="162" spans="2:16" s="12" customFormat="1">
      <c r="B162" s="19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5"/>
    </row>
    <row r="163" spans="2:16" s="12" customFormat="1">
      <c r="B163" s="19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5"/>
    </row>
    <row r="164" spans="2:16" s="12" customFormat="1">
      <c r="B164" s="194"/>
      <c r="C164" s="20" t="s">
        <v>45</v>
      </c>
      <c r="D164" s="20" t="s">
        <v>46</v>
      </c>
      <c r="E164" s="20" t="s">
        <v>47</v>
      </c>
      <c r="F164" s="20" t="s">
        <v>48</v>
      </c>
      <c r="G164" s="20" t="s">
        <v>49</v>
      </c>
      <c r="H164" s="20" t="s">
        <v>50</v>
      </c>
      <c r="I164" s="20" t="s">
        <v>51</v>
      </c>
      <c r="J164" s="20" t="s">
        <v>52</v>
      </c>
      <c r="K164" s="20" t="s">
        <v>53</v>
      </c>
      <c r="L164" s="20" t="s">
        <v>54</v>
      </c>
      <c r="M164" s="20" t="s">
        <v>55</v>
      </c>
      <c r="N164" s="20" t="s">
        <v>56</v>
      </c>
      <c r="O164" s="231" t="s">
        <v>57</v>
      </c>
    </row>
    <row r="165" spans="2:16" s="12" customFormat="1">
      <c r="B165" s="43" t="s">
        <v>122</v>
      </c>
      <c r="C165" s="213">
        <v>1000.5909060328313</v>
      </c>
      <c r="D165" s="213">
        <v>311.18781795351305</v>
      </c>
      <c r="E165" s="213">
        <v>450.70267964265292</v>
      </c>
      <c r="F165" s="213">
        <v>256.62700172580162</v>
      </c>
      <c r="G165" s="213">
        <v>406.78883249033589</v>
      </c>
      <c r="H165" s="213">
        <v>389.56827429855286</v>
      </c>
      <c r="I165" s="213">
        <v>595.42181774095309</v>
      </c>
      <c r="J165" s="213">
        <v>459.50548294531978</v>
      </c>
      <c r="K165" s="213">
        <v>883.00234185948352</v>
      </c>
      <c r="L165" s="213">
        <v>607.85542418608713</v>
      </c>
      <c r="M165" s="213">
        <v>836.66236858859395</v>
      </c>
      <c r="N165" s="213">
        <v>616.14353565264162</v>
      </c>
      <c r="O165" s="214">
        <v>710.21262675305331</v>
      </c>
    </row>
    <row r="166" spans="2:16" s="12" customFormat="1" ht="16.5" thickBot="1">
      <c r="B166" s="44" t="s">
        <v>87</v>
      </c>
      <c r="C166" s="236">
        <f>C93/C165-1</f>
        <v>2.7316532957726514E-2</v>
      </c>
      <c r="D166" s="236">
        <f t="shared" ref="D166:O166" si="72">D93/D165-1</f>
        <v>1.8948825068635822E-2</v>
      </c>
      <c r="E166" s="236">
        <f t="shared" si="72"/>
        <v>7.3238020916437385E-3</v>
      </c>
      <c r="F166" s="236">
        <f t="shared" si="72"/>
        <v>3.8482888283220884E-2</v>
      </c>
      <c r="G166" s="236">
        <f t="shared" si="72"/>
        <v>-2.4798275301426753E-2</v>
      </c>
      <c r="H166" s="236">
        <f t="shared" si="72"/>
        <v>6.4447905142313022E-3</v>
      </c>
      <c r="I166" s="236">
        <f t="shared" si="72"/>
        <v>2.1308951604499971E-2</v>
      </c>
      <c r="J166" s="236">
        <f t="shared" si="72"/>
        <v>6.1523429150556419E-2</v>
      </c>
      <c r="K166" s="236">
        <f t="shared" si="72"/>
        <v>5.0257268369209074E-2</v>
      </c>
      <c r="L166" s="236">
        <f t="shared" si="72"/>
        <v>5.8967230562572137E-3</v>
      </c>
      <c r="M166" s="236">
        <f t="shared" si="72"/>
        <v>-1.6984454333440535E-2</v>
      </c>
      <c r="N166" s="236">
        <f t="shared" si="72"/>
        <v>2.4899857725018792E-2</v>
      </c>
      <c r="O166" s="237">
        <f t="shared" si="72"/>
        <v>-1.1552674059374435E-2</v>
      </c>
    </row>
    <row r="167" spans="2:16" s="12" customFormat="1">
      <c r="B167" s="3"/>
    </row>
    <row r="168" spans="2:16" s="12" customFormat="1">
      <c r="B168" s="3"/>
    </row>
    <row r="169" spans="2:16" s="12" customFormat="1">
      <c r="B169" s="3"/>
    </row>
    <row r="170" spans="2:16" s="12" customFormat="1">
      <c r="B170" s="3"/>
    </row>
    <row r="171" spans="2:16" s="12" customFormat="1"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s="12" customFormat="1"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7" ht="21" customHeight="1"/>
  </sheetData>
  <mergeCells count="1">
    <mergeCell ref="B2:O2"/>
  </mergeCells>
  <phoneticPr fontId="20" type="noConversion"/>
  <conditionalFormatting sqref="C95:O96 C81:G92 H87:H92 H81:H85 I81:J92 K81:K85 K87:K92 L81:O92 C149:O160">
    <cfRule type="cellIs" dxfId="3" priority="21" stopIfTrue="1" operator="equal">
      <formula>0</formula>
    </cfRule>
  </conditionalFormatting>
  <conditionalFormatting sqref="Q56:Q60 P68:P70 Q36:Q39 Q45:Q54 C87:O87 C65:O76 P72:P77">
    <cfRule type="cellIs" dxfId="2" priority="22" stopIfTrue="1" operator="equal">
      <formula>"NA"</formula>
    </cfRule>
  </conditionalFormatting>
  <conditionalFormatting sqref="C149:C16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9:D16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9:E16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9:F16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9:G16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9:H16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9:I16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9:J16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9:K16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9:L16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9:M16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9:N16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9:O16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9:O16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" right="0.5" top="0.5" bottom="0.5" header="0" footer="0"/>
  <pageSetup paperSize="5" scale="53" fitToHeight="2" orientation="landscape" r:id="rId1"/>
  <headerFooter alignWithMargins="0"/>
  <rowBreaks count="1" manualBreakCount="1">
    <brk id="62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X169"/>
  <sheetViews>
    <sheetView view="pageBreakPreview" zoomScale="60" zoomScaleNormal="100" workbookViewId="0">
      <selection activeCell="V96" sqref="V96"/>
    </sheetView>
  </sheetViews>
  <sheetFormatPr defaultRowHeight="15.75"/>
  <cols>
    <col min="1" max="1" width="8.7109375" style="37" bestFit="1" customWidth="1"/>
    <col min="2" max="2" width="67.7109375" style="49" bestFit="1" customWidth="1"/>
    <col min="3" max="3" width="19.42578125" style="37" bestFit="1" customWidth="1"/>
    <col min="4" max="4" width="19" style="37" bestFit="1" customWidth="1"/>
    <col min="5" max="5" width="19.42578125" style="37" bestFit="1" customWidth="1"/>
    <col min="6" max="6" width="19" style="37" bestFit="1" customWidth="1"/>
    <col min="7" max="7" width="20.5703125" style="37" bestFit="1" customWidth="1"/>
    <col min="8" max="9" width="19.42578125" style="37" bestFit="1" customWidth="1"/>
    <col min="10" max="11" width="20.5703125" style="37" bestFit="1" customWidth="1"/>
    <col min="12" max="12" width="22.28515625" style="37" bestFit="1" customWidth="1"/>
    <col min="13" max="13" width="6.28515625" style="37" customWidth="1"/>
    <col min="14" max="14" width="19.42578125" style="37" bestFit="1" customWidth="1"/>
    <col min="15" max="15" width="19.140625" style="37" bestFit="1" customWidth="1"/>
    <col min="16" max="16" width="30.140625" style="37" bestFit="1" customWidth="1"/>
    <col min="17" max="18" width="8" style="37" bestFit="1" customWidth="1"/>
    <col min="19" max="20" width="8.7109375" style="37" bestFit="1" customWidth="1"/>
    <col min="21" max="21" width="8.28515625" style="37" bestFit="1" customWidth="1"/>
    <col min="22" max="23" width="8.7109375" style="37" bestFit="1" customWidth="1"/>
    <col min="24" max="24" width="8" style="37" bestFit="1" customWidth="1"/>
    <col min="25" max="16384" width="9.140625" style="37"/>
  </cols>
  <sheetData>
    <row r="2" spans="2:22" s="45" customFormat="1" ht="28.5">
      <c r="B2" s="405" t="s">
        <v>127</v>
      </c>
      <c r="C2" s="405"/>
      <c r="D2" s="405"/>
      <c r="E2" s="405"/>
      <c r="F2" s="405"/>
      <c r="G2" s="405"/>
      <c r="H2" s="405"/>
      <c r="I2" s="405"/>
      <c r="J2" s="405"/>
      <c r="K2" s="405"/>
    </row>
    <row r="4" spans="2:22">
      <c r="B4" s="13" t="s">
        <v>123</v>
      </c>
      <c r="C4" s="2" t="s">
        <v>1</v>
      </c>
      <c r="D4" s="2" t="s">
        <v>0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2:22">
      <c r="B5" s="3" t="s">
        <v>9</v>
      </c>
      <c r="C5" s="203">
        <v>1200.6666666666667</v>
      </c>
      <c r="D5" s="203">
        <v>1499.3333333333333</v>
      </c>
      <c r="E5" s="203">
        <v>1821.3333333333333</v>
      </c>
      <c r="F5" s="203">
        <v>1908.6666666666667</v>
      </c>
      <c r="G5" s="203">
        <v>3009</v>
      </c>
      <c r="H5" s="203">
        <v>1722.3333333333333</v>
      </c>
      <c r="I5" s="203">
        <v>1031.3333333333333</v>
      </c>
      <c r="J5" s="203">
        <v>2171</v>
      </c>
      <c r="K5" s="203">
        <v>3313.3333333333335</v>
      </c>
      <c r="L5" s="47"/>
      <c r="M5" s="47"/>
      <c r="N5" s="48"/>
      <c r="O5" s="48"/>
      <c r="P5" s="48"/>
      <c r="Q5" s="48"/>
      <c r="R5" s="48"/>
      <c r="S5" s="48"/>
      <c r="T5" s="48"/>
      <c r="U5" s="48"/>
    </row>
    <row r="6" spans="2:22">
      <c r="B6" s="3" t="s">
        <v>10</v>
      </c>
      <c r="C6" s="203">
        <v>1150.6666666666667</v>
      </c>
      <c r="D6" s="203">
        <v>1431</v>
      </c>
      <c r="E6" s="203">
        <v>1609.3333333333333</v>
      </c>
      <c r="F6" s="203">
        <v>1599.6666666666667</v>
      </c>
      <c r="G6" s="203">
        <v>3178.3333333333335</v>
      </c>
      <c r="H6" s="203">
        <v>1689.6666666666667</v>
      </c>
      <c r="I6" s="203">
        <v>874</v>
      </c>
      <c r="J6" s="203">
        <v>2342.6666666666665</v>
      </c>
      <c r="K6" s="203">
        <v>3909.3333333333335</v>
      </c>
      <c r="L6" s="47"/>
      <c r="M6" s="47"/>
      <c r="N6" s="48"/>
      <c r="O6" s="48"/>
      <c r="P6" s="48"/>
      <c r="Q6" s="48"/>
      <c r="R6" s="48"/>
      <c r="S6" s="48"/>
      <c r="T6" s="48"/>
      <c r="U6" s="48"/>
    </row>
    <row r="7" spans="2:22">
      <c r="B7" s="3" t="s">
        <v>11</v>
      </c>
      <c r="C7" s="203">
        <v>1193.3333333333333</v>
      </c>
      <c r="D7" s="203">
        <v>1434.3333333333333</v>
      </c>
      <c r="E7" s="203">
        <v>1707.6666666666667</v>
      </c>
      <c r="F7" s="203">
        <v>1675.3333333333333</v>
      </c>
      <c r="G7" s="203">
        <v>3700.3333333333335</v>
      </c>
      <c r="H7" s="203">
        <v>1929.6666666666667</v>
      </c>
      <c r="I7" s="203">
        <v>901.33333333333337</v>
      </c>
      <c r="J7" s="203">
        <v>2596</v>
      </c>
      <c r="K7" s="203">
        <v>4174.666666666667</v>
      </c>
      <c r="L7" s="47"/>
      <c r="M7" s="47"/>
      <c r="N7" s="48"/>
      <c r="O7" s="48"/>
      <c r="P7" s="48"/>
      <c r="Q7" s="48"/>
      <c r="R7" s="48"/>
      <c r="S7" s="48"/>
      <c r="T7" s="48"/>
      <c r="U7" s="48"/>
    </row>
    <row r="8" spans="2:22">
      <c r="B8" s="3" t="s">
        <v>12</v>
      </c>
      <c r="C8" s="203">
        <v>1195.3333333333333</v>
      </c>
      <c r="D8" s="203">
        <v>1694</v>
      </c>
      <c r="E8" s="203">
        <v>1776.6666666666667</v>
      </c>
      <c r="F8" s="203">
        <v>1636</v>
      </c>
      <c r="G8" s="203">
        <v>4027.3333333333335</v>
      </c>
      <c r="H8" s="203">
        <v>2260.3333333333335</v>
      </c>
      <c r="I8" s="203">
        <v>1026.6666666666667</v>
      </c>
      <c r="J8" s="203">
        <v>2867.3333333333335</v>
      </c>
      <c r="K8" s="203">
        <v>4439.333333333333</v>
      </c>
      <c r="L8" s="47"/>
      <c r="M8" s="47"/>
      <c r="N8" s="48"/>
      <c r="O8" s="48"/>
      <c r="P8" s="48"/>
      <c r="Q8" s="48"/>
      <c r="R8" s="48"/>
      <c r="S8" s="48"/>
      <c r="T8" s="48"/>
      <c r="U8" s="48"/>
    </row>
    <row r="9" spans="2:22">
      <c r="B9" s="6" t="s">
        <v>13</v>
      </c>
      <c r="C9" s="203">
        <v>119.33333333333333</v>
      </c>
      <c r="D9" s="203">
        <v>315.33333333333331</v>
      </c>
      <c r="E9" s="203">
        <v>390.66666666666669</v>
      </c>
      <c r="F9" s="203">
        <v>456.33333333333331</v>
      </c>
      <c r="G9" s="203">
        <v>932</v>
      </c>
      <c r="H9" s="203">
        <v>610.66666666666663</v>
      </c>
      <c r="I9" s="203">
        <v>445.66666666666669</v>
      </c>
      <c r="J9" s="203">
        <v>1048</v>
      </c>
      <c r="K9" s="203">
        <v>1589.6666666666667</v>
      </c>
      <c r="L9" s="47"/>
      <c r="M9" s="47"/>
      <c r="N9" s="48"/>
      <c r="O9" s="48"/>
      <c r="P9" s="48"/>
      <c r="Q9" s="48"/>
      <c r="R9" s="48"/>
      <c r="S9" s="48"/>
      <c r="T9" s="48"/>
      <c r="U9" s="48"/>
    </row>
    <row r="10" spans="2:22">
      <c r="B10" s="6" t="s">
        <v>14</v>
      </c>
      <c r="C10" s="203">
        <v>0</v>
      </c>
      <c r="D10" s="203">
        <v>0</v>
      </c>
      <c r="E10" s="203">
        <v>17.666666666666668</v>
      </c>
      <c r="F10" s="203">
        <v>64</v>
      </c>
      <c r="G10" s="203">
        <v>25</v>
      </c>
      <c r="H10" s="203">
        <v>94.333333333333329</v>
      </c>
      <c r="I10" s="203">
        <v>74.333333333333329</v>
      </c>
      <c r="J10" s="203">
        <v>263.33333333333331</v>
      </c>
      <c r="K10" s="203">
        <v>561.66666666666663</v>
      </c>
      <c r="L10" s="47"/>
      <c r="M10" s="47"/>
      <c r="N10" s="48"/>
      <c r="O10" s="48"/>
      <c r="P10" s="48"/>
      <c r="Q10" s="48"/>
      <c r="R10" s="48"/>
      <c r="S10" s="48"/>
      <c r="T10" s="48"/>
      <c r="U10" s="48"/>
    </row>
    <row r="11" spans="2:22">
      <c r="B11" s="3" t="s">
        <v>15</v>
      </c>
      <c r="C11" s="203">
        <v>2424243.3766666665</v>
      </c>
      <c r="D11" s="203">
        <v>2869735.4333333336</v>
      </c>
      <c r="E11" s="203">
        <v>8935800.206666667</v>
      </c>
      <c r="F11" s="203">
        <v>10346769.310000001</v>
      </c>
      <c r="G11" s="203">
        <v>18631740.400000002</v>
      </c>
      <c r="H11" s="203">
        <v>22201777.333333332</v>
      </c>
      <c r="I11" s="203">
        <v>31935606.333333332</v>
      </c>
      <c r="J11" s="203">
        <v>55166212</v>
      </c>
      <c r="K11" s="203">
        <v>149776942.60333332</v>
      </c>
      <c r="L11" s="47" t="s">
        <v>96</v>
      </c>
      <c r="M11" s="47"/>
      <c r="N11" s="48"/>
      <c r="O11" s="48"/>
      <c r="P11" s="48"/>
      <c r="Q11" s="48"/>
      <c r="R11" s="48"/>
      <c r="S11" s="48"/>
      <c r="T11" s="48"/>
      <c r="U11" s="48"/>
    </row>
    <row r="12" spans="2:22">
      <c r="B12" s="3" t="s">
        <v>16</v>
      </c>
      <c r="C12" s="203">
        <v>259.66666666666669</v>
      </c>
      <c r="D12" s="203">
        <v>225</v>
      </c>
      <c r="E12" s="203">
        <v>354.33333333333331</v>
      </c>
      <c r="F12" s="203">
        <v>610</v>
      </c>
      <c r="G12" s="203">
        <v>650.66666666666663</v>
      </c>
      <c r="H12" s="203">
        <v>387.66666666666669</v>
      </c>
      <c r="I12" s="203">
        <v>218</v>
      </c>
      <c r="J12" s="203">
        <v>475</v>
      </c>
      <c r="K12" s="203">
        <v>595</v>
      </c>
      <c r="L12" s="47"/>
      <c r="M12" s="47"/>
      <c r="N12" s="48"/>
      <c r="O12" s="48"/>
      <c r="P12" s="48"/>
      <c r="Q12" s="48"/>
      <c r="R12" s="48"/>
      <c r="S12" s="48"/>
      <c r="T12" s="48"/>
      <c r="U12" s="48"/>
      <c r="V12" s="48"/>
    </row>
    <row r="13" spans="2:22">
      <c r="B13" s="6" t="s">
        <v>17</v>
      </c>
      <c r="C13" s="203">
        <v>17.934514457883008</v>
      </c>
      <c r="D13" s="203">
        <v>20.199071311094027</v>
      </c>
      <c r="E13" s="203">
        <v>19.544607148549435</v>
      </c>
      <c r="F13" s="203">
        <v>17.844056811410489</v>
      </c>
      <c r="G13" s="203">
        <v>20.580302210615141</v>
      </c>
      <c r="H13" s="203">
        <v>20.65828953739106</v>
      </c>
      <c r="I13" s="203">
        <v>16.950065237483841</v>
      </c>
      <c r="J13" s="203">
        <v>19.526595672485183</v>
      </c>
      <c r="K13" s="203">
        <v>22.832034098425797</v>
      </c>
      <c r="L13" s="47"/>
      <c r="M13" s="47"/>
      <c r="N13" s="50"/>
      <c r="O13" s="50"/>
      <c r="P13" s="50"/>
      <c r="Q13" s="50"/>
      <c r="R13" s="50"/>
      <c r="S13" s="50"/>
      <c r="T13" s="50"/>
      <c r="U13" s="50"/>
      <c r="V13" s="50"/>
    </row>
    <row r="14" spans="2:22">
      <c r="B14" s="84" t="s">
        <v>18</v>
      </c>
      <c r="C14" s="204">
        <v>57.496666666666677</v>
      </c>
      <c r="D14" s="204">
        <v>45.956666666666663</v>
      </c>
      <c r="E14" s="204">
        <v>58.816666666666663</v>
      </c>
      <c r="F14" s="204">
        <v>53.456666666666663</v>
      </c>
      <c r="G14" s="204">
        <v>53.93</v>
      </c>
      <c r="H14" s="204">
        <v>52.206666666666671</v>
      </c>
      <c r="I14" s="204">
        <v>40.68</v>
      </c>
      <c r="J14" s="204">
        <v>48.58</v>
      </c>
      <c r="K14" s="204">
        <v>76.973333333333329</v>
      </c>
      <c r="L14" s="47"/>
      <c r="M14" s="47"/>
      <c r="N14" s="50"/>
      <c r="O14" s="50"/>
      <c r="P14" s="50"/>
      <c r="Q14" s="50"/>
      <c r="R14" s="50"/>
      <c r="S14" s="50"/>
      <c r="T14" s="50"/>
      <c r="U14" s="50"/>
      <c r="V14" s="50"/>
    </row>
    <row r="15" spans="2:22">
      <c r="B15" s="51"/>
    </row>
    <row r="16" spans="2:22">
      <c r="B16" s="51"/>
    </row>
    <row r="17" spans="1:14">
      <c r="B17" s="13" t="s">
        <v>124</v>
      </c>
      <c r="C17" s="2" t="s">
        <v>1</v>
      </c>
      <c r="D17" s="2" t="s">
        <v>0</v>
      </c>
      <c r="E17" s="2" t="s">
        <v>2</v>
      </c>
      <c r="F17" s="2" t="s">
        <v>3</v>
      </c>
      <c r="G17" s="2" t="s">
        <v>4</v>
      </c>
      <c r="H17" s="2" t="s">
        <v>5</v>
      </c>
      <c r="I17" s="2" t="s">
        <v>6</v>
      </c>
      <c r="J17" s="2" t="s">
        <v>7</v>
      </c>
      <c r="K17" s="2" t="s">
        <v>8</v>
      </c>
      <c r="N17" s="48"/>
    </row>
    <row r="18" spans="1:14">
      <c r="B18" s="3" t="s">
        <v>19</v>
      </c>
      <c r="C18" s="92">
        <v>89</v>
      </c>
      <c r="D18" s="92">
        <v>219.33333333333334</v>
      </c>
      <c r="E18" s="92">
        <v>62</v>
      </c>
      <c r="F18" s="92">
        <v>33.333333333333336</v>
      </c>
      <c r="G18" s="92">
        <v>175.66666666666666</v>
      </c>
      <c r="H18" s="92">
        <v>133.33333333333334</v>
      </c>
      <c r="I18" s="92">
        <v>90</v>
      </c>
      <c r="J18" s="92">
        <v>128.66666666666666</v>
      </c>
      <c r="K18" s="92">
        <v>28.333333333333332</v>
      </c>
    </row>
    <row r="19" spans="1:14">
      <c r="B19" s="3" t="s">
        <v>20</v>
      </c>
      <c r="C19" s="92">
        <v>129.33333333333334</v>
      </c>
      <c r="D19" s="92">
        <v>340.33333333333331</v>
      </c>
      <c r="E19" s="92">
        <v>89.666666666666671</v>
      </c>
      <c r="F19" s="92">
        <v>45.333333333333336</v>
      </c>
      <c r="G19" s="92">
        <v>307.66666666666669</v>
      </c>
      <c r="H19" s="92">
        <v>182</v>
      </c>
      <c r="I19" s="92">
        <v>121.66666666666667</v>
      </c>
      <c r="J19" s="92">
        <v>282.66666666666669</v>
      </c>
      <c r="K19" s="92">
        <v>73.333333333333329</v>
      </c>
    </row>
    <row r="20" spans="1:14">
      <c r="B20" s="3" t="s">
        <v>21</v>
      </c>
      <c r="C20" s="92">
        <v>182</v>
      </c>
      <c r="D20" s="92">
        <v>450.66666666666669</v>
      </c>
      <c r="E20" s="92">
        <v>179.66666666666666</v>
      </c>
      <c r="F20" s="92">
        <v>137</v>
      </c>
      <c r="G20" s="92">
        <v>584.66666666666663</v>
      </c>
      <c r="H20" s="92">
        <v>302.66666666666669</v>
      </c>
      <c r="I20" s="92">
        <v>201.33333333333334</v>
      </c>
      <c r="J20" s="92">
        <v>512.33333333333337</v>
      </c>
      <c r="K20" s="92">
        <v>212.33333333333334</v>
      </c>
    </row>
    <row r="21" spans="1:14">
      <c r="B21" s="3" t="s">
        <v>22</v>
      </c>
      <c r="C21" s="92">
        <v>385</v>
      </c>
      <c r="D21" s="92">
        <v>933</v>
      </c>
      <c r="E21" s="92">
        <v>481</v>
      </c>
      <c r="F21" s="92">
        <v>486</v>
      </c>
      <c r="G21" s="92">
        <v>1552.6666666666667</v>
      </c>
      <c r="H21" s="92">
        <v>873.33333333333337</v>
      </c>
      <c r="I21" s="92">
        <v>526.66666666666663</v>
      </c>
      <c r="J21" s="92">
        <v>1343.6666666666667</v>
      </c>
      <c r="K21" s="92">
        <v>735</v>
      </c>
    </row>
    <row r="22" spans="1:14">
      <c r="B22" s="3" t="s">
        <v>23</v>
      </c>
      <c r="C22" s="92">
        <v>653</v>
      </c>
      <c r="D22" s="92">
        <v>826.66666666666663</v>
      </c>
      <c r="E22" s="92">
        <v>706.66666666666663</v>
      </c>
      <c r="F22" s="92">
        <v>730.66666666666663</v>
      </c>
      <c r="G22" s="92">
        <v>1568</v>
      </c>
      <c r="H22" s="92">
        <v>789.66666666666663</v>
      </c>
      <c r="I22" s="92">
        <v>589.66666666666663</v>
      </c>
      <c r="J22" s="92">
        <v>1139.6666666666667</v>
      </c>
      <c r="K22" s="92">
        <v>1076.3333333333333</v>
      </c>
    </row>
    <row r="23" spans="1:14">
      <c r="B23" s="3" t="s">
        <v>24</v>
      </c>
      <c r="C23" s="92">
        <v>652.66666666666663</v>
      </c>
      <c r="D23" s="92">
        <v>832.66666666666663</v>
      </c>
      <c r="E23" s="92">
        <v>702.33333333333337</v>
      </c>
      <c r="F23" s="92">
        <v>666.66666666666663</v>
      </c>
      <c r="G23" s="92">
        <v>1727.3333333333333</v>
      </c>
      <c r="H23" s="92">
        <v>805.33333333333337</v>
      </c>
      <c r="I23" s="92">
        <v>523.33333333333337</v>
      </c>
      <c r="J23" s="92">
        <v>1301</v>
      </c>
      <c r="K23" s="92">
        <v>1302.3333333333333</v>
      </c>
    </row>
    <row r="24" spans="1:14">
      <c r="B24" s="3" t="s">
        <v>25</v>
      </c>
      <c r="C24" s="92">
        <v>697</v>
      </c>
      <c r="D24" s="92">
        <v>850.33333333333337</v>
      </c>
      <c r="E24" s="92">
        <v>836.66666666666663</v>
      </c>
      <c r="F24" s="92">
        <v>743</v>
      </c>
      <c r="G24" s="92">
        <v>2028</v>
      </c>
      <c r="H24" s="92">
        <v>970.33333333333337</v>
      </c>
      <c r="I24" s="92">
        <v>570.33333333333337</v>
      </c>
      <c r="J24" s="92">
        <v>1479</v>
      </c>
      <c r="K24" s="92">
        <v>1515.6666666666667</v>
      </c>
    </row>
    <row r="25" spans="1:14">
      <c r="B25" s="7" t="s">
        <v>26</v>
      </c>
      <c r="C25" s="93">
        <v>698.33333333333337</v>
      </c>
      <c r="D25" s="93">
        <v>974.33333333333337</v>
      </c>
      <c r="E25" s="93">
        <v>948.33333333333337</v>
      </c>
      <c r="F25" s="93">
        <v>786.66666666666663</v>
      </c>
      <c r="G25" s="93">
        <v>2188.6666666666665</v>
      </c>
      <c r="H25" s="93">
        <v>1148</v>
      </c>
      <c r="I25" s="93">
        <v>672.66666666666663</v>
      </c>
      <c r="J25" s="93">
        <v>1611</v>
      </c>
      <c r="K25" s="93">
        <v>1656.3333333333333</v>
      </c>
    </row>
    <row r="26" spans="1:14">
      <c r="B26" s="85" t="s">
        <v>27</v>
      </c>
    </row>
    <row r="27" spans="1:14">
      <c r="B27" s="51"/>
    </row>
    <row r="28" spans="1:14">
      <c r="A28" s="1" t="s">
        <v>28</v>
      </c>
      <c r="B28" s="13" t="s">
        <v>125</v>
      </c>
      <c r="C28" s="2" t="s">
        <v>1</v>
      </c>
      <c r="D28" s="2" t="s">
        <v>0</v>
      </c>
      <c r="E28" s="2" t="s">
        <v>2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K28" s="2" t="s">
        <v>8</v>
      </c>
    </row>
    <row r="29" spans="1:14">
      <c r="A29" s="12">
        <v>1</v>
      </c>
      <c r="B29" s="3" t="s">
        <v>29</v>
      </c>
      <c r="C29" s="86">
        <f>C5/$A29</f>
        <v>1200.6666666666667</v>
      </c>
      <c r="D29" s="86">
        <f>D5/$A29</f>
        <v>1499.3333333333333</v>
      </c>
      <c r="E29" s="86">
        <f t="shared" ref="E29:K29" si="0">E5/$A29</f>
        <v>1821.3333333333333</v>
      </c>
      <c r="F29" s="86">
        <f t="shared" si="0"/>
        <v>1908.6666666666667</v>
      </c>
      <c r="G29" s="86">
        <f t="shared" si="0"/>
        <v>3009</v>
      </c>
      <c r="H29" s="86">
        <f t="shared" si="0"/>
        <v>1722.3333333333333</v>
      </c>
      <c r="I29" s="86">
        <f t="shared" si="0"/>
        <v>1031.3333333333333</v>
      </c>
      <c r="J29" s="86">
        <f t="shared" si="0"/>
        <v>2171</v>
      </c>
      <c r="K29" s="86">
        <f t="shared" si="0"/>
        <v>3313.3333333333335</v>
      </c>
      <c r="L29" s="38"/>
    </row>
    <row r="30" spans="1:14">
      <c r="A30" s="12">
        <v>1</v>
      </c>
      <c r="B30" s="3" t="s">
        <v>30</v>
      </c>
      <c r="C30" s="86">
        <f t="shared" ref="C30:C38" si="1">C6/$A30</f>
        <v>1150.6666666666667</v>
      </c>
      <c r="D30" s="86">
        <f t="shared" ref="D30:K30" si="2">D6/$A30</f>
        <v>1431</v>
      </c>
      <c r="E30" s="86">
        <f t="shared" si="2"/>
        <v>1609.3333333333333</v>
      </c>
      <c r="F30" s="86">
        <f t="shared" si="2"/>
        <v>1599.6666666666667</v>
      </c>
      <c r="G30" s="86">
        <f t="shared" si="2"/>
        <v>3178.3333333333335</v>
      </c>
      <c r="H30" s="86">
        <f t="shared" si="2"/>
        <v>1689.6666666666667</v>
      </c>
      <c r="I30" s="86">
        <f t="shared" si="2"/>
        <v>874</v>
      </c>
      <c r="J30" s="86">
        <f t="shared" si="2"/>
        <v>2342.6666666666665</v>
      </c>
      <c r="K30" s="86">
        <f t="shared" si="2"/>
        <v>3909.3333333333335</v>
      </c>
      <c r="L30" s="38"/>
    </row>
    <row r="31" spans="1:14">
      <c r="A31" s="12">
        <v>1</v>
      </c>
      <c r="B31" s="3" t="s">
        <v>31</v>
      </c>
      <c r="C31" s="86">
        <f t="shared" si="1"/>
        <v>1193.3333333333333</v>
      </c>
      <c r="D31" s="86">
        <f t="shared" ref="D31:K31" si="3">D7/$A31</f>
        <v>1434.3333333333333</v>
      </c>
      <c r="E31" s="86">
        <f t="shared" si="3"/>
        <v>1707.6666666666667</v>
      </c>
      <c r="F31" s="86">
        <f t="shared" si="3"/>
        <v>1675.3333333333333</v>
      </c>
      <c r="G31" s="86">
        <f t="shared" si="3"/>
        <v>3700.3333333333335</v>
      </c>
      <c r="H31" s="86">
        <f t="shared" si="3"/>
        <v>1929.6666666666667</v>
      </c>
      <c r="I31" s="86">
        <f t="shared" si="3"/>
        <v>901.33333333333337</v>
      </c>
      <c r="J31" s="86">
        <f t="shared" si="3"/>
        <v>2596</v>
      </c>
      <c r="K31" s="86">
        <f t="shared" si="3"/>
        <v>4174.666666666667</v>
      </c>
      <c r="L31" s="38"/>
    </row>
    <row r="32" spans="1:14">
      <c r="A32" s="12">
        <v>1</v>
      </c>
      <c r="B32" s="3" t="s">
        <v>82</v>
      </c>
      <c r="C32" s="86">
        <f t="shared" si="1"/>
        <v>1195.3333333333333</v>
      </c>
      <c r="D32" s="86">
        <f t="shared" ref="D32:K32" si="4">D8/$A32</f>
        <v>1694</v>
      </c>
      <c r="E32" s="86">
        <f t="shared" si="4"/>
        <v>1776.6666666666667</v>
      </c>
      <c r="F32" s="86">
        <f t="shared" si="4"/>
        <v>1636</v>
      </c>
      <c r="G32" s="86">
        <f t="shared" si="4"/>
        <v>4027.3333333333335</v>
      </c>
      <c r="H32" s="86">
        <f t="shared" si="4"/>
        <v>2260.3333333333335</v>
      </c>
      <c r="I32" s="86">
        <f t="shared" si="4"/>
        <v>1026.6666666666667</v>
      </c>
      <c r="J32" s="86">
        <f t="shared" si="4"/>
        <v>2867.3333333333335</v>
      </c>
      <c r="K32" s="86">
        <f t="shared" si="4"/>
        <v>4439.333333333333</v>
      </c>
      <c r="L32" s="38"/>
    </row>
    <row r="33" spans="1:12">
      <c r="A33" s="12">
        <v>0.3</v>
      </c>
      <c r="B33" s="6" t="s">
        <v>32</v>
      </c>
      <c r="C33" s="86">
        <f t="shared" si="1"/>
        <v>397.77777777777777</v>
      </c>
      <c r="D33" s="86">
        <f t="shared" ref="D33:K33" si="5">D9/$A33</f>
        <v>1051.1111111111111</v>
      </c>
      <c r="E33" s="86">
        <f t="shared" si="5"/>
        <v>1302.2222222222224</v>
      </c>
      <c r="F33" s="86">
        <f t="shared" si="5"/>
        <v>1521.1111111111111</v>
      </c>
      <c r="G33" s="86">
        <f t="shared" si="5"/>
        <v>3106.666666666667</v>
      </c>
      <c r="H33" s="86">
        <f t="shared" si="5"/>
        <v>2035.5555555555554</v>
      </c>
      <c r="I33" s="86">
        <f t="shared" si="5"/>
        <v>1485.5555555555557</v>
      </c>
      <c r="J33" s="86">
        <f t="shared" si="5"/>
        <v>3493.3333333333335</v>
      </c>
      <c r="K33" s="86">
        <f t="shared" si="5"/>
        <v>5298.8888888888896</v>
      </c>
      <c r="L33" s="38"/>
    </row>
    <row r="34" spans="1:12">
      <c r="A34" s="12">
        <v>0.05</v>
      </c>
      <c r="B34" s="6" t="s">
        <v>105</v>
      </c>
      <c r="C34" s="86">
        <f t="shared" si="1"/>
        <v>0</v>
      </c>
      <c r="D34" s="86">
        <f t="shared" ref="D34:K34" si="6">D10/$A34</f>
        <v>0</v>
      </c>
      <c r="E34" s="86">
        <f t="shared" si="6"/>
        <v>353.33333333333331</v>
      </c>
      <c r="F34" s="86">
        <f t="shared" si="6"/>
        <v>1280</v>
      </c>
      <c r="G34" s="86">
        <f t="shared" si="6"/>
        <v>500</v>
      </c>
      <c r="H34" s="86">
        <f t="shared" si="6"/>
        <v>1886.6666666666665</v>
      </c>
      <c r="I34" s="86">
        <f t="shared" si="6"/>
        <v>1486.6666666666665</v>
      </c>
      <c r="J34" s="86">
        <f t="shared" si="6"/>
        <v>5266.6666666666661</v>
      </c>
      <c r="K34" s="86">
        <f t="shared" si="6"/>
        <v>11233.333333333332</v>
      </c>
      <c r="L34" s="38"/>
    </row>
    <row r="35" spans="1:12">
      <c r="A35" s="12">
        <v>20000</v>
      </c>
      <c r="B35" s="3" t="s">
        <v>33</v>
      </c>
      <c r="C35" s="86">
        <f t="shared" si="1"/>
        <v>121.21216883333332</v>
      </c>
      <c r="D35" s="86">
        <f t="shared" ref="D35:K35" si="7">D11/$A35</f>
        <v>143.48677166666667</v>
      </c>
      <c r="E35" s="86">
        <f t="shared" si="7"/>
        <v>446.79001033333333</v>
      </c>
      <c r="F35" s="86">
        <f t="shared" si="7"/>
        <v>517.33846549999998</v>
      </c>
      <c r="G35" s="86">
        <f t="shared" si="7"/>
        <v>931.58702000000017</v>
      </c>
      <c r="H35" s="86">
        <f t="shared" si="7"/>
        <v>1110.0888666666667</v>
      </c>
      <c r="I35" s="86">
        <f t="shared" si="7"/>
        <v>1596.7803166666665</v>
      </c>
      <c r="J35" s="86">
        <f t="shared" si="7"/>
        <v>2758.3105999999998</v>
      </c>
      <c r="K35" s="86">
        <f t="shared" si="7"/>
        <v>7488.8471301666659</v>
      </c>
      <c r="L35" s="38"/>
    </row>
    <row r="36" spans="1:12">
      <c r="A36" s="12">
        <v>1</v>
      </c>
      <c r="B36" s="3" t="s">
        <v>34</v>
      </c>
      <c r="C36" s="86">
        <f t="shared" si="1"/>
        <v>259.66666666666669</v>
      </c>
      <c r="D36" s="86">
        <f t="shared" ref="D36:K36" si="8">D12/$A36</f>
        <v>225</v>
      </c>
      <c r="E36" s="86">
        <f t="shared" si="8"/>
        <v>354.33333333333331</v>
      </c>
      <c r="F36" s="86">
        <f t="shared" si="8"/>
        <v>610</v>
      </c>
      <c r="G36" s="86">
        <f t="shared" si="8"/>
        <v>650.66666666666663</v>
      </c>
      <c r="H36" s="86">
        <f t="shared" si="8"/>
        <v>387.66666666666669</v>
      </c>
      <c r="I36" s="86">
        <f t="shared" si="8"/>
        <v>218</v>
      </c>
      <c r="J36" s="86">
        <f t="shared" si="8"/>
        <v>475</v>
      </c>
      <c r="K36" s="86">
        <f t="shared" si="8"/>
        <v>595</v>
      </c>
      <c r="L36" s="38"/>
    </row>
    <row r="37" spans="1:12">
      <c r="A37" s="12">
        <v>0.02</v>
      </c>
      <c r="B37" s="6" t="s">
        <v>106</v>
      </c>
      <c r="C37" s="86">
        <f t="shared" si="1"/>
        <v>896.72572289415041</v>
      </c>
      <c r="D37" s="86">
        <f>D13/$A37</f>
        <v>1009.9535655547013</v>
      </c>
      <c r="E37" s="86">
        <f t="shared" ref="E37:K37" si="9">E13/$A37</f>
        <v>977.23035742747174</v>
      </c>
      <c r="F37" s="86">
        <f t="shared" si="9"/>
        <v>892.20284057052447</v>
      </c>
      <c r="G37" s="86">
        <f t="shared" si="9"/>
        <v>1029.0151105307571</v>
      </c>
      <c r="H37" s="86">
        <f t="shared" si="9"/>
        <v>1032.914476869553</v>
      </c>
      <c r="I37" s="86">
        <f t="shared" si="9"/>
        <v>847.50326187419205</v>
      </c>
      <c r="J37" s="86">
        <f t="shared" si="9"/>
        <v>976.32978362425911</v>
      </c>
      <c r="K37" s="86">
        <f t="shared" si="9"/>
        <v>1141.6017049212899</v>
      </c>
      <c r="L37" s="38"/>
    </row>
    <row r="38" spans="1:12">
      <c r="A38" s="12">
        <v>0.04</v>
      </c>
      <c r="B38" s="84" t="s">
        <v>107</v>
      </c>
      <c r="C38" s="87">
        <f t="shared" si="1"/>
        <v>1437.416666666667</v>
      </c>
      <c r="D38" s="87">
        <f t="shared" ref="D38:K38" si="10">D14/$A38</f>
        <v>1148.9166666666665</v>
      </c>
      <c r="E38" s="87">
        <f t="shared" si="10"/>
        <v>1470.4166666666665</v>
      </c>
      <c r="F38" s="87">
        <f t="shared" si="10"/>
        <v>1336.4166666666665</v>
      </c>
      <c r="G38" s="87">
        <f t="shared" si="10"/>
        <v>1348.25</v>
      </c>
      <c r="H38" s="87">
        <f t="shared" si="10"/>
        <v>1305.1666666666667</v>
      </c>
      <c r="I38" s="87">
        <f t="shared" si="10"/>
        <v>1017</v>
      </c>
      <c r="J38" s="87">
        <f t="shared" si="10"/>
        <v>1214.5</v>
      </c>
      <c r="K38" s="87">
        <f t="shared" si="10"/>
        <v>1924.3333333333333</v>
      </c>
      <c r="L38" s="38"/>
    </row>
    <row r="39" spans="1:12">
      <c r="B39" s="51"/>
    </row>
    <row r="40" spans="1:12">
      <c r="B40" s="51"/>
      <c r="C40" s="1"/>
      <c r="D40" s="1"/>
      <c r="E40" s="1"/>
      <c r="F40" s="1"/>
      <c r="G40" s="1"/>
      <c r="H40" s="1"/>
      <c r="I40" s="1"/>
      <c r="J40" s="1"/>
      <c r="K40" s="1"/>
    </row>
    <row r="41" spans="1:12">
      <c r="B41" s="83" t="s">
        <v>126</v>
      </c>
      <c r="C41" s="2" t="s">
        <v>1</v>
      </c>
      <c r="D41" s="2" t="s">
        <v>0</v>
      </c>
      <c r="E41" s="2" t="s">
        <v>2</v>
      </c>
      <c r="F41" s="2" t="s">
        <v>3</v>
      </c>
      <c r="G41" s="2" t="s">
        <v>4</v>
      </c>
      <c r="H41" s="2" t="s">
        <v>5</v>
      </c>
      <c r="I41" s="2" t="s">
        <v>6</v>
      </c>
      <c r="J41" s="2" t="s">
        <v>7</v>
      </c>
      <c r="K41" s="2" t="s">
        <v>8</v>
      </c>
      <c r="L41" s="172" t="s">
        <v>128</v>
      </c>
    </row>
    <row r="42" spans="1:12">
      <c r="B42" s="3" t="s">
        <v>19</v>
      </c>
      <c r="C42" s="88">
        <f t="shared" ref="C42:K42" si="11">(C18/$A29)*$L$42</f>
        <v>35.6</v>
      </c>
      <c r="D42" s="88">
        <f t="shared" si="11"/>
        <v>87.733333333333348</v>
      </c>
      <c r="E42" s="88">
        <f t="shared" si="11"/>
        <v>24.8</v>
      </c>
      <c r="F42" s="88">
        <f t="shared" si="11"/>
        <v>13.333333333333336</v>
      </c>
      <c r="G42" s="88">
        <f t="shared" si="11"/>
        <v>70.266666666666666</v>
      </c>
      <c r="H42" s="88">
        <f t="shared" si="11"/>
        <v>53.333333333333343</v>
      </c>
      <c r="I42" s="88">
        <f t="shared" si="11"/>
        <v>36</v>
      </c>
      <c r="J42" s="88">
        <f t="shared" si="11"/>
        <v>51.466666666666669</v>
      </c>
      <c r="K42" s="88">
        <f t="shared" si="11"/>
        <v>11.333333333333334</v>
      </c>
      <c r="L42" s="198">
        <v>0.4</v>
      </c>
    </row>
    <row r="43" spans="1:12">
      <c r="B43" s="3" t="s">
        <v>20</v>
      </c>
      <c r="C43" s="88">
        <f t="shared" ref="C43:K43" si="12">(C19/$A30)*$L$42</f>
        <v>51.733333333333341</v>
      </c>
      <c r="D43" s="88">
        <f t="shared" si="12"/>
        <v>136.13333333333333</v>
      </c>
      <c r="E43" s="88">
        <f t="shared" si="12"/>
        <v>35.866666666666667</v>
      </c>
      <c r="F43" s="88">
        <f t="shared" si="12"/>
        <v>18.133333333333336</v>
      </c>
      <c r="G43" s="88">
        <f t="shared" si="12"/>
        <v>123.06666666666668</v>
      </c>
      <c r="H43" s="88">
        <f t="shared" si="12"/>
        <v>72.8</v>
      </c>
      <c r="I43" s="88">
        <f t="shared" si="12"/>
        <v>48.666666666666671</v>
      </c>
      <c r="J43" s="88">
        <f t="shared" si="12"/>
        <v>113.06666666666668</v>
      </c>
      <c r="K43" s="88">
        <f t="shared" si="12"/>
        <v>29.333333333333332</v>
      </c>
    </row>
    <row r="44" spans="1:12">
      <c r="B44" s="3" t="s">
        <v>21</v>
      </c>
      <c r="C44" s="88">
        <f t="shared" ref="C44:K44" si="13">(C20/$A31)*$L$42</f>
        <v>72.8</v>
      </c>
      <c r="D44" s="88">
        <f t="shared" si="13"/>
        <v>180.26666666666668</v>
      </c>
      <c r="E44" s="88">
        <f t="shared" si="13"/>
        <v>71.86666666666666</v>
      </c>
      <c r="F44" s="88">
        <f t="shared" si="13"/>
        <v>54.800000000000004</v>
      </c>
      <c r="G44" s="88">
        <f t="shared" si="13"/>
        <v>233.86666666666667</v>
      </c>
      <c r="H44" s="88">
        <f t="shared" si="13"/>
        <v>121.06666666666668</v>
      </c>
      <c r="I44" s="88">
        <f t="shared" si="13"/>
        <v>80.533333333333346</v>
      </c>
      <c r="J44" s="88">
        <f t="shared" si="13"/>
        <v>204.93333333333337</v>
      </c>
      <c r="K44" s="88">
        <f t="shared" si="13"/>
        <v>84.933333333333337</v>
      </c>
    </row>
    <row r="45" spans="1:12">
      <c r="A45" s="52"/>
      <c r="B45" s="3" t="s">
        <v>22</v>
      </c>
      <c r="C45" s="88">
        <f t="shared" ref="C45:K45" si="14">(C21/$A32)*$L$42</f>
        <v>154</v>
      </c>
      <c r="D45" s="88">
        <f t="shared" si="14"/>
        <v>373.20000000000005</v>
      </c>
      <c r="E45" s="88">
        <f t="shared" si="14"/>
        <v>192.4</v>
      </c>
      <c r="F45" s="88">
        <f t="shared" si="14"/>
        <v>194.4</v>
      </c>
      <c r="G45" s="88">
        <f t="shared" si="14"/>
        <v>621.06666666666672</v>
      </c>
      <c r="H45" s="88">
        <f t="shared" si="14"/>
        <v>349.33333333333337</v>
      </c>
      <c r="I45" s="88">
        <f t="shared" si="14"/>
        <v>210.66666666666666</v>
      </c>
      <c r="J45" s="88">
        <f t="shared" si="14"/>
        <v>537.4666666666667</v>
      </c>
      <c r="K45" s="88">
        <f t="shared" si="14"/>
        <v>294</v>
      </c>
    </row>
    <row r="46" spans="1:12">
      <c r="B46" s="3" t="s">
        <v>23</v>
      </c>
      <c r="C46" s="88">
        <f t="shared" ref="C46:K46" si="15">(C22/$A29)*$L$42</f>
        <v>261.2</v>
      </c>
      <c r="D46" s="88">
        <f t="shared" si="15"/>
        <v>330.66666666666669</v>
      </c>
      <c r="E46" s="88">
        <f t="shared" si="15"/>
        <v>282.66666666666669</v>
      </c>
      <c r="F46" s="88">
        <f t="shared" si="15"/>
        <v>292.26666666666665</v>
      </c>
      <c r="G46" s="88">
        <f t="shared" si="15"/>
        <v>627.20000000000005</v>
      </c>
      <c r="H46" s="88">
        <f t="shared" si="15"/>
        <v>315.86666666666667</v>
      </c>
      <c r="I46" s="88">
        <f t="shared" si="15"/>
        <v>235.86666666666667</v>
      </c>
      <c r="J46" s="88">
        <f t="shared" si="15"/>
        <v>455.86666666666673</v>
      </c>
      <c r="K46" s="88">
        <f t="shared" si="15"/>
        <v>430.5333333333333</v>
      </c>
    </row>
    <row r="47" spans="1:12">
      <c r="B47" s="3" t="s">
        <v>24</v>
      </c>
      <c r="C47" s="88">
        <f t="shared" ref="C47:K47" si="16">(C23/$A30)*$L$42</f>
        <v>261.06666666666666</v>
      </c>
      <c r="D47" s="88">
        <f t="shared" si="16"/>
        <v>333.06666666666666</v>
      </c>
      <c r="E47" s="88">
        <f t="shared" si="16"/>
        <v>280.93333333333334</v>
      </c>
      <c r="F47" s="88">
        <f t="shared" si="16"/>
        <v>266.66666666666669</v>
      </c>
      <c r="G47" s="88">
        <f t="shared" si="16"/>
        <v>690.93333333333339</v>
      </c>
      <c r="H47" s="88">
        <f t="shared" si="16"/>
        <v>322.13333333333338</v>
      </c>
      <c r="I47" s="88">
        <f t="shared" si="16"/>
        <v>209.33333333333337</v>
      </c>
      <c r="J47" s="88">
        <f t="shared" si="16"/>
        <v>520.4</v>
      </c>
      <c r="K47" s="88">
        <f t="shared" si="16"/>
        <v>520.93333333333328</v>
      </c>
    </row>
    <row r="48" spans="1:12">
      <c r="B48" s="3" t="s">
        <v>25</v>
      </c>
      <c r="C48" s="88">
        <f t="shared" ref="C48:K48" si="17">(C24/$A31)*$L$42</f>
        <v>278.8</v>
      </c>
      <c r="D48" s="88">
        <f t="shared" si="17"/>
        <v>340.13333333333338</v>
      </c>
      <c r="E48" s="88">
        <f t="shared" si="17"/>
        <v>334.66666666666669</v>
      </c>
      <c r="F48" s="88">
        <f t="shared" si="17"/>
        <v>297.2</v>
      </c>
      <c r="G48" s="88">
        <f t="shared" si="17"/>
        <v>811.2</v>
      </c>
      <c r="H48" s="88">
        <f t="shared" si="17"/>
        <v>388.13333333333338</v>
      </c>
      <c r="I48" s="88">
        <f t="shared" si="17"/>
        <v>228.13333333333335</v>
      </c>
      <c r="J48" s="88">
        <f t="shared" si="17"/>
        <v>591.6</v>
      </c>
      <c r="K48" s="88">
        <f t="shared" si="17"/>
        <v>606.26666666666677</v>
      </c>
    </row>
    <row r="49" spans="2:24">
      <c r="B49" s="7" t="s">
        <v>26</v>
      </c>
      <c r="C49" s="89">
        <f t="shared" ref="C49:K49" si="18">(C25/$A32)*$L$42</f>
        <v>279.33333333333337</v>
      </c>
      <c r="D49" s="89">
        <f t="shared" si="18"/>
        <v>389.73333333333335</v>
      </c>
      <c r="E49" s="89">
        <f t="shared" si="18"/>
        <v>379.33333333333337</v>
      </c>
      <c r="F49" s="89">
        <f t="shared" si="18"/>
        <v>314.66666666666669</v>
      </c>
      <c r="G49" s="89">
        <f t="shared" si="18"/>
        <v>875.4666666666667</v>
      </c>
      <c r="H49" s="89">
        <f t="shared" si="18"/>
        <v>459.20000000000005</v>
      </c>
      <c r="I49" s="89">
        <f t="shared" si="18"/>
        <v>269.06666666666666</v>
      </c>
      <c r="J49" s="89">
        <f t="shared" si="18"/>
        <v>644.40000000000009</v>
      </c>
      <c r="K49" s="89">
        <f t="shared" si="18"/>
        <v>662.5333333333333</v>
      </c>
    </row>
    <row r="50" spans="2:24">
      <c r="B50" s="51"/>
    </row>
    <row r="51" spans="2:24">
      <c r="B51" s="51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4"/>
      <c r="N51" s="54"/>
      <c r="O51" s="54"/>
      <c r="P51" s="54"/>
      <c r="Q51" s="40"/>
      <c r="R51" s="40"/>
      <c r="S51" s="40"/>
    </row>
    <row r="52" spans="2:24">
      <c r="B52" s="83" t="s">
        <v>35</v>
      </c>
      <c r="C52" s="2" t="s">
        <v>1</v>
      </c>
      <c r="D52" s="2" t="s">
        <v>0</v>
      </c>
      <c r="E52" s="2" t="s">
        <v>2</v>
      </c>
      <c r="F52" s="2" t="s">
        <v>3</v>
      </c>
      <c r="G52" s="2" t="s">
        <v>4</v>
      </c>
      <c r="H52" s="2" t="s">
        <v>5</v>
      </c>
      <c r="I52" s="2" t="s">
        <v>6</v>
      </c>
      <c r="J52" s="2" t="s">
        <v>7</v>
      </c>
      <c r="K52" s="2" t="s">
        <v>8</v>
      </c>
      <c r="L52" s="54"/>
      <c r="M52" s="54"/>
      <c r="N52" s="55"/>
      <c r="O52" s="54"/>
      <c r="P52" s="54"/>
      <c r="Q52" s="40"/>
      <c r="R52" s="40"/>
      <c r="S52" s="40"/>
    </row>
    <row r="53" spans="2:24">
      <c r="B53" s="3" t="s">
        <v>9</v>
      </c>
      <c r="C53" s="94">
        <v>0.03</v>
      </c>
      <c r="D53" s="94">
        <v>0.03</v>
      </c>
      <c r="E53" s="94">
        <v>0.03</v>
      </c>
      <c r="F53" s="94">
        <v>0.03</v>
      </c>
      <c r="G53" s="94">
        <v>0.03</v>
      </c>
      <c r="H53" s="94">
        <v>0.03</v>
      </c>
      <c r="I53" s="94">
        <v>0.03</v>
      </c>
      <c r="J53" s="5">
        <v>0.02</v>
      </c>
      <c r="K53" s="5">
        <v>0.02</v>
      </c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</row>
    <row r="54" spans="2:24">
      <c r="B54" s="3" t="s">
        <v>10</v>
      </c>
      <c r="C54" s="94">
        <v>0.05</v>
      </c>
      <c r="D54" s="94">
        <v>0.05</v>
      </c>
      <c r="E54" s="94">
        <v>0.05</v>
      </c>
      <c r="F54" s="94">
        <v>0.05</v>
      </c>
      <c r="G54" s="94">
        <v>0.05</v>
      </c>
      <c r="H54" s="94">
        <v>0.05</v>
      </c>
      <c r="I54" s="94">
        <v>0.05</v>
      </c>
      <c r="J54" s="5">
        <v>0.03</v>
      </c>
      <c r="K54" s="5">
        <v>0.03</v>
      </c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</row>
    <row r="55" spans="2:24">
      <c r="B55" s="3" t="s">
        <v>11</v>
      </c>
      <c r="C55" s="94">
        <v>7.0000000000000007E-2</v>
      </c>
      <c r="D55" s="94">
        <v>7.0000000000000007E-2</v>
      </c>
      <c r="E55" s="94">
        <v>7.0000000000000007E-2</v>
      </c>
      <c r="F55" s="94">
        <v>7.0000000000000007E-2</v>
      </c>
      <c r="G55" s="94">
        <v>7.0000000000000007E-2</v>
      </c>
      <c r="H55" s="94">
        <v>7.0000000000000007E-2</v>
      </c>
      <c r="I55" s="94">
        <v>7.0000000000000007E-2</v>
      </c>
      <c r="J55" s="5">
        <v>0.05</v>
      </c>
      <c r="K55" s="5">
        <v>0.05</v>
      </c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</row>
    <row r="56" spans="2:24">
      <c r="B56" s="3" t="s">
        <v>12</v>
      </c>
      <c r="C56" s="94">
        <v>0.3</v>
      </c>
      <c r="D56" s="94">
        <v>0.25</v>
      </c>
      <c r="E56" s="94">
        <v>0.25</v>
      </c>
      <c r="F56" s="94">
        <v>0.25</v>
      </c>
      <c r="G56" s="94">
        <v>0.25</v>
      </c>
      <c r="H56" s="94">
        <v>0.25</v>
      </c>
      <c r="I56" s="94">
        <v>0.25</v>
      </c>
      <c r="J56" s="5">
        <v>0.25</v>
      </c>
      <c r="K56" s="5">
        <v>0.15</v>
      </c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</row>
    <row r="57" spans="2:24">
      <c r="B57" s="6" t="s">
        <v>13</v>
      </c>
      <c r="C57" s="94">
        <v>0.15</v>
      </c>
      <c r="D57" s="94">
        <v>0.2</v>
      </c>
      <c r="E57" s="94">
        <v>0.15</v>
      </c>
      <c r="F57" s="94">
        <v>0.15</v>
      </c>
      <c r="G57" s="94">
        <v>0.15</v>
      </c>
      <c r="H57" s="94">
        <v>0.15</v>
      </c>
      <c r="I57" s="94">
        <v>0.15</v>
      </c>
      <c r="J57" s="5">
        <v>0.15</v>
      </c>
      <c r="K57" s="5">
        <v>0.15</v>
      </c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</row>
    <row r="58" spans="2:24">
      <c r="B58" s="6" t="s">
        <v>14</v>
      </c>
      <c r="C58" s="94">
        <v>0</v>
      </c>
      <c r="D58" s="94">
        <v>0</v>
      </c>
      <c r="E58" s="94">
        <v>0.05</v>
      </c>
      <c r="F58" s="94">
        <v>0.05</v>
      </c>
      <c r="G58" s="94">
        <v>7.4999999999999997E-2</v>
      </c>
      <c r="H58" s="94">
        <v>7.4999999999999997E-2</v>
      </c>
      <c r="I58" s="94">
        <v>7.4999999999999997E-2</v>
      </c>
      <c r="J58" s="5">
        <v>0.1</v>
      </c>
      <c r="K58" s="5">
        <v>0.1</v>
      </c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</row>
    <row r="59" spans="2:24">
      <c r="B59" s="3" t="s">
        <v>15</v>
      </c>
      <c r="C59" s="94">
        <v>0.1</v>
      </c>
      <c r="D59" s="94">
        <v>0.1</v>
      </c>
      <c r="E59" s="94">
        <v>0.1</v>
      </c>
      <c r="F59" s="94">
        <v>0.1</v>
      </c>
      <c r="G59" s="94">
        <v>0.125</v>
      </c>
      <c r="H59" s="94">
        <v>0.125</v>
      </c>
      <c r="I59" s="94">
        <v>0.125</v>
      </c>
      <c r="J59" s="5">
        <v>0.125</v>
      </c>
      <c r="K59" s="5">
        <v>0.15</v>
      </c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</row>
    <row r="60" spans="2:24">
      <c r="B60" s="3" t="s">
        <v>16</v>
      </c>
      <c r="C60" s="94">
        <v>0.1</v>
      </c>
      <c r="D60" s="94">
        <v>0.1</v>
      </c>
      <c r="E60" s="94">
        <v>0.1</v>
      </c>
      <c r="F60" s="94">
        <v>0.1</v>
      </c>
      <c r="G60" s="94">
        <v>0.05</v>
      </c>
      <c r="H60" s="94">
        <v>0.05</v>
      </c>
      <c r="I60" s="94">
        <v>0.05</v>
      </c>
      <c r="J60" s="5">
        <v>0.05</v>
      </c>
      <c r="K60" s="5">
        <v>0.05</v>
      </c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</row>
    <row r="61" spans="2:24">
      <c r="B61" s="6" t="s">
        <v>17</v>
      </c>
      <c r="C61" s="94">
        <v>0.15</v>
      </c>
      <c r="D61" s="94">
        <v>0.1</v>
      </c>
      <c r="E61" s="94">
        <v>0.1</v>
      </c>
      <c r="F61" s="94">
        <v>0.1</v>
      </c>
      <c r="G61" s="94">
        <v>0.1</v>
      </c>
      <c r="H61" s="94">
        <v>0.1</v>
      </c>
      <c r="I61" s="94">
        <v>0.1</v>
      </c>
      <c r="J61" s="5">
        <v>7.4999999999999997E-2</v>
      </c>
      <c r="K61" s="5">
        <v>0.1</v>
      </c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</row>
    <row r="62" spans="2:24">
      <c r="B62" s="84" t="s">
        <v>18</v>
      </c>
      <c r="C62" s="95">
        <v>0.05</v>
      </c>
      <c r="D62" s="95">
        <v>0.1</v>
      </c>
      <c r="E62" s="95">
        <v>0.1</v>
      </c>
      <c r="F62" s="95">
        <v>0.1</v>
      </c>
      <c r="G62" s="95">
        <v>0.1</v>
      </c>
      <c r="H62" s="95">
        <v>0.1</v>
      </c>
      <c r="I62" s="95">
        <v>0.1</v>
      </c>
      <c r="J62" s="11">
        <v>0.15</v>
      </c>
      <c r="K62" s="11">
        <v>0.2</v>
      </c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</row>
    <row r="63" spans="2:24">
      <c r="B63" s="51"/>
      <c r="C63" s="9">
        <f>SUM(C53:C62)</f>
        <v>1</v>
      </c>
      <c r="D63" s="9">
        <f t="shared" ref="D63:K63" si="19">SUM(D53:D62)</f>
        <v>1</v>
      </c>
      <c r="E63" s="9">
        <f t="shared" si="19"/>
        <v>1</v>
      </c>
      <c r="F63" s="9">
        <f t="shared" si="19"/>
        <v>1</v>
      </c>
      <c r="G63" s="9">
        <f t="shared" si="19"/>
        <v>1</v>
      </c>
      <c r="H63" s="9">
        <f t="shared" si="19"/>
        <v>1</v>
      </c>
      <c r="I63" s="9">
        <f t="shared" si="19"/>
        <v>1</v>
      </c>
      <c r="J63" s="9">
        <f t="shared" si="19"/>
        <v>1</v>
      </c>
      <c r="K63" s="9">
        <f t="shared" si="19"/>
        <v>1</v>
      </c>
      <c r="L63" s="57"/>
      <c r="M63" s="57"/>
      <c r="N63" s="57"/>
      <c r="O63" s="57"/>
      <c r="P63" s="57"/>
      <c r="Q63" s="40"/>
      <c r="R63" s="40"/>
      <c r="S63" s="40"/>
    </row>
    <row r="64" spans="2:24">
      <c r="B64" s="51"/>
      <c r="C64" s="53"/>
      <c r="D64" s="53"/>
      <c r="E64" s="53"/>
      <c r="F64" s="53"/>
      <c r="G64" s="53"/>
      <c r="H64" s="53"/>
      <c r="I64" s="53"/>
      <c r="J64" s="53"/>
      <c r="K64" s="53"/>
    </row>
    <row r="66" spans="2:20">
      <c r="B66" s="83" t="s">
        <v>83</v>
      </c>
      <c r="C66" s="2" t="s">
        <v>1</v>
      </c>
      <c r="D66" s="2" t="s">
        <v>0</v>
      </c>
      <c r="E66" s="2" t="s">
        <v>2</v>
      </c>
      <c r="F66" s="2" t="s">
        <v>3</v>
      </c>
      <c r="G66" s="2" t="s">
        <v>4</v>
      </c>
      <c r="H66" s="2" t="s">
        <v>5</v>
      </c>
      <c r="I66" s="2" t="s">
        <v>6</v>
      </c>
      <c r="J66" s="2" t="s">
        <v>7</v>
      </c>
      <c r="K66" s="2" t="s">
        <v>8</v>
      </c>
      <c r="L66" s="58"/>
      <c r="M66" s="58"/>
      <c r="N66" s="58"/>
      <c r="O66" s="58"/>
      <c r="P66" s="58"/>
      <c r="Q66" s="58"/>
      <c r="R66" s="58"/>
      <c r="S66" s="58"/>
      <c r="T66" s="58"/>
    </row>
    <row r="67" spans="2:20">
      <c r="B67" s="3" t="s">
        <v>9</v>
      </c>
      <c r="C67" s="90">
        <f>IF(C29="NA",0, ((C29+C42+C46)*C53))</f>
        <v>44.923999999999999</v>
      </c>
      <c r="D67" s="90">
        <f t="shared" ref="D67:K67" si="20">IF(D29="NA",0, ((D29+D42+D46)*D53))</f>
        <v>57.531999999999996</v>
      </c>
      <c r="E67" s="90">
        <f t="shared" si="20"/>
        <v>63.86399999999999</v>
      </c>
      <c r="F67" s="90">
        <f t="shared" si="20"/>
        <v>66.427999999999997</v>
      </c>
      <c r="G67" s="90">
        <f t="shared" si="20"/>
        <v>111.19400000000002</v>
      </c>
      <c r="H67" s="90">
        <f t="shared" si="20"/>
        <v>62.745999999999995</v>
      </c>
      <c r="I67" s="90">
        <f t="shared" si="20"/>
        <v>39.095999999999997</v>
      </c>
      <c r="J67" s="90">
        <f t="shared" si="20"/>
        <v>53.56666666666667</v>
      </c>
      <c r="K67" s="90">
        <f t="shared" si="20"/>
        <v>75.104000000000013</v>
      </c>
      <c r="L67" s="59"/>
      <c r="M67" s="59"/>
      <c r="N67" s="59"/>
      <c r="O67" s="59"/>
      <c r="P67" s="59"/>
      <c r="Q67" s="59"/>
      <c r="R67" s="59"/>
      <c r="S67" s="59"/>
      <c r="T67" s="59"/>
    </row>
    <row r="68" spans="2:20">
      <c r="B68" s="3" t="s">
        <v>10</v>
      </c>
      <c r="C68" s="90">
        <f>IF(C30="NA",0, ((C30+C43+C47)*C54))</f>
        <v>73.173333333333332</v>
      </c>
      <c r="D68" s="90">
        <f t="shared" ref="D68:K68" si="21">IF(D30="NA",0, ((D30+D43+D47)*D54))</f>
        <v>95.009999999999991</v>
      </c>
      <c r="E68" s="90">
        <f t="shared" si="21"/>
        <v>96.306666666666672</v>
      </c>
      <c r="F68" s="90">
        <f t="shared" si="21"/>
        <v>94.223333333333358</v>
      </c>
      <c r="G68" s="90">
        <f t="shared" si="21"/>
        <v>199.61666666666667</v>
      </c>
      <c r="H68" s="90">
        <f t="shared" si="21"/>
        <v>104.23</v>
      </c>
      <c r="I68" s="90">
        <f t="shared" si="21"/>
        <v>56.6</v>
      </c>
      <c r="J68" s="90">
        <f t="shared" si="21"/>
        <v>89.283999999999992</v>
      </c>
      <c r="K68" s="90">
        <f t="shared" si="21"/>
        <v>133.78800000000001</v>
      </c>
      <c r="L68" s="59"/>
      <c r="M68" s="59"/>
      <c r="N68" s="59"/>
      <c r="O68" s="59"/>
      <c r="P68" s="59"/>
      <c r="Q68" s="59"/>
      <c r="R68" s="59"/>
      <c r="S68" s="59"/>
      <c r="T68" s="59"/>
    </row>
    <row r="69" spans="2:20">
      <c r="B69" s="3" t="s">
        <v>11</v>
      </c>
      <c r="C69" s="90">
        <f>IF(C31="NA",0, ((C31+C44+C48)*C55))</f>
        <v>108.14533333333333</v>
      </c>
      <c r="D69" s="90">
        <f t="shared" ref="D69:K69" si="22">IF(D31="NA",0, ((D31+D44+D48)*D55))</f>
        <v>136.83133333333333</v>
      </c>
      <c r="E69" s="90">
        <f t="shared" si="22"/>
        <v>147.994</v>
      </c>
      <c r="F69" s="90">
        <f t="shared" si="22"/>
        <v>141.91333333333336</v>
      </c>
      <c r="G69" s="90">
        <f t="shared" si="22"/>
        <v>332.17800000000005</v>
      </c>
      <c r="H69" s="90">
        <f t="shared" si="22"/>
        <v>170.72066666666669</v>
      </c>
      <c r="I69" s="90">
        <f t="shared" si="22"/>
        <v>84.7</v>
      </c>
      <c r="J69" s="90">
        <f t="shared" si="22"/>
        <v>169.62666666666667</v>
      </c>
      <c r="K69" s="90">
        <f t="shared" si="22"/>
        <v>243.29333333333335</v>
      </c>
      <c r="L69" s="59"/>
      <c r="M69" s="59"/>
      <c r="N69" s="59"/>
      <c r="O69" s="59"/>
      <c r="P69" s="59"/>
      <c r="Q69" s="59"/>
      <c r="R69" s="59"/>
      <c r="S69" s="59"/>
      <c r="T69" s="59"/>
    </row>
    <row r="70" spans="2:20">
      <c r="B70" s="3" t="s">
        <v>12</v>
      </c>
      <c r="C70" s="90">
        <f>IF(C32="NA",0, ((C32+C45+C49)*C56))</f>
        <v>488.59999999999991</v>
      </c>
      <c r="D70" s="90">
        <f t="shared" ref="D70:K70" si="23">IF(D32="NA",0, ((D32+D45+D49)*D56))</f>
        <v>614.23333333333335</v>
      </c>
      <c r="E70" s="90">
        <f t="shared" si="23"/>
        <v>587.1</v>
      </c>
      <c r="F70" s="90">
        <f t="shared" si="23"/>
        <v>536.26666666666665</v>
      </c>
      <c r="G70" s="90">
        <f t="shared" si="23"/>
        <v>1380.9666666666667</v>
      </c>
      <c r="H70" s="90">
        <f t="shared" si="23"/>
        <v>767.2166666666667</v>
      </c>
      <c r="I70" s="90">
        <f t="shared" si="23"/>
        <v>376.6</v>
      </c>
      <c r="J70" s="90">
        <f t="shared" si="23"/>
        <v>1012.3000000000001</v>
      </c>
      <c r="K70" s="90">
        <f t="shared" si="23"/>
        <v>809.38</v>
      </c>
      <c r="L70" s="59"/>
      <c r="M70" s="59"/>
      <c r="N70" s="59"/>
      <c r="O70" s="59"/>
      <c r="P70" s="59"/>
      <c r="Q70" s="59"/>
      <c r="R70" s="59"/>
      <c r="S70" s="59"/>
      <c r="T70" s="59"/>
    </row>
    <row r="71" spans="2:20">
      <c r="B71" s="3" t="s">
        <v>36</v>
      </c>
      <c r="C71" s="90">
        <f t="shared" ref="C71:C76" si="24">IF(C33="NA",0, (C33*C57))</f>
        <v>59.666666666666664</v>
      </c>
      <c r="D71" s="90">
        <f t="shared" ref="D71:K71" si="25">IF(D33="NA",0, (D33*D57))</f>
        <v>210.22222222222223</v>
      </c>
      <c r="E71" s="90">
        <f t="shared" si="25"/>
        <v>195.33333333333334</v>
      </c>
      <c r="F71" s="90">
        <f t="shared" si="25"/>
        <v>228.16666666666666</v>
      </c>
      <c r="G71" s="90">
        <f t="shared" si="25"/>
        <v>466</v>
      </c>
      <c r="H71" s="90">
        <f t="shared" si="25"/>
        <v>305.33333333333331</v>
      </c>
      <c r="I71" s="90">
        <f t="shared" si="25"/>
        <v>222.83333333333334</v>
      </c>
      <c r="J71" s="90">
        <f t="shared" si="25"/>
        <v>524</v>
      </c>
      <c r="K71" s="90">
        <f t="shared" si="25"/>
        <v>794.83333333333337</v>
      </c>
      <c r="L71" s="59"/>
      <c r="M71" s="59"/>
      <c r="N71" s="59"/>
      <c r="O71" s="59"/>
      <c r="P71" s="59"/>
      <c r="Q71" s="59"/>
      <c r="R71" s="59"/>
      <c r="S71" s="59"/>
      <c r="T71" s="59"/>
    </row>
    <row r="72" spans="2:20">
      <c r="B72" s="3" t="s">
        <v>37</v>
      </c>
      <c r="C72" s="90">
        <f t="shared" si="24"/>
        <v>0</v>
      </c>
      <c r="D72" s="90">
        <f t="shared" ref="D72:K72" si="26">IF(D34="NA",0, (D34*D58))</f>
        <v>0</v>
      </c>
      <c r="E72" s="90">
        <f t="shared" si="26"/>
        <v>17.666666666666668</v>
      </c>
      <c r="F72" s="90">
        <f t="shared" si="26"/>
        <v>64</v>
      </c>
      <c r="G72" s="90">
        <f t="shared" si="26"/>
        <v>37.5</v>
      </c>
      <c r="H72" s="90">
        <f t="shared" si="26"/>
        <v>141.49999999999997</v>
      </c>
      <c r="I72" s="90">
        <f t="shared" si="26"/>
        <v>111.49999999999999</v>
      </c>
      <c r="J72" s="90">
        <f t="shared" si="26"/>
        <v>526.66666666666663</v>
      </c>
      <c r="K72" s="90">
        <f t="shared" si="26"/>
        <v>1123.3333333333333</v>
      </c>
      <c r="L72" s="59"/>
      <c r="M72" s="59"/>
      <c r="N72" s="59"/>
      <c r="O72" s="59"/>
      <c r="P72" s="59"/>
      <c r="Q72" s="59"/>
      <c r="R72" s="59"/>
      <c r="S72" s="59"/>
      <c r="T72" s="59"/>
    </row>
    <row r="73" spans="2:20">
      <c r="B73" s="3" t="s">
        <v>15</v>
      </c>
      <c r="C73" s="90">
        <f t="shared" si="24"/>
        <v>12.121216883333332</v>
      </c>
      <c r="D73" s="90">
        <f t="shared" ref="D73:K73" si="27">IF(D35="NA",0, (D35*D59))</f>
        <v>14.348677166666668</v>
      </c>
      <c r="E73" s="90">
        <f t="shared" si="27"/>
        <v>44.679001033333336</v>
      </c>
      <c r="F73" s="90">
        <f t="shared" si="27"/>
        <v>51.733846550000003</v>
      </c>
      <c r="G73" s="90">
        <f t="shared" si="27"/>
        <v>116.44837750000002</v>
      </c>
      <c r="H73" s="90">
        <f t="shared" si="27"/>
        <v>138.76110833333334</v>
      </c>
      <c r="I73" s="90">
        <f t="shared" si="27"/>
        <v>199.59753958333332</v>
      </c>
      <c r="J73" s="90">
        <f t="shared" si="27"/>
        <v>344.78882499999997</v>
      </c>
      <c r="K73" s="90">
        <f t="shared" si="27"/>
        <v>1123.3270695249998</v>
      </c>
      <c r="L73" s="59"/>
      <c r="M73" s="59"/>
      <c r="N73" s="59"/>
      <c r="O73" s="59"/>
      <c r="P73" s="59"/>
      <c r="Q73" s="59"/>
      <c r="R73" s="59"/>
      <c r="S73" s="59"/>
      <c r="T73" s="59"/>
    </row>
    <row r="74" spans="2:20">
      <c r="B74" s="3" t="s">
        <v>16</v>
      </c>
      <c r="C74" s="90">
        <f t="shared" si="24"/>
        <v>25.966666666666669</v>
      </c>
      <c r="D74" s="90">
        <f t="shared" ref="D74:K74" si="28">IF(D36="NA",0, (D36*D60))</f>
        <v>22.5</v>
      </c>
      <c r="E74" s="90">
        <f t="shared" si="28"/>
        <v>35.43333333333333</v>
      </c>
      <c r="F74" s="90">
        <f t="shared" si="28"/>
        <v>61</v>
      </c>
      <c r="G74" s="90">
        <f t="shared" si="28"/>
        <v>32.533333333333331</v>
      </c>
      <c r="H74" s="90">
        <f t="shared" si="28"/>
        <v>19.383333333333336</v>
      </c>
      <c r="I74" s="90">
        <f t="shared" si="28"/>
        <v>10.9</v>
      </c>
      <c r="J74" s="90">
        <f t="shared" si="28"/>
        <v>23.75</v>
      </c>
      <c r="K74" s="90">
        <f t="shared" si="28"/>
        <v>29.75</v>
      </c>
      <c r="L74" s="59"/>
      <c r="M74" s="59"/>
      <c r="N74" s="59"/>
      <c r="O74" s="59"/>
      <c r="P74" s="59"/>
      <c r="Q74" s="59"/>
      <c r="R74" s="59"/>
      <c r="S74" s="59"/>
      <c r="T74" s="59"/>
    </row>
    <row r="75" spans="2:20">
      <c r="B75" s="6" t="s">
        <v>17</v>
      </c>
      <c r="C75" s="90">
        <f t="shared" si="24"/>
        <v>134.50885843412254</v>
      </c>
      <c r="D75" s="90">
        <f>IF(D37="NA",0, (D37*D61))</f>
        <v>100.99535655547014</v>
      </c>
      <c r="E75" s="90">
        <f t="shared" ref="E75:J75" si="29">IF(E37="NA",0, (E37*E61))</f>
        <v>97.723035742747186</v>
      </c>
      <c r="F75" s="90">
        <f t="shared" si="29"/>
        <v>89.220284057052453</v>
      </c>
      <c r="G75" s="90">
        <f t="shared" si="29"/>
        <v>102.90151105307571</v>
      </c>
      <c r="H75" s="90">
        <f t="shared" si="29"/>
        <v>103.29144768695531</v>
      </c>
      <c r="I75" s="90">
        <f t="shared" si="29"/>
        <v>84.750326187419205</v>
      </c>
      <c r="J75" s="90">
        <f t="shared" si="29"/>
        <v>73.22473377181943</v>
      </c>
      <c r="K75" s="90">
        <f>IF(K37="NA",0, (K37*K61))</f>
        <v>114.160170492129</v>
      </c>
      <c r="L75" s="59"/>
      <c r="M75" s="59"/>
      <c r="N75" s="59"/>
      <c r="O75" s="59"/>
      <c r="P75" s="59"/>
      <c r="Q75" s="59"/>
      <c r="R75" s="59"/>
      <c r="S75" s="59"/>
      <c r="T75" s="59"/>
    </row>
    <row r="76" spans="2:20">
      <c r="B76" s="84" t="s">
        <v>18</v>
      </c>
      <c r="C76" s="91">
        <f t="shared" si="24"/>
        <v>71.870833333333351</v>
      </c>
      <c r="D76" s="91">
        <f t="shared" ref="D76:K76" si="30">IF(D38="NA",0, (D38*D62))</f>
        <v>114.89166666666665</v>
      </c>
      <c r="E76" s="91">
        <f t="shared" si="30"/>
        <v>147.04166666666666</v>
      </c>
      <c r="F76" s="91">
        <f t="shared" si="30"/>
        <v>133.64166666666665</v>
      </c>
      <c r="G76" s="91">
        <f t="shared" si="30"/>
        <v>134.82500000000002</v>
      </c>
      <c r="H76" s="91">
        <f t="shared" si="30"/>
        <v>130.51666666666668</v>
      </c>
      <c r="I76" s="91">
        <f t="shared" si="30"/>
        <v>101.7</v>
      </c>
      <c r="J76" s="91">
        <f t="shared" si="30"/>
        <v>182.17499999999998</v>
      </c>
      <c r="K76" s="91">
        <f t="shared" si="30"/>
        <v>384.86666666666667</v>
      </c>
      <c r="L76" s="59"/>
      <c r="M76" s="59"/>
      <c r="N76" s="59"/>
      <c r="O76" s="59"/>
      <c r="P76" s="59"/>
      <c r="Q76" s="59"/>
      <c r="R76" s="59"/>
      <c r="S76" s="59"/>
      <c r="T76" s="59"/>
    </row>
    <row r="77" spans="2:20" s="60" customFormat="1">
      <c r="B77" s="80" t="s">
        <v>38</v>
      </c>
      <c r="C77" s="77">
        <f>SUM(C67:C76)</f>
        <v>1018.9769086507891</v>
      </c>
      <c r="D77" s="77">
        <f>SUM(D67:D76)</f>
        <v>1366.5645892776924</v>
      </c>
      <c r="E77" s="77">
        <f t="shared" ref="E77:K77" si="31">SUM(E67:E76)</f>
        <v>1433.1417034427475</v>
      </c>
      <c r="F77" s="77">
        <f t="shared" si="31"/>
        <v>1466.593797273719</v>
      </c>
      <c r="G77" s="77">
        <f t="shared" si="31"/>
        <v>2914.1635552197422</v>
      </c>
      <c r="H77" s="77">
        <f t="shared" si="31"/>
        <v>1943.6992226869554</v>
      </c>
      <c r="I77" s="77">
        <f t="shared" si="31"/>
        <v>1288.2771991040861</v>
      </c>
      <c r="J77" s="77">
        <f t="shared" si="31"/>
        <v>2999.3825587718197</v>
      </c>
      <c r="K77" s="77">
        <f t="shared" si="31"/>
        <v>4831.8359066837947</v>
      </c>
    </row>
    <row r="78" spans="2:20">
      <c r="C78" s="48"/>
      <c r="D78" s="48"/>
      <c r="E78" s="48"/>
      <c r="F78" s="48"/>
      <c r="G78" s="48"/>
      <c r="H78" s="48"/>
      <c r="I78" s="48"/>
      <c r="J78" s="48"/>
      <c r="K78" s="48"/>
    </row>
    <row r="79" spans="2:20">
      <c r="B79" s="6" t="s">
        <v>84</v>
      </c>
      <c r="C79" s="81">
        <v>62231.380077808157</v>
      </c>
      <c r="D79" s="81">
        <v>65650.134745013173</v>
      </c>
      <c r="E79" s="81">
        <v>65650.134745013173</v>
      </c>
      <c r="F79" s="81">
        <v>65650.134745013173</v>
      </c>
      <c r="G79" s="81">
        <v>70163.55530074962</v>
      </c>
      <c r="H79" s="78">
        <v>70163.55530074962</v>
      </c>
      <c r="I79" s="78">
        <v>70163.55530074962</v>
      </c>
      <c r="J79" s="78">
        <v>80102.074720441902</v>
      </c>
      <c r="K79" s="78">
        <v>91775.706612512178</v>
      </c>
      <c r="L79" s="59"/>
      <c r="M79" s="59"/>
      <c r="N79" s="59"/>
      <c r="O79" s="59"/>
      <c r="P79" s="59"/>
      <c r="Q79" s="59"/>
      <c r="R79" s="59"/>
      <c r="S79" s="59"/>
      <c r="T79" s="59"/>
    </row>
    <row r="80" spans="2:20">
      <c r="B80" s="80" t="s">
        <v>39</v>
      </c>
      <c r="C80" s="202">
        <f t="shared" ref="C80:K80" si="32">C77*C79</f>
        <v>63412339.292757258</v>
      </c>
      <c r="D80" s="202">
        <f t="shared" si="32"/>
        <v>89715149.423844099</v>
      </c>
      <c r="E80" s="202">
        <f t="shared" si="32"/>
        <v>94085945.939714074</v>
      </c>
      <c r="F80" s="202">
        <f t="shared" si="32"/>
        <v>96282080.407220185</v>
      </c>
      <c r="G80" s="202">
        <f t="shared" si="32"/>
        <v>204468075.76208949</v>
      </c>
      <c r="H80" s="202">
        <f t="shared" si="32"/>
        <v>136376847.89902025</v>
      </c>
      <c r="I80" s="202">
        <f t="shared" si="32"/>
        <v>90390108.502034366</v>
      </c>
      <c r="J80" s="202">
        <f t="shared" si="32"/>
        <v>240256765.83793053</v>
      </c>
      <c r="K80" s="202">
        <f t="shared" si="32"/>
        <v>443445154.57161373</v>
      </c>
      <c r="L80" s="59"/>
      <c r="M80" s="59"/>
      <c r="N80" s="59"/>
      <c r="O80" s="59"/>
      <c r="P80" s="59"/>
      <c r="Q80" s="59"/>
      <c r="R80" s="59"/>
      <c r="S80" s="59"/>
      <c r="T80" s="59"/>
    </row>
    <row r="81" spans="2:20">
      <c r="B81" s="37"/>
      <c r="L81" s="59"/>
      <c r="M81" s="59"/>
      <c r="N81" s="59"/>
      <c r="O81" s="59"/>
      <c r="P81" s="59"/>
      <c r="Q81" s="59"/>
      <c r="R81" s="59"/>
      <c r="S81" s="59"/>
      <c r="T81" s="59"/>
    </row>
    <row r="82" spans="2:20">
      <c r="B82" s="80" t="s">
        <v>40</v>
      </c>
      <c r="C82" s="48" t="s">
        <v>96</v>
      </c>
      <c r="D82" s="48"/>
      <c r="E82" s="48"/>
      <c r="F82" s="48"/>
      <c r="G82" s="48"/>
      <c r="H82" s="48"/>
      <c r="I82" s="48"/>
      <c r="J82" s="48"/>
      <c r="K82" s="48"/>
      <c r="L82" s="59"/>
      <c r="M82" s="59"/>
      <c r="N82" s="59"/>
      <c r="O82" s="59"/>
      <c r="P82" s="59"/>
      <c r="Q82" s="59"/>
      <c r="R82" s="59"/>
      <c r="S82" s="59"/>
      <c r="T82" s="59"/>
    </row>
    <row r="83" spans="2:20">
      <c r="B83" s="6" t="s">
        <v>41</v>
      </c>
      <c r="C83" s="81">
        <v>15787405.969660759</v>
      </c>
      <c r="D83" s="81">
        <v>14081063.778388046</v>
      </c>
      <c r="E83" s="81">
        <v>20239850.084978852</v>
      </c>
      <c r="F83" s="81">
        <v>22603223.956409395</v>
      </c>
      <c r="G83" s="81">
        <v>36173492.307221338</v>
      </c>
      <c r="H83" s="81">
        <v>24814134.629024986</v>
      </c>
      <c r="I83" s="81">
        <v>20720702.839474298</v>
      </c>
      <c r="J83" s="81">
        <v>46632581.180187136</v>
      </c>
      <c r="K83" s="81">
        <v>83338989.814649642</v>
      </c>
      <c r="L83" s="59"/>
      <c r="M83" s="59"/>
    </row>
    <row r="84" spans="2:20">
      <c r="B84" s="7" t="s">
        <v>42</v>
      </c>
      <c r="C84" s="96">
        <v>1277378.2030400001</v>
      </c>
      <c r="D84" s="96">
        <v>1552988.152</v>
      </c>
      <c r="E84" s="96">
        <v>2561629.2640000004</v>
      </c>
      <c r="F84" s="96">
        <v>1581358.31296</v>
      </c>
      <c r="G84" s="96">
        <v>5307981.0470000003</v>
      </c>
      <c r="H84" s="96">
        <v>2775306.8560000006</v>
      </c>
      <c r="I84" s="96">
        <v>2877081.5580000002</v>
      </c>
      <c r="J84" s="96">
        <v>3812371.137000002</v>
      </c>
      <c r="K84" s="96">
        <v>21580611.886690002</v>
      </c>
    </row>
    <row r="85" spans="2:20" s="60" customFormat="1">
      <c r="B85" s="80" t="s">
        <v>43</v>
      </c>
      <c r="C85" s="79">
        <f>SUM(C83:C84)</f>
        <v>17064784.172700759</v>
      </c>
      <c r="D85" s="79">
        <f t="shared" ref="D85:K85" si="33">SUM(D83:D84)</f>
        <v>15634051.930388046</v>
      </c>
      <c r="E85" s="79">
        <f t="shared" si="33"/>
        <v>22801479.348978855</v>
      </c>
      <c r="F85" s="79">
        <f t="shared" si="33"/>
        <v>24184582.269369394</v>
      </c>
      <c r="G85" s="79">
        <f t="shared" si="33"/>
        <v>41481473.354221337</v>
      </c>
      <c r="H85" s="79">
        <f t="shared" si="33"/>
        <v>27589441.485024989</v>
      </c>
      <c r="I85" s="79">
        <f t="shared" si="33"/>
        <v>23597784.397474296</v>
      </c>
      <c r="J85" s="79">
        <f t="shared" si="33"/>
        <v>50444952.317187138</v>
      </c>
      <c r="K85" s="79">
        <f t="shared" si="33"/>
        <v>104919601.70133965</v>
      </c>
    </row>
    <row r="86" spans="2:20" s="60" customFormat="1">
      <c r="B86" s="51"/>
      <c r="C86" s="61"/>
      <c r="D86" s="61"/>
      <c r="E86" s="61"/>
      <c r="F86" s="61"/>
      <c r="G86" s="61"/>
      <c r="H86" s="61"/>
      <c r="I86" s="61"/>
      <c r="J86" s="61"/>
      <c r="K86" s="61"/>
    </row>
    <row r="87" spans="2:20" s="60" customFormat="1">
      <c r="B87" s="80" t="s">
        <v>44</v>
      </c>
      <c r="C87" s="79">
        <f>C85+C80</f>
        <v>80477123.465458021</v>
      </c>
      <c r="D87" s="79">
        <f>D85+D80</f>
        <v>105349201.35423215</v>
      </c>
      <c r="E87" s="79">
        <f t="shared" ref="E87:K87" si="34">E85+E80</f>
        <v>116887425.28869292</v>
      </c>
      <c r="F87" s="79">
        <f t="shared" si="34"/>
        <v>120466662.67658958</v>
      </c>
      <c r="G87" s="79">
        <f t="shared" si="34"/>
        <v>245949549.11631083</v>
      </c>
      <c r="H87" s="79">
        <f t="shared" si="34"/>
        <v>163966289.38404524</v>
      </c>
      <c r="I87" s="79">
        <f t="shared" si="34"/>
        <v>113987892.89950866</v>
      </c>
      <c r="J87" s="79">
        <f t="shared" si="34"/>
        <v>290701718.15511769</v>
      </c>
      <c r="K87" s="79">
        <f t="shared" si="34"/>
        <v>548364756.27295339</v>
      </c>
    </row>
    <row r="88" spans="2:20" s="60" customFormat="1" ht="16.5" thickBot="1">
      <c r="B88" s="26"/>
      <c r="C88" s="117"/>
      <c r="D88" s="117"/>
      <c r="E88" s="117"/>
      <c r="F88" s="117"/>
      <c r="G88" s="117"/>
      <c r="H88" s="117"/>
      <c r="I88" s="117"/>
      <c r="J88" s="117"/>
      <c r="K88" s="117"/>
    </row>
    <row r="89" spans="2:20" s="60" customFormat="1" ht="16.5" thickBot="1">
      <c r="B89" s="124" t="s">
        <v>109</v>
      </c>
      <c r="C89" s="125" t="s">
        <v>1</v>
      </c>
      <c r="D89" s="125" t="s">
        <v>0</v>
      </c>
      <c r="E89" s="125" t="s">
        <v>2</v>
      </c>
      <c r="F89" s="125" t="s">
        <v>3</v>
      </c>
      <c r="G89" s="125" t="s">
        <v>4</v>
      </c>
      <c r="H89" s="125" t="s">
        <v>5</v>
      </c>
      <c r="I89" s="125" t="s">
        <v>6</v>
      </c>
      <c r="J89" s="125" t="s">
        <v>7</v>
      </c>
      <c r="K89" s="126" t="s">
        <v>8</v>
      </c>
    </row>
    <row r="90" spans="2:20" s="60" customFormat="1">
      <c r="B90" s="103"/>
      <c r="C90" s="127"/>
      <c r="D90" s="127"/>
      <c r="E90" s="127"/>
      <c r="F90" s="127"/>
      <c r="G90" s="127"/>
      <c r="H90" s="127"/>
      <c r="I90" s="127"/>
      <c r="J90" s="127"/>
      <c r="K90" s="128"/>
    </row>
    <row r="91" spans="2:20" s="60" customFormat="1">
      <c r="B91" s="103" t="s">
        <v>135</v>
      </c>
      <c r="C91" s="396">
        <v>1</v>
      </c>
      <c r="D91" s="396">
        <v>1</v>
      </c>
      <c r="E91" s="396">
        <v>1</v>
      </c>
      <c r="F91" s="396">
        <v>1</v>
      </c>
      <c r="G91" s="396">
        <v>1</v>
      </c>
      <c r="H91" s="396">
        <v>1</v>
      </c>
      <c r="I91" s="396">
        <v>1</v>
      </c>
      <c r="J91" s="396">
        <v>1</v>
      </c>
      <c r="K91" s="397">
        <v>1</v>
      </c>
    </row>
    <row r="92" spans="2:20" s="60" customFormat="1">
      <c r="B92" s="106" t="s">
        <v>95</v>
      </c>
      <c r="C92" s="101">
        <f>C87*C91</f>
        <v>80477123.465458021</v>
      </c>
      <c r="D92" s="101">
        <f t="shared" ref="D92:K92" si="35">D87*D91</f>
        <v>105349201.35423215</v>
      </c>
      <c r="E92" s="101">
        <f t="shared" si="35"/>
        <v>116887425.28869292</v>
      </c>
      <c r="F92" s="101">
        <f t="shared" si="35"/>
        <v>120466662.67658958</v>
      </c>
      <c r="G92" s="101">
        <f t="shared" si="35"/>
        <v>245949549.11631083</v>
      </c>
      <c r="H92" s="101">
        <f t="shared" si="35"/>
        <v>163966289.38404524</v>
      </c>
      <c r="I92" s="101">
        <f t="shared" si="35"/>
        <v>113987892.89950866</v>
      </c>
      <c r="J92" s="101">
        <f t="shared" si="35"/>
        <v>290701718.15511769</v>
      </c>
      <c r="K92" s="107">
        <f t="shared" si="35"/>
        <v>548364756.27295339</v>
      </c>
    </row>
    <row r="93" spans="2:20" s="60" customFormat="1">
      <c r="B93" s="103"/>
      <c r="C93" s="127"/>
      <c r="D93" s="127"/>
      <c r="E93" s="127"/>
      <c r="F93" s="127"/>
      <c r="G93" s="127"/>
      <c r="H93" s="127"/>
      <c r="I93" s="127"/>
      <c r="J93" s="127"/>
      <c r="K93" s="128"/>
    </row>
    <row r="94" spans="2:20" s="60" customFormat="1">
      <c r="B94" s="103" t="s">
        <v>89</v>
      </c>
      <c r="C94" s="129">
        <v>0.55000000000000004</v>
      </c>
      <c r="D94" s="129">
        <v>0.55000000000000004</v>
      </c>
      <c r="E94" s="129">
        <v>0.55000000000000004</v>
      </c>
      <c r="F94" s="129">
        <v>0.55000000000000004</v>
      </c>
      <c r="G94" s="129">
        <v>0.55000000000000004</v>
      </c>
      <c r="H94" s="129">
        <v>0.55000000000000004</v>
      </c>
      <c r="I94" s="129">
        <v>0.55000000000000004</v>
      </c>
      <c r="J94" s="129">
        <v>0.55000000000000004</v>
      </c>
      <c r="K94" s="130">
        <v>0.55000000000000004</v>
      </c>
    </row>
    <row r="95" spans="2:20" s="60" customFormat="1">
      <c r="B95" s="106" t="s">
        <v>95</v>
      </c>
      <c r="C95" s="101">
        <f>C92*C94</f>
        <v>44262417.906001918</v>
      </c>
      <c r="D95" s="101">
        <f t="shared" ref="D95:K95" si="36">D92*D94</f>
        <v>57942060.744827688</v>
      </c>
      <c r="E95" s="101">
        <f t="shared" si="36"/>
        <v>64288083.908781111</v>
      </c>
      <c r="F95" s="101">
        <f t="shared" si="36"/>
        <v>66256664.472124271</v>
      </c>
      <c r="G95" s="101">
        <f t="shared" si="36"/>
        <v>135272252.01397097</v>
      </c>
      <c r="H95" s="101">
        <f t="shared" si="36"/>
        <v>90181459.161224887</v>
      </c>
      <c r="I95" s="101">
        <f t="shared" si="36"/>
        <v>62693341.094729766</v>
      </c>
      <c r="J95" s="101">
        <f t="shared" si="36"/>
        <v>159885944.98531476</v>
      </c>
      <c r="K95" s="107">
        <f t="shared" si="36"/>
        <v>301600615.95012438</v>
      </c>
    </row>
    <row r="96" spans="2:20" s="60" customFormat="1">
      <c r="B96" s="106"/>
      <c r="C96" s="131"/>
      <c r="D96" s="131"/>
      <c r="E96" s="131"/>
      <c r="F96" s="131"/>
      <c r="G96" s="131"/>
      <c r="H96" s="131"/>
      <c r="I96" s="131"/>
      <c r="J96" s="131"/>
      <c r="K96" s="132"/>
    </row>
    <row r="97" spans="2:12" s="60" customFormat="1">
      <c r="B97" s="103" t="s">
        <v>108</v>
      </c>
      <c r="C97" s="133">
        <f t="shared" ref="C97:K97" si="37">C116</f>
        <v>2926262.5728713684</v>
      </c>
      <c r="D97" s="133">
        <f t="shared" si="37"/>
        <v>2144063.6605241634</v>
      </c>
      <c r="E97" s="133">
        <f t="shared" si="37"/>
        <v>6105433.3331189128</v>
      </c>
      <c r="F97" s="133">
        <f t="shared" si="37"/>
        <v>3735625.0600908226</v>
      </c>
      <c r="G97" s="133">
        <f t="shared" si="37"/>
        <v>6455527.7202822268</v>
      </c>
      <c r="H97" s="133">
        <f t="shared" si="37"/>
        <v>13509786.638429405</v>
      </c>
      <c r="I97" s="133">
        <f t="shared" si="37"/>
        <v>14114920.463425865</v>
      </c>
      <c r="J97" s="133">
        <f t="shared" si="37"/>
        <v>16569564.420845382</v>
      </c>
      <c r="K97" s="156">
        <f t="shared" si="37"/>
        <v>22832916.940737832</v>
      </c>
    </row>
    <row r="98" spans="2:12" s="60" customFormat="1">
      <c r="B98" s="106" t="s">
        <v>95</v>
      </c>
      <c r="C98" s="101">
        <f>C95-C97</f>
        <v>41336155.333130553</v>
      </c>
      <c r="D98" s="101">
        <f t="shared" ref="D98:K98" si="38">D95-D97</f>
        <v>55797997.084303528</v>
      </c>
      <c r="E98" s="101">
        <f t="shared" si="38"/>
        <v>58182650.575662196</v>
      </c>
      <c r="F98" s="101">
        <f t="shared" si="38"/>
        <v>62521039.412033446</v>
      </c>
      <c r="G98" s="101">
        <f t="shared" si="38"/>
        <v>128816724.29368874</v>
      </c>
      <c r="H98" s="101">
        <f t="shared" si="38"/>
        <v>76671672.522795483</v>
      </c>
      <c r="I98" s="101">
        <f t="shared" si="38"/>
        <v>48578420.631303899</v>
      </c>
      <c r="J98" s="101">
        <f t="shared" si="38"/>
        <v>143316380.56446937</v>
      </c>
      <c r="K98" s="107">
        <f t="shared" si="38"/>
        <v>278767699.00938654</v>
      </c>
    </row>
    <row r="99" spans="2:12" s="60" customFormat="1">
      <c r="B99" s="106"/>
      <c r="C99" s="134"/>
      <c r="D99" s="134"/>
      <c r="E99" s="134"/>
      <c r="F99" s="134"/>
      <c r="G99" s="134"/>
      <c r="H99" s="134"/>
      <c r="I99" s="134"/>
      <c r="J99" s="134"/>
      <c r="K99" s="135"/>
    </row>
    <row r="100" spans="2:12" s="60" customFormat="1" ht="16.5" thickBot="1">
      <c r="B100" s="104" t="s">
        <v>110</v>
      </c>
      <c r="C100" s="136"/>
      <c r="D100" s="136"/>
      <c r="E100" s="136"/>
      <c r="F100" s="136"/>
      <c r="G100" s="136"/>
      <c r="H100" s="136"/>
      <c r="I100" s="136"/>
      <c r="J100" s="136"/>
      <c r="K100" s="137"/>
    </row>
    <row r="101" spans="2:12" s="60" customFormat="1">
      <c r="B101" s="103" t="s">
        <v>94</v>
      </c>
      <c r="C101" s="398">
        <v>94</v>
      </c>
      <c r="D101" s="398">
        <v>90</v>
      </c>
      <c r="E101" s="398">
        <v>97.5</v>
      </c>
      <c r="F101" s="398">
        <v>94</v>
      </c>
      <c r="G101" s="398">
        <v>91</v>
      </c>
      <c r="H101" s="398">
        <v>92.5</v>
      </c>
      <c r="I101" s="398">
        <v>84</v>
      </c>
      <c r="J101" s="398">
        <v>87</v>
      </c>
      <c r="K101" s="399">
        <v>93</v>
      </c>
      <c r="L101" s="185" t="s">
        <v>88</v>
      </c>
    </row>
    <row r="102" spans="2:12" s="60" customFormat="1" ht="16.5" thickBot="1">
      <c r="B102" s="108" t="s">
        <v>111</v>
      </c>
      <c r="C102" s="138">
        <f t="shared" ref="C102:K102" si="39">C98*($L$102*C101/100)</f>
        <v>2117651.2377162785</v>
      </c>
      <c r="D102" s="138">
        <f t="shared" si="39"/>
        <v>2736891.7569850883</v>
      </c>
      <c r="E102" s="138">
        <f t="shared" si="39"/>
        <v>3091680.59496425</v>
      </c>
      <c r="F102" s="138">
        <f t="shared" si="39"/>
        <v>3202952.8490784736</v>
      </c>
      <c r="G102" s="138">
        <f t="shared" si="39"/>
        <v>6388665.4413454933</v>
      </c>
      <c r="H102" s="138">
        <f t="shared" si="39"/>
        <v>3865210.6910554273</v>
      </c>
      <c r="I102" s="138">
        <f t="shared" si="39"/>
        <v>2223920.0965010924</v>
      </c>
      <c r="J102" s="138">
        <f t="shared" si="39"/>
        <v>6795346.1844643159</v>
      </c>
      <c r="K102" s="139">
        <f t="shared" si="39"/>
        <v>14129340.824290756</v>
      </c>
      <c r="L102" s="184">
        <v>5.45E-2</v>
      </c>
    </row>
    <row r="103" spans="2:12" s="60" customFormat="1">
      <c r="B103" s="109" t="s">
        <v>95</v>
      </c>
      <c r="C103" s="140">
        <f>ROUND(C98+C102,-3)</f>
        <v>43454000</v>
      </c>
      <c r="D103" s="140">
        <f t="shared" ref="D103:K103" si="40">ROUND(D98+D102,-3)</f>
        <v>58535000</v>
      </c>
      <c r="E103" s="140">
        <f t="shared" si="40"/>
        <v>61274000</v>
      </c>
      <c r="F103" s="140">
        <f t="shared" si="40"/>
        <v>65724000</v>
      </c>
      <c r="G103" s="140">
        <f t="shared" si="40"/>
        <v>135205000</v>
      </c>
      <c r="H103" s="140">
        <f t="shared" si="40"/>
        <v>80537000</v>
      </c>
      <c r="I103" s="140">
        <f t="shared" si="40"/>
        <v>50802000</v>
      </c>
      <c r="J103" s="140">
        <f t="shared" si="40"/>
        <v>150112000</v>
      </c>
      <c r="K103" s="141">
        <f t="shared" si="40"/>
        <v>292897000</v>
      </c>
    </row>
    <row r="104" spans="2:12" s="60" customFormat="1">
      <c r="B104" s="103"/>
      <c r="C104" s="127"/>
      <c r="D104" s="127"/>
      <c r="E104" s="127"/>
      <c r="F104" s="127"/>
      <c r="G104" s="127"/>
      <c r="H104" s="127"/>
      <c r="I104" s="127"/>
      <c r="J104" s="127"/>
      <c r="K104" s="128"/>
    </row>
    <row r="105" spans="2:12" s="60" customFormat="1">
      <c r="B105" s="106" t="s">
        <v>90</v>
      </c>
      <c r="C105" s="382">
        <v>310000</v>
      </c>
      <c r="D105" s="382">
        <v>0</v>
      </c>
      <c r="E105" s="382">
        <v>700900</v>
      </c>
      <c r="F105" s="382">
        <v>0</v>
      </c>
      <c r="G105" s="382">
        <v>489500</v>
      </c>
      <c r="H105" s="382">
        <v>0</v>
      </c>
      <c r="I105" s="382">
        <v>1026300</v>
      </c>
      <c r="J105" s="382">
        <v>65000</v>
      </c>
      <c r="K105" s="383">
        <v>0</v>
      </c>
    </row>
    <row r="106" spans="2:12" s="60" customFormat="1">
      <c r="B106" s="106"/>
      <c r="C106" s="131"/>
      <c r="D106" s="131"/>
      <c r="E106" s="131"/>
      <c r="F106" s="131"/>
      <c r="G106" s="131"/>
      <c r="H106" s="131"/>
      <c r="I106" s="131"/>
      <c r="J106" s="131"/>
      <c r="K106" s="132"/>
    </row>
    <row r="107" spans="2:12" s="60" customFormat="1" ht="16.5" thickBot="1">
      <c r="B107" s="110" t="s">
        <v>116</v>
      </c>
      <c r="C107" s="142">
        <f>C103+C105</f>
        <v>43764000</v>
      </c>
      <c r="D107" s="142">
        <f t="shared" ref="D107:K107" si="41">D103+D105</f>
        <v>58535000</v>
      </c>
      <c r="E107" s="142">
        <f t="shared" si="41"/>
        <v>61974900</v>
      </c>
      <c r="F107" s="142">
        <f t="shared" si="41"/>
        <v>65724000</v>
      </c>
      <c r="G107" s="142">
        <f t="shared" si="41"/>
        <v>135694500</v>
      </c>
      <c r="H107" s="142">
        <f t="shared" si="41"/>
        <v>80537000</v>
      </c>
      <c r="I107" s="142">
        <f t="shared" si="41"/>
        <v>51828300</v>
      </c>
      <c r="J107" s="142">
        <f t="shared" si="41"/>
        <v>150177000</v>
      </c>
      <c r="K107" s="403">
        <f t="shared" si="41"/>
        <v>292897000</v>
      </c>
    </row>
    <row r="108" spans="2:12" s="60" customFormat="1"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2:12" s="60" customFormat="1">
      <c r="B109" s="205" t="s">
        <v>118</v>
      </c>
      <c r="C109" s="389">
        <v>42686000</v>
      </c>
      <c r="D109" s="389">
        <v>56186000</v>
      </c>
      <c r="E109" s="389">
        <v>62960900</v>
      </c>
      <c r="F109" s="389">
        <v>61485000</v>
      </c>
      <c r="G109" s="389">
        <v>135820500</v>
      </c>
      <c r="H109" s="389">
        <v>78623000</v>
      </c>
      <c r="I109" s="389">
        <v>52609300</v>
      </c>
      <c r="J109" s="389">
        <v>146528000</v>
      </c>
      <c r="K109" s="389">
        <v>289041000</v>
      </c>
    </row>
    <row r="110" spans="2:12" s="60" customFormat="1">
      <c r="B110" s="205" t="s">
        <v>87</v>
      </c>
      <c r="C110" s="206">
        <f t="shared" ref="C110:K110" si="42">C107/C109-1</f>
        <v>2.5254181698917577E-2</v>
      </c>
      <c r="D110" s="206">
        <f t="shared" si="42"/>
        <v>4.1807567721496408E-2</v>
      </c>
      <c r="E110" s="206">
        <f t="shared" si="42"/>
        <v>-1.5660513112106034E-2</v>
      </c>
      <c r="F110" s="206">
        <f t="shared" si="42"/>
        <v>6.8943644791412462E-2</v>
      </c>
      <c r="G110" s="206">
        <f t="shared" si="42"/>
        <v>-9.2769500922174064E-4</v>
      </c>
      <c r="H110" s="206">
        <f t="shared" si="42"/>
        <v>2.4344021469544508E-2</v>
      </c>
      <c r="I110" s="206">
        <f t="shared" si="42"/>
        <v>-1.4845284008720872E-2</v>
      </c>
      <c r="J110" s="206">
        <f t="shared" si="42"/>
        <v>2.4903090194365651E-2</v>
      </c>
      <c r="K110" s="206">
        <f t="shared" si="42"/>
        <v>1.33406679329231E-2</v>
      </c>
    </row>
    <row r="111" spans="2:12" s="60" customFormat="1" ht="16.5" thickBot="1">
      <c r="B111" s="157"/>
      <c r="C111" s="158"/>
      <c r="D111" s="158"/>
      <c r="E111" s="158"/>
      <c r="F111" s="158"/>
      <c r="G111" s="158"/>
      <c r="H111" s="158"/>
      <c r="I111" s="158"/>
      <c r="J111" s="158"/>
      <c r="K111" s="158"/>
    </row>
    <row r="112" spans="2:12" s="60" customFormat="1">
      <c r="B112" s="159" t="s">
        <v>115</v>
      </c>
      <c r="C112" s="160" t="s">
        <v>1</v>
      </c>
      <c r="D112" s="160" t="s">
        <v>0</v>
      </c>
      <c r="E112" s="160" t="s">
        <v>2</v>
      </c>
      <c r="F112" s="160" t="s">
        <v>3</v>
      </c>
      <c r="G112" s="160" t="s">
        <v>4</v>
      </c>
      <c r="H112" s="160" t="s">
        <v>5</v>
      </c>
      <c r="I112" s="160" t="s">
        <v>6</v>
      </c>
      <c r="J112" s="160" t="s">
        <v>7</v>
      </c>
      <c r="K112" s="161" t="s">
        <v>8</v>
      </c>
    </row>
    <row r="113" spans="2:20" s="60" customFormat="1">
      <c r="B113" s="149" t="s">
        <v>119</v>
      </c>
      <c r="C113" s="145">
        <v>6719.8166666666666</v>
      </c>
      <c r="D113" s="145">
        <v>8892.8333333333321</v>
      </c>
      <c r="E113" s="145">
        <v>10042.391666666666</v>
      </c>
      <c r="F113" s="145">
        <v>10502.333333333334</v>
      </c>
      <c r="G113" s="145">
        <v>20390.808333333331</v>
      </c>
      <c r="H113" s="145">
        <v>12456.775</v>
      </c>
      <c r="I113" s="145">
        <v>7552.2249999999995</v>
      </c>
      <c r="J113" s="145">
        <v>17228.075000000001</v>
      </c>
      <c r="K113" s="146">
        <v>24497.791666666668</v>
      </c>
    </row>
    <row r="114" spans="2:20" s="60" customFormat="1">
      <c r="B114" s="149" t="s">
        <v>91</v>
      </c>
      <c r="C114" s="145">
        <f t="shared" ref="C114:K114" si="43">C87*C94/C113</f>
        <v>6586.8490319927259</v>
      </c>
      <c r="D114" s="145">
        <f t="shared" si="43"/>
        <v>6515.5905404907726</v>
      </c>
      <c r="E114" s="145">
        <f t="shared" si="43"/>
        <v>6401.6706420812216</v>
      </c>
      <c r="F114" s="145">
        <f t="shared" si="43"/>
        <v>6308.7565752490809</v>
      </c>
      <c r="G114" s="145">
        <f t="shared" si="43"/>
        <v>6633.9818315509474</v>
      </c>
      <c r="H114" s="145">
        <f t="shared" si="43"/>
        <v>7239.5511006038796</v>
      </c>
      <c r="I114" s="145">
        <f t="shared" si="43"/>
        <v>8301.3073756051726</v>
      </c>
      <c r="J114" s="145">
        <f t="shared" si="43"/>
        <v>9280.5461425791764</v>
      </c>
      <c r="K114" s="146">
        <f t="shared" si="43"/>
        <v>12311.338917968771</v>
      </c>
    </row>
    <row r="115" spans="2:20" s="60" customFormat="1">
      <c r="B115" s="149" t="s">
        <v>129</v>
      </c>
      <c r="C115" s="145">
        <v>444.25833333333333</v>
      </c>
      <c r="D115" s="145">
        <v>329.06666666666666</v>
      </c>
      <c r="E115" s="145">
        <v>953.72499999999991</v>
      </c>
      <c r="F115" s="145">
        <v>592.13333333333333</v>
      </c>
      <c r="G115" s="145">
        <v>973.1</v>
      </c>
      <c r="H115" s="145">
        <v>1866.1083333333333</v>
      </c>
      <c r="I115" s="145">
        <v>1700.325</v>
      </c>
      <c r="J115" s="145">
        <v>1785.4083333333333</v>
      </c>
      <c r="K115" s="146">
        <v>1854.625</v>
      </c>
    </row>
    <row r="116" spans="2:20" s="60" customFormat="1">
      <c r="B116" s="149" t="s">
        <v>93</v>
      </c>
      <c r="C116" s="145">
        <f>C115*C114</f>
        <v>2926262.5728713684</v>
      </c>
      <c r="D116" s="145">
        <f>D115*D114</f>
        <v>2144063.6605241634</v>
      </c>
      <c r="E116" s="145">
        <f t="shared" ref="E116:K116" si="44">E115*E114</f>
        <v>6105433.3331189128</v>
      </c>
      <c r="F116" s="145">
        <f t="shared" si="44"/>
        <v>3735625.0600908226</v>
      </c>
      <c r="G116" s="145">
        <f t="shared" si="44"/>
        <v>6455527.7202822268</v>
      </c>
      <c r="H116" s="145">
        <f t="shared" si="44"/>
        <v>13509786.638429405</v>
      </c>
      <c r="I116" s="145">
        <f t="shared" si="44"/>
        <v>14114920.463425865</v>
      </c>
      <c r="J116" s="145">
        <f t="shared" si="44"/>
        <v>16569564.420845382</v>
      </c>
      <c r="K116" s="146">
        <f t="shared" si="44"/>
        <v>22832916.940737832</v>
      </c>
    </row>
    <row r="117" spans="2:20" s="60" customFormat="1">
      <c r="B117" s="188" t="s">
        <v>120</v>
      </c>
      <c r="C117" s="76">
        <v>432.35</v>
      </c>
      <c r="D117" s="76">
        <v>291.875</v>
      </c>
      <c r="E117" s="76">
        <v>746.24166666666667</v>
      </c>
      <c r="F117" s="76">
        <v>584.74166666666667</v>
      </c>
      <c r="G117" s="76">
        <v>922.75833333333333</v>
      </c>
      <c r="H117" s="76">
        <v>1727.2333333333333</v>
      </c>
      <c r="I117" s="76">
        <v>1441.7333333333333</v>
      </c>
      <c r="J117" s="76">
        <v>1791.7083333333333</v>
      </c>
      <c r="K117" s="400">
        <v>1799.7666666666667</v>
      </c>
    </row>
    <row r="118" spans="2:20" s="60" customFormat="1">
      <c r="B118" s="149" t="s">
        <v>130</v>
      </c>
      <c r="C118" s="145">
        <f>C115-C117</f>
        <v>11.908333333333303</v>
      </c>
      <c r="D118" s="145">
        <f t="shared" ref="D118:K118" si="45">D115-D117</f>
        <v>37.191666666666663</v>
      </c>
      <c r="E118" s="145">
        <f t="shared" si="45"/>
        <v>207.48333333333323</v>
      </c>
      <c r="F118" s="145">
        <f t="shared" si="45"/>
        <v>7.3916666666666515</v>
      </c>
      <c r="G118" s="145">
        <f t="shared" si="45"/>
        <v>50.341666666666697</v>
      </c>
      <c r="H118" s="145">
        <f t="shared" si="45"/>
        <v>138.875</v>
      </c>
      <c r="I118" s="145">
        <f t="shared" si="45"/>
        <v>258.5916666666667</v>
      </c>
      <c r="J118" s="145">
        <f t="shared" si="45"/>
        <v>-6.2999999999999545</v>
      </c>
      <c r="K118" s="146">
        <f t="shared" si="45"/>
        <v>54.858333333333348</v>
      </c>
    </row>
    <row r="119" spans="2:20" s="60" customFormat="1" ht="16.5" thickBot="1">
      <c r="B119" s="150" t="s">
        <v>131</v>
      </c>
      <c r="C119" s="189">
        <f>C118/C117</f>
        <v>2.7543271269418995E-2</v>
      </c>
      <c r="D119" s="189">
        <f t="shared" ref="D119:K119" si="46">D118/D117</f>
        <v>0.12742326909350463</v>
      </c>
      <c r="E119" s="189">
        <f t="shared" si="46"/>
        <v>0.27803772236429203</v>
      </c>
      <c r="F119" s="189">
        <f t="shared" si="46"/>
        <v>1.2640909803474442E-2</v>
      </c>
      <c r="G119" s="189">
        <f t="shared" si="46"/>
        <v>5.4555634826742319E-2</v>
      </c>
      <c r="H119" s="189">
        <f t="shared" si="46"/>
        <v>8.0403149545515945E-2</v>
      </c>
      <c r="I119" s="189">
        <f t="shared" si="46"/>
        <v>0.17936164801627671</v>
      </c>
      <c r="J119" s="189">
        <f t="shared" si="46"/>
        <v>-3.5161972977372368E-3</v>
      </c>
      <c r="K119" s="190">
        <f t="shared" si="46"/>
        <v>3.0480803067064258E-2</v>
      </c>
    </row>
    <row r="120" spans="2:20" s="60" customFormat="1">
      <c r="B120" s="239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2:20" s="60" customFormat="1">
      <c r="B121" s="6" t="s">
        <v>133</v>
      </c>
      <c r="C121" s="81">
        <v>2649833.778884022</v>
      </c>
      <c r="D121" s="81">
        <v>1780364.4850798789</v>
      </c>
      <c r="E121" s="81">
        <v>4876519.7058751946</v>
      </c>
      <c r="F121" s="81">
        <v>3516899.7214287347</v>
      </c>
      <c r="G121" s="81">
        <v>5707116.9382303664</v>
      </c>
      <c r="H121" s="81">
        <v>11632122.750284461</v>
      </c>
      <c r="I121" s="81">
        <v>11934150.989564242</v>
      </c>
      <c r="J121" s="81">
        <v>15254061.780314319</v>
      </c>
      <c r="K121" s="81">
        <v>21989434.418986734</v>
      </c>
    </row>
    <row r="122" spans="2:20" s="60" customFormat="1">
      <c r="B122" s="6" t="s">
        <v>134</v>
      </c>
      <c r="C122" s="81">
        <f>C121-C97</f>
        <v>-276428.79398734635</v>
      </c>
      <c r="D122" s="81">
        <f t="shared" ref="D122:K122" si="47">D121-D97</f>
        <v>-363699.17544428445</v>
      </c>
      <c r="E122" s="81">
        <f t="shared" si="47"/>
        <v>-1228913.6272437181</v>
      </c>
      <c r="F122" s="81">
        <f t="shared" si="47"/>
        <v>-218725.33866208792</v>
      </c>
      <c r="G122" s="81">
        <f t="shared" si="47"/>
        <v>-748410.78205186035</v>
      </c>
      <c r="H122" s="81">
        <f t="shared" si="47"/>
        <v>-1877663.8881449439</v>
      </c>
      <c r="I122" s="81">
        <f t="shared" si="47"/>
        <v>-2180769.4738616236</v>
      </c>
      <c r="J122" s="81">
        <f t="shared" si="47"/>
        <v>-1315502.6405310631</v>
      </c>
      <c r="K122" s="81">
        <f t="shared" si="47"/>
        <v>-843482.52175109833</v>
      </c>
    </row>
    <row r="123" spans="2:20" s="60" customFormat="1">
      <c r="B123" s="239" t="s">
        <v>87</v>
      </c>
      <c r="C123" s="238">
        <f>C116/C121-1</f>
        <v>0.10431929587061273</v>
      </c>
      <c r="D123" s="238">
        <f t="shared" ref="D123:K123" si="48">D116/D121-1</f>
        <v>0.20428354895428424</v>
      </c>
      <c r="E123" s="238">
        <f t="shared" si="48"/>
        <v>0.25200628755034704</v>
      </c>
      <c r="F123" s="238">
        <f t="shared" si="48"/>
        <v>6.2192657166019849E-2</v>
      </c>
      <c r="G123" s="238">
        <f t="shared" si="48"/>
        <v>0.13113640217155309</v>
      </c>
      <c r="H123" s="238">
        <f t="shared" si="48"/>
        <v>0.16142057029952039</v>
      </c>
      <c r="I123" s="238">
        <f t="shared" si="48"/>
        <v>0.18273352463602865</v>
      </c>
      <c r="J123" s="238">
        <f t="shared" si="48"/>
        <v>8.6239498664463676E-2</v>
      </c>
      <c r="K123" s="238">
        <f t="shared" si="48"/>
        <v>3.8358536453434011E-2</v>
      </c>
    </row>
    <row r="124" spans="2:20" s="60" customFormat="1" ht="16.5" thickBot="1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2:20" s="60" customFormat="1">
      <c r="B125" s="187" t="s">
        <v>112</v>
      </c>
      <c r="C125" s="160" t="s">
        <v>1</v>
      </c>
      <c r="D125" s="160" t="s">
        <v>0</v>
      </c>
      <c r="E125" s="160" t="s">
        <v>2</v>
      </c>
      <c r="F125" s="160" t="s">
        <v>3</v>
      </c>
      <c r="G125" s="160" t="s">
        <v>4</v>
      </c>
      <c r="H125" s="160" t="s">
        <v>5</v>
      </c>
      <c r="I125" s="160" t="s">
        <v>6</v>
      </c>
      <c r="J125" s="160" t="s">
        <v>7</v>
      </c>
      <c r="K125" s="161" t="s">
        <v>8</v>
      </c>
    </row>
    <row r="126" spans="2:20" s="60" customFormat="1">
      <c r="B126" s="143" t="s">
        <v>117</v>
      </c>
      <c r="C126" s="144">
        <f t="shared" ref="C126:K126" si="49">ROUND((C87*C91-C97)*(1+$L$102*C101/100),-3)+C105</f>
        <v>81834000</v>
      </c>
      <c r="D126" s="144">
        <f t="shared" si="49"/>
        <v>108267000</v>
      </c>
      <c r="E126" s="144">
        <f t="shared" si="49"/>
        <v>117369900</v>
      </c>
      <c r="F126" s="144">
        <f t="shared" si="49"/>
        <v>122711000</v>
      </c>
      <c r="G126" s="144">
        <f t="shared" si="49"/>
        <v>251861500</v>
      </c>
      <c r="H126" s="144">
        <f t="shared" si="49"/>
        <v>158041000</v>
      </c>
      <c r="I126" s="144">
        <f t="shared" si="49"/>
        <v>105471300</v>
      </c>
      <c r="J126" s="144">
        <f t="shared" si="49"/>
        <v>287195000</v>
      </c>
      <c r="K126" s="151">
        <f t="shared" si="49"/>
        <v>552168000</v>
      </c>
    </row>
    <row r="127" spans="2:20" s="60" customFormat="1">
      <c r="B127" s="152"/>
      <c r="C127" s="153"/>
      <c r="D127" s="154"/>
      <c r="E127" s="154"/>
      <c r="F127" s="154"/>
      <c r="G127" s="154"/>
      <c r="H127" s="154"/>
      <c r="I127" s="154"/>
      <c r="J127" s="154"/>
      <c r="K127" s="155"/>
    </row>
    <row r="128" spans="2:20" s="60" customFormat="1">
      <c r="B128" s="121" t="s">
        <v>121</v>
      </c>
      <c r="C128" s="401">
        <v>79634000</v>
      </c>
      <c r="D128" s="401">
        <v>103685000</v>
      </c>
      <c r="E128" s="401">
        <v>118101900</v>
      </c>
      <c r="F128" s="401">
        <v>114818000</v>
      </c>
      <c r="G128" s="401">
        <v>251465500</v>
      </c>
      <c r="H128" s="401">
        <v>152953000</v>
      </c>
      <c r="I128" s="401">
        <v>105052300</v>
      </c>
      <c r="J128" s="401">
        <v>279474000</v>
      </c>
      <c r="K128" s="402">
        <v>544461000</v>
      </c>
      <c r="N128" s="98"/>
      <c r="O128" s="98"/>
      <c r="P128" s="98"/>
      <c r="Q128" s="98"/>
      <c r="R128" s="98"/>
      <c r="S128" s="98"/>
      <c r="T128" s="98"/>
    </row>
    <row r="129" spans="2:11">
      <c r="B129" s="112" t="s">
        <v>87</v>
      </c>
      <c r="C129" s="82">
        <f>C126/C128-1</f>
        <v>2.7626390737624629E-2</v>
      </c>
      <c r="D129" s="82">
        <f t="shared" ref="D129:K129" si="50">D126/D128-1</f>
        <v>4.4191541688768821E-2</v>
      </c>
      <c r="E129" s="82">
        <f t="shared" si="50"/>
        <v>-6.1980374574837072E-3</v>
      </c>
      <c r="F129" s="82">
        <f t="shared" si="50"/>
        <v>6.8743576791095551E-2</v>
      </c>
      <c r="G129" s="82">
        <f t="shared" si="50"/>
        <v>1.5747687058462745E-3</v>
      </c>
      <c r="H129" s="82">
        <f t="shared" si="50"/>
        <v>3.326512065797993E-2</v>
      </c>
      <c r="I129" s="82">
        <f t="shared" si="50"/>
        <v>3.9884895428277112E-3</v>
      </c>
      <c r="J129" s="82">
        <f t="shared" si="50"/>
        <v>2.7626899103315505E-2</v>
      </c>
      <c r="K129" s="113">
        <f t="shared" si="50"/>
        <v>1.4155283849532019E-2</v>
      </c>
    </row>
    <row r="130" spans="2:11">
      <c r="B130" s="43"/>
      <c r="C130" s="64"/>
      <c r="D130" s="64"/>
      <c r="E130" s="64"/>
      <c r="F130" s="64"/>
      <c r="G130" s="64"/>
      <c r="H130" s="64"/>
      <c r="I130" s="64"/>
      <c r="J130" s="64"/>
      <c r="K130" s="114"/>
    </row>
    <row r="131" spans="2:11">
      <c r="B131" s="162"/>
      <c r="C131" s="40"/>
      <c r="D131" s="40"/>
      <c r="E131" s="40"/>
      <c r="F131" s="40"/>
      <c r="G131" s="40"/>
      <c r="H131" s="40"/>
      <c r="I131" s="40"/>
      <c r="J131" s="40"/>
      <c r="K131" s="163"/>
    </row>
    <row r="132" spans="2:11">
      <c r="B132" s="164" t="s">
        <v>85</v>
      </c>
      <c r="C132" s="2" t="s">
        <v>1</v>
      </c>
      <c r="D132" s="2" t="s">
        <v>0</v>
      </c>
      <c r="E132" s="2" t="s">
        <v>2</v>
      </c>
      <c r="F132" s="2" t="s">
        <v>3</v>
      </c>
      <c r="G132" s="2" t="s">
        <v>4</v>
      </c>
      <c r="H132" s="2" t="s">
        <v>5</v>
      </c>
      <c r="I132" s="2" t="s">
        <v>6</v>
      </c>
      <c r="J132" s="2" t="s">
        <v>7</v>
      </c>
      <c r="K132" s="30" t="s">
        <v>8</v>
      </c>
    </row>
    <row r="133" spans="2:11">
      <c r="B133" s="43" t="s">
        <v>9</v>
      </c>
      <c r="C133" s="25">
        <f t="shared" ref="C133:C142" si="51">C67/$C$77</f>
        <v>4.4087358230210677E-2</v>
      </c>
      <c r="D133" s="25">
        <f t="shared" ref="D133:D142" si="52">D67/$D$77</f>
        <v>4.2099729827193129E-2</v>
      </c>
      <c r="E133" s="25">
        <f t="shared" ref="E133:E142" si="53">E67/$E$77</f>
        <v>4.4562236830163734E-2</v>
      </c>
      <c r="F133" s="25">
        <f t="shared" ref="F133:F142" si="54">F67/$F$77</f>
        <v>4.5294068557690859E-2</v>
      </c>
      <c r="G133" s="25">
        <f t="shared" ref="G133:G142" si="55">G67/$G$77</f>
        <v>3.8156403335987583E-2</v>
      </c>
      <c r="H133" s="25">
        <f t="shared" ref="H133:H142" si="56">H67/$H$77</f>
        <v>3.2281743629685868E-2</v>
      </c>
      <c r="I133" s="25">
        <f t="shared" ref="I133:I142" si="57">I67/$I$77</f>
        <v>3.0347505977121034E-2</v>
      </c>
      <c r="J133" s="25">
        <f t="shared" ref="J133:J142" si="58">J67/$J$77</f>
        <v>1.7859231230777387E-2</v>
      </c>
      <c r="K133" s="165">
        <f t="shared" ref="K133:K142" si="59">K67/$K$77</f>
        <v>1.554357421288044E-2</v>
      </c>
    </row>
    <row r="134" spans="2:11">
      <c r="B134" s="43" t="s">
        <v>10</v>
      </c>
      <c r="C134" s="25">
        <f t="shared" si="51"/>
        <v>7.1810590320658937E-2</v>
      </c>
      <c r="D134" s="25">
        <f t="shared" si="52"/>
        <v>6.9524705049044344E-2</v>
      </c>
      <c r="E134" s="25">
        <f t="shared" si="53"/>
        <v>6.7199681954209514E-2</v>
      </c>
      <c r="F134" s="25">
        <f t="shared" si="54"/>
        <v>6.4246373814267468E-2</v>
      </c>
      <c r="G134" s="25">
        <f t="shared" si="55"/>
        <v>6.8498786318674759E-2</v>
      </c>
      <c r="H134" s="25">
        <f t="shared" si="56"/>
        <v>5.3624551979762188E-2</v>
      </c>
      <c r="I134" s="25">
        <f t="shared" si="57"/>
        <v>4.3934643909992091E-2</v>
      </c>
      <c r="J134" s="25">
        <f t="shared" si="58"/>
        <v>2.9767459885663868E-2</v>
      </c>
      <c r="K134" s="165">
        <f t="shared" si="59"/>
        <v>2.7688854212729656E-2</v>
      </c>
    </row>
    <row r="135" spans="2:11">
      <c r="B135" s="43" t="s">
        <v>11</v>
      </c>
      <c r="C135" s="25">
        <f t="shared" si="51"/>
        <v>0.10613128954661673</v>
      </c>
      <c r="D135" s="25">
        <f t="shared" si="52"/>
        <v>0.10012796644003231</v>
      </c>
      <c r="E135" s="25">
        <f t="shared" si="53"/>
        <v>0.10326543400731636</v>
      </c>
      <c r="F135" s="25">
        <f t="shared" si="54"/>
        <v>9.6763898495369968E-2</v>
      </c>
      <c r="G135" s="25">
        <f t="shared" si="55"/>
        <v>0.11398742510694539</v>
      </c>
      <c r="H135" s="25">
        <f t="shared" si="56"/>
        <v>8.7832862550957708E-2</v>
      </c>
      <c r="I135" s="25">
        <f t="shared" si="57"/>
        <v>6.5746719773433396E-2</v>
      </c>
      <c r="J135" s="25">
        <f t="shared" si="58"/>
        <v>5.6553861784181675E-2</v>
      </c>
      <c r="K135" s="165">
        <f t="shared" si="59"/>
        <v>5.0352151445538521E-2</v>
      </c>
    </row>
    <row r="136" spans="2:11">
      <c r="B136" s="43" t="s">
        <v>12</v>
      </c>
      <c r="C136" s="25">
        <f t="shared" si="51"/>
        <v>0.4795005616436856</v>
      </c>
      <c r="D136" s="25">
        <f t="shared" si="52"/>
        <v>0.44947259584560934</v>
      </c>
      <c r="E136" s="25">
        <f t="shared" si="53"/>
        <v>0.40965942069067285</v>
      </c>
      <c r="F136" s="25">
        <f t="shared" si="54"/>
        <v>0.365654530697964</v>
      </c>
      <c r="G136" s="25">
        <f t="shared" si="55"/>
        <v>0.47388097493468756</v>
      </c>
      <c r="H136" s="25">
        <f t="shared" si="56"/>
        <v>0.39471985053637676</v>
      </c>
      <c r="I136" s="25">
        <f t="shared" si="57"/>
        <v>0.29232839039757985</v>
      </c>
      <c r="J136" s="25">
        <f t="shared" si="58"/>
        <v>0.33750279604696853</v>
      </c>
      <c r="K136" s="165">
        <f t="shared" si="59"/>
        <v>0.16750982765792991</v>
      </c>
    </row>
    <row r="137" spans="2:11">
      <c r="B137" s="43" t="s">
        <v>36</v>
      </c>
      <c r="C137" s="25">
        <f t="shared" si="51"/>
        <v>5.8555464957169963E-2</v>
      </c>
      <c r="D137" s="25">
        <f t="shared" si="52"/>
        <v>0.15383262808919754</v>
      </c>
      <c r="E137" s="25">
        <f t="shared" si="53"/>
        <v>0.13629729207104654</v>
      </c>
      <c r="F137" s="25">
        <f t="shared" si="54"/>
        <v>0.15557591140151439</v>
      </c>
      <c r="G137" s="25">
        <f t="shared" si="55"/>
        <v>0.15990866372799084</v>
      </c>
      <c r="H137" s="25">
        <f t="shared" si="56"/>
        <v>0.15708877678679253</v>
      </c>
      <c r="I137" s="25">
        <f t="shared" si="57"/>
        <v>0.17297002034057546</v>
      </c>
      <c r="J137" s="25">
        <f t="shared" si="58"/>
        <v>0.17470262286734317</v>
      </c>
      <c r="K137" s="165">
        <f t="shared" si="59"/>
        <v>0.16449923976802569</v>
      </c>
    </row>
    <row r="138" spans="2:11">
      <c r="B138" s="43" t="s">
        <v>37</v>
      </c>
      <c r="C138" s="25">
        <f t="shared" si="51"/>
        <v>0</v>
      </c>
      <c r="D138" s="25">
        <f t="shared" si="52"/>
        <v>0</v>
      </c>
      <c r="E138" s="25">
        <f t="shared" si="53"/>
        <v>1.2327229487654382E-2</v>
      </c>
      <c r="F138" s="25">
        <f t="shared" si="54"/>
        <v>4.3638531759080737E-2</v>
      </c>
      <c r="G138" s="25">
        <f t="shared" si="55"/>
        <v>1.2868186458797545E-2</v>
      </c>
      <c r="H138" s="25">
        <f t="shared" si="56"/>
        <v>7.2799329417023384E-2</v>
      </c>
      <c r="I138" s="25">
        <f t="shared" si="57"/>
        <v>8.6549696041768848E-2</v>
      </c>
      <c r="J138" s="25">
        <f t="shared" si="58"/>
        <v>0.17559169473944161</v>
      </c>
      <c r="K138" s="165">
        <f t="shared" si="59"/>
        <v>0.23248582009572091</v>
      </c>
    </row>
    <row r="139" spans="2:11">
      <c r="B139" s="43" t="s">
        <v>15</v>
      </c>
      <c r="C139" s="25">
        <f t="shared" si="51"/>
        <v>1.1895477493580144E-2</v>
      </c>
      <c r="D139" s="25">
        <f t="shared" si="52"/>
        <v>1.0499816312561389E-2</v>
      </c>
      <c r="E139" s="25">
        <f t="shared" si="53"/>
        <v>3.1175564095304562E-2</v>
      </c>
      <c r="F139" s="25">
        <f t="shared" si="54"/>
        <v>3.5274829776431003E-2</v>
      </c>
      <c r="G139" s="25">
        <f t="shared" si="55"/>
        <v>3.9959451586518535E-2</v>
      </c>
      <c r="H139" s="25">
        <f t="shared" si="56"/>
        <v>7.1390216507629722E-2</v>
      </c>
      <c r="I139" s="25">
        <f t="shared" si="57"/>
        <v>0.15493368952127737</v>
      </c>
      <c r="J139" s="25">
        <f t="shared" si="58"/>
        <v>0.11495326729551408</v>
      </c>
      <c r="K139" s="165">
        <f t="shared" si="59"/>
        <v>0.23248452373374703</v>
      </c>
    </row>
    <row r="140" spans="2:11">
      <c r="B140" s="43" t="s">
        <v>16</v>
      </c>
      <c r="C140" s="25">
        <f t="shared" si="51"/>
        <v>2.5483076648958328E-2</v>
      </c>
      <c r="D140" s="25">
        <f t="shared" si="52"/>
        <v>1.6464644391153541E-2</v>
      </c>
      <c r="E140" s="25">
        <f t="shared" si="53"/>
        <v>2.4724235745993594E-2</v>
      </c>
      <c r="F140" s="25">
        <f t="shared" si="54"/>
        <v>4.1592975582873823E-2</v>
      </c>
      <c r="G140" s="25">
        <f t="shared" si="55"/>
        <v>1.1163866652254582E-2</v>
      </c>
      <c r="H140" s="25">
        <f t="shared" si="56"/>
        <v>9.9723934171964939E-3</v>
      </c>
      <c r="I140" s="25">
        <f t="shared" si="57"/>
        <v>8.4609119897334582E-3</v>
      </c>
      <c r="J140" s="25">
        <f t="shared" si="58"/>
        <v>7.9182963608767191E-3</v>
      </c>
      <c r="K140" s="165">
        <f t="shared" si="59"/>
        <v>6.1570799535736178E-3</v>
      </c>
    </row>
    <row r="141" spans="2:11">
      <c r="B141" s="118" t="s">
        <v>17</v>
      </c>
      <c r="C141" s="25">
        <f t="shared" si="51"/>
        <v>0.13200383373969049</v>
      </c>
      <c r="D141" s="25">
        <f t="shared" si="52"/>
        <v>7.3904561370825475E-2</v>
      </c>
      <c r="E141" s="25">
        <f t="shared" si="53"/>
        <v>6.8187978556477138E-2</v>
      </c>
      <c r="F141" s="25">
        <f t="shared" si="54"/>
        <v>6.0835034365279497E-2</v>
      </c>
      <c r="G141" s="25">
        <f t="shared" si="55"/>
        <v>3.5310822163279861E-2</v>
      </c>
      <c r="H141" s="25">
        <f t="shared" si="56"/>
        <v>5.3141682870133565E-2</v>
      </c>
      <c r="I141" s="25">
        <f t="shared" si="57"/>
        <v>6.5785784492931806E-2</v>
      </c>
      <c r="J141" s="25">
        <f t="shared" si="58"/>
        <v>2.4413269176907972E-2</v>
      </c>
      <c r="K141" s="165">
        <f t="shared" si="59"/>
        <v>2.3626665453231391E-2</v>
      </c>
    </row>
    <row r="142" spans="2:11">
      <c r="B142" s="120" t="s">
        <v>18</v>
      </c>
      <c r="C142" s="11">
        <f t="shared" si="51"/>
        <v>7.0532347419429126E-2</v>
      </c>
      <c r="D142" s="11">
        <f t="shared" si="52"/>
        <v>8.4073352674382901E-2</v>
      </c>
      <c r="E142" s="11">
        <f t="shared" si="53"/>
        <v>0.1026009265611611</v>
      </c>
      <c r="F142" s="11">
        <f t="shared" si="54"/>
        <v>9.1123845549528348E-2</v>
      </c>
      <c r="G142" s="11">
        <f t="shared" si="55"/>
        <v>4.6265419714863448E-2</v>
      </c>
      <c r="H142" s="11">
        <f t="shared" si="56"/>
        <v>6.7148592304441743E-2</v>
      </c>
      <c r="I142" s="11">
        <f t="shared" si="57"/>
        <v>7.894263755558649E-2</v>
      </c>
      <c r="J142" s="11">
        <f t="shared" si="58"/>
        <v>6.0737500612324885E-2</v>
      </c>
      <c r="K142" s="166">
        <f t="shared" si="59"/>
        <v>7.9652263466622963E-2</v>
      </c>
    </row>
    <row r="143" spans="2:11">
      <c r="B143" s="42" t="s">
        <v>38</v>
      </c>
      <c r="C143" s="167">
        <f>SUM(C133:C142)</f>
        <v>1</v>
      </c>
      <c r="D143" s="167">
        <f t="shared" ref="D143:K143" si="60">SUM(D133:D142)</f>
        <v>0.99999999999999989</v>
      </c>
      <c r="E143" s="167">
        <f t="shared" si="60"/>
        <v>0.99999999999999978</v>
      </c>
      <c r="F143" s="167">
        <f t="shared" si="60"/>
        <v>1</v>
      </c>
      <c r="G143" s="167">
        <f t="shared" si="60"/>
        <v>1</v>
      </c>
      <c r="H143" s="167">
        <f t="shared" si="60"/>
        <v>0.99999999999999989</v>
      </c>
      <c r="I143" s="167">
        <f t="shared" si="60"/>
        <v>0.99999999999999978</v>
      </c>
      <c r="J143" s="167">
        <f t="shared" si="60"/>
        <v>0.99999999999999989</v>
      </c>
      <c r="K143" s="168">
        <f t="shared" si="60"/>
        <v>1.0000000000000002</v>
      </c>
    </row>
    <row r="144" spans="2:11">
      <c r="B144" s="162"/>
      <c r="C144" s="40"/>
      <c r="D144" s="40"/>
      <c r="E144" s="40"/>
      <c r="F144" s="40"/>
      <c r="G144" s="40"/>
      <c r="H144" s="40"/>
      <c r="I144" s="40"/>
      <c r="J144" s="40"/>
      <c r="K144" s="163"/>
    </row>
    <row r="145" spans="2:11">
      <c r="B145" s="118"/>
      <c r="C145" s="16"/>
      <c r="D145" s="16"/>
      <c r="E145" s="16"/>
      <c r="F145" s="16"/>
      <c r="G145" s="16"/>
      <c r="H145" s="16"/>
      <c r="I145" s="16"/>
      <c r="J145" s="16"/>
      <c r="K145" s="169"/>
    </row>
    <row r="146" spans="2:11">
      <c r="B146" s="118"/>
      <c r="C146" s="2" t="s">
        <v>1</v>
      </c>
      <c r="D146" s="2" t="s">
        <v>0</v>
      </c>
      <c r="E146" s="2" t="s">
        <v>2</v>
      </c>
      <c r="F146" s="2" t="s">
        <v>3</v>
      </c>
      <c r="G146" s="2" t="s">
        <v>4</v>
      </c>
      <c r="H146" s="2" t="s">
        <v>5</v>
      </c>
      <c r="I146" s="2" t="s">
        <v>6</v>
      </c>
      <c r="J146" s="2" t="s">
        <v>7</v>
      </c>
      <c r="K146" s="30" t="s">
        <v>8</v>
      </c>
    </row>
    <row r="147" spans="2:11">
      <c r="B147" s="118" t="s">
        <v>122</v>
      </c>
      <c r="C147" s="145">
        <v>993.3297104758044</v>
      </c>
      <c r="D147" s="145">
        <v>1303.5954716491235</v>
      </c>
      <c r="E147" s="145">
        <v>1437.9642350766621</v>
      </c>
      <c r="F147" s="145">
        <v>1395.7777462720094</v>
      </c>
      <c r="G147" s="145">
        <v>2934.0835047771975</v>
      </c>
      <c r="H147" s="145">
        <v>1886.594121928556</v>
      </c>
      <c r="I147" s="145">
        <v>1269.4395644746069</v>
      </c>
      <c r="J147" s="145">
        <v>2939.3580803820114</v>
      </c>
      <c r="K147" s="146">
        <v>4749.8453392981764</v>
      </c>
    </row>
    <row r="148" spans="2:11" ht="16.5" thickBot="1">
      <c r="B148" s="119"/>
      <c r="C148" s="147">
        <f t="shared" ref="C148:K148" si="61">C77/C147-1</f>
        <v>2.5819421189666958E-2</v>
      </c>
      <c r="D148" s="147">
        <f t="shared" si="61"/>
        <v>4.8304185614352679E-2</v>
      </c>
      <c r="E148" s="147">
        <f t="shared" si="61"/>
        <v>-3.3537215434691348E-3</v>
      </c>
      <c r="F148" s="147">
        <f t="shared" si="61"/>
        <v>5.0735907769594801E-2</v>
      </c>
      <c r="G148" s="147">
        <f t="shared" si="61"/>
        <v>-6.7891556341264092E-3</v>
      </c>
      <c r="H148" s="147">
        <f t="shared" si="61"/>
        <v>3.0268885127249456E-2</v>
      </c>
      <c r="I148" s="147">
        <f t="shared" si="61"/>
        <v>1.4839331589035387E-2</v>
      </c>
      <c r="J148" s="147">
        <f t="shared" si="61"/>
        <v>2.0420947958136315E-2</v>
      </c>
      <c r="K148" s="148">
        <f t="shared" si="61"/>
        <v>1.7261734125796346E-2</v>
      </c>
    </row>
    <row r="149" spans="2:11">
      <c r="B149" s="6"/>
      <c r="C149" s="1"/>
      <c r="D149" s="1"/>
      <c r="E149" s="1"/>
      <c r="F149" s="1"/>
      <c r="G149" s="1"/>
      <c r="H149" s="1"/>
      <c r="I149" s="1"/>
      <c r="J149" s="1"/>
      <c r="K149" s="1"/>
    </row>
    <row r="150" spans="2:11">
      <c r="B150" s="6"/>
      <c r="C150" s="1"/>
      <c r="D150" s="1"/>
      <c r="E150" s="1"/>
      <c r="F150" s="1"/>
      <c r="G150" s="1"/>
      <c r="H150" s="1"/>
      <c r="I150" s="1"/>
      <c r="J150" s="1"/>
      <c r="K150" s="1"/>
    </row>
    <row r="151" spans="2:11">
      <c r="B151" s="6"/>
      <c r="C151" s="1"/>
      <c r="D151" s="1"/>
      <c r="E151" s="1"/>
      <c r="F151" s="1"/>
      <c r="G151" s="1"/>
      <c r="H151" s="1"/>
      <c r="I151" s="1"/>
      <c r="J151" s="1"/>
      <c r="K151" s="1"/>
    </row>
    <row r="152" spans="2:11">
      <c r="B152" s="6"/>
      <c r="C152" s="1"/>
      <c r="D152" s="1"/>
      <c r="E152" s="1"/>
      <c r="F152" s="1"/>
      <c r="G152" s="1"/>
      <c r="H152" s="1"/>
      <c r="I152" s="1"/>
      <c r="J152" s="1"/>
      <c r="K152" s="1"/>
    </row>
    <row r="169" ht="17.25" customHeight="1"/>
  </sheetData>
  <mergeCells count="1">
    <mergeCell ref="B2:K2"/>
  </mergeCells>
  <phoneticPr fontId="20" type="noConversion"/>
  <conditionalFormatting sqref="C79:K80 C67:K76 C133:K142">
    <cfRule type="cellIs" dxfId="1" priority="11" stopIfTrue="1" operator="equal">
      <formula>0</formula>
    </cfRule>
  </conditionalFormatting>
  <conditionalFormatting sqref="C53:K62">
    <cfRule type="cellIs" dxfId="0" priority="12" stopIfTrue="1" operator="equal">
      <formula>"NA"</formula>
    </cfRule>
  </conditionalFormatting>
  <conditionalFormatting sqref="D133:D1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3:C14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3:E14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3:F14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3:G14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3:H1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3:I14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3:J14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3:K14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50" fitToHeight="4" orientation="landscape" r:id="rId1"/>
  <headerFooter alignWithMargins="0"/>
  <rowBreaks count="2" manualBreakCount="2">
    <brk id="50" min="1" max="10" man="1"/>
    <brk id="123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0"/>
  <sheetViews>
    <sheetView view="pageBreakPreview" zoomScale="70" zoomScaleNormal="100" zoomScaleSheetLayoutView="70" workbookViewId="0">
      <selection activeCell="E14" sqref="E14"/>
    </sheetView>
  </sheetViews>
  <sheetFormatPr defaultRowHeight="15.75"/>
  <cols>
    <col min="1" max="1" width="4.7109375" style="243" customWidth="1"/>
    <col min="2" max="2" width="35.42578125" style="243" bestFit="1" customWidth="1"/>
    <col min="3" max="3" width="18.140625" style="243" bestFit="1" customWidth="1"/>
    <col min="4" max="4" width="21.140625" style="243" customWidth="1"/>
    <col min="5" max="6" width="20" style="243" customWidth="1"/>
    <col min="7" max="7" width="16.5703125" style="243" bestFit="1" customWidth="1"/>
    <col min="8" max="8" width="20" style="243" customWidth="1"/>
    <col min="9" max="10" width="12.85546875" style="243" customWidth="1"/>
    <col min="11" max="11" width="12.85546875" style="249" hidden="1" customWidth="1"/>
    <col min="12" max="12" width="1.85546875" style="243" customWidth="1"/>
    <col min="13" max="13" width="26.5703125" style="243" customWidth="1"/>
    <col min="14" max="14" width="15" style="243" bestFit="1" customWidth="1"/>
    <col min="15" max="15" width="11.7109375" style="243" bestFit="1" customWidth="1"/>
    <col min="16" max="16" width="14" style="243" bestFit="1" customWidth="1"/>
    <col min="17" max="17" width="20.28515625" style="243" customWidth="1"/>
    <col min="18" max="18" width="19.85546875" style="243" bestFit="1" customWidth="1"/>
    <col min="19" max="19" width="24.42578125" style="243" bestFit="1" customWidth="1"/>
    <col min="20" max="20" width="27" style="243" bestFit="1" customWidth="1"/>
    <col min="21" max="21" width="2.5703125" style="243" customWidth="1"/>
    <col min="22" max="22" width="19.7109375" style="243" customWidth="1"/>
    <col min="23" max="23" width="15.7109375" style="243" bestFit="1" customWidth="1"/>
    <col min="24" max="24" width="5.140625" style="243" customWidth="1"/>
    <col min="25" max="25" width="15.85546875" style="243" customWidth="1"/>
    <col min="26" max="26" width="16.5703125" style="243" customWidth="1"/>
    <col min="27" max="16384" width="9.140625" style="243"/>
  </cols>
  <sheetData>
    <row r="1" spans="2:14" ht="28.5">
      <c r="B1" s="406" t="s">
        <v>182</v>
      </c>
      <c r="C1" s="406"/>
      <c r="D1" s="406"/>
      <c r="E1" s="406"/>
      <c r="F1" s="406"/>
      <c r="G1" s="406"/>
      <c r="H1" s="406"/>
      <c r="I1" s="406"/>
      <c r="J1" s="406"/>
      <c r="K1" s="407"/>
      <c r="L1" s="241"/>
      <c r="M1" s="242"/>
    </row>
    <row r="2" spans="2:14" ht="28.5">
      <c r="B2" s="406" t="s">
        <v>136</v>
      </c>
      <c r="C2" s="406"/>
      <c r="D2" s="406"/>
      <c r="E2" s="406"/>
      <c r="F2" s="406"/>
      <c r="G2" s="406"/>
      <c r="H2" s="406"/>
      <c r="I2" s="406"/>
      <c r="J2" s="406"/>
      <c r="K2" s="407"/>
      <c r="L2" s="241"/>
    </row>
    <row r="3" spans="2:14" ht="21">
      <c r="B3" s="242"/>
      <c r="C3" s="242"/>
      <c r="D3" s="242"/>
      <c r="E3" s="242"/>
      <c r="F3" s="242"/>
      <c r="G3" s="242"/>
      <c r="H3" s="242"/>
      <c r="I3" s="242"/>
      <c r="J3" s="242"/>
      <c r="K3" s="244"/>
      <c r="L3" s="241"/>
    </row>
    <row r="4" spans="2:14" ht="21.75" customHeight="1">
      <c r="B4" s="245"/>
      <c r="C4" s="246" t="s">
        <v>137</v>
      </c>
      <c r="D4" s="246" t="s">
        <v>138</v>
      </c>
      <c r="E4" s="246" t="s">
        <v>139</v>
      </c>
      <c r="F4" s="246" t="s">
        <v>140</v>
      </c>
      <c r="G4" s="246" t="s">
        <v>141</v>
      </c>
      <c r="H4" s="247" t="s">
        <v>142</v>
      </c>
      <c r="I4" s="247" t="s">
        <v>143</v>
      </c>
      <c r="J4" s="248" t="s">
        <v>144</v>
      </c>
      <c r="M4" s="252"/>
    </row>
    <row r="5" spans="2:14" ht="19.5" thickBot="1">
      <c r="B5" s="245"/>
      <c r="C5" s="253"/>
      <c r="D5" s="254"/>
      <c r="E5" s="254"/>
      <c r="F5" s="254"/>
      <c r="G5" s="254"/>
      <c r="H5" s="254"/>
      <c r="I5" s="254"/>
      <c r="J5" s="255"/>
      <c r="M5" s="256"/>
    </row>
    <row r="6" spans="2:14" ht="21" customHeight="1">
      <c r="E6" s="408" t="s">
        <v>145</v>
      </c>
      <c r="F6" s="409"/>
      <c r="J6" s="249"/>
      <c r="L6" s="257"/>
      <c r="M6" s="256"/>
    </row>
    <row r="7" spans="2:14" ht="19.5" customHeight="1">
      <c r="B7" s="258"/>
      <c r="C7" s="259" t="s">
        <v>113</v>
      </c>
      <c r="D7" s="260" t="s">
        <v>114</v>
      </c>
      <c r="E7" s="261" t="s">
        <v>146</v>
      </c>
      <c r="F7" s="262" t="s">
        <v>147</v>
      </c>
      <c r="G7" s="263" t="s">
        <v>114</v>
      </c>
      <c r="H7" s="260" t="s">
        <v>114</v>
      </c>
      <c r="I7" s="264" t="s">
        <v>148</v>
      </c>
      <c r="J7" s="264" t="s">
        <v>149</v>
      </c>
      <c r="K7" s="264" t="s">
        <v>150</v>
      </c>
      <c r="M7" s="256"/>
    </row>
    <row r="8" spans="2:14" ht="18.75" thickBot="1">
      <c r="B8" s="265" t="s">
        <v>151</v>
      </c>
      <c r="C8" s="266" t="s">
        <v>152</v>
      </c>
      <c r="D8" s="267" t="s">
        <v>153</v>
      </c>
      <c r="E8" s="268" t="s">
        <v>154</v>
      </c>
      <c r="F8" s="269" t="s">
        <v>155</v>
      </c>
      <c r="G8" s="270" t="s">
        <v>156</v>
      </c>
      <c r="H8" s="267" t="s">
        <v>157</v>
      </c>
      <c r="I8" s="271" t="s">
        <v>158</v>
      </c>
      <c r="J8" s="271" t="s">
        <v>159</v>
      </c>
      <c r="K8" s="271" t="s">
        <v>38</v>
      </c>
    </row>
    <row r="9" spans="2:14" ht="17.25" customHeight="1" thickBot="1">
      <c r="B9" s="272" t="s">
        <v>160</v>
      </c>
      <c r="C9" s="273"/>
      <c r="D9" s="274"/>
      <c r="E9" s="275"/>
      <c r="F9" s="276"/>
      <c r="G9" s="277"/>
      <c r="H9" s="274"/>
      <c r="I9" s="278"/>
      <c r="J9" s="278"/>
      <c r="K9" s="278"/>
      <c r="M9" s="250" t="s">
        <v>161</v>
      </c>
      <c r="N9" s="251">
        <v>25700000</v>
      </c>
    </row>
    <row r="10" spans="2:14">
      <c r="B10" s="279" t="s">
        <v>162</v>
      </c>
      <c r="C10" s="280">
        <v>34239800</v>
      </c>
      <c r="D10" s="281">
        <f>'Univ Formula'!D107</f>
        <v>58535000</v>
      </c>
      <c r="E10" s="282">
        <f t="shared" ref="E10:E15" si="0">ROUND(D10/$D$44*$C$44-C10,-2)</f>
        <v>936300</v>
      </c>
      <c r="F10" s="283">
        <f t="shared" ref="F10:F15" si="1">ROUND((D10/$D$44*$N$9), -2)</f>
        <v>1092700</v>
      </c>
      <c r="G10" s="284">
        <f t="shared" ref="G10:G15" si="2">ROUND((SUM(E10:F10)),-2)</f>
        <v>2029000</v>
      </c>
      <c r="H10" s="281">
        <f t="shared" ref="H10:H15" si="3">C10+G10</f>
        <v>36268800</v>
      </c>
      <c r="I10" s="278">
        <f t="shared" ref="I10:J16" si="4">G10/C10</f>
        <v>5.9258523706330057E-2</v>
      </c>
      <c r="J10" s="278">
        <f t="shared" si="4"/>
        <v>0.61960878107115402</v>
      </c>
      <c r="K10" s="278">
        <f t="shared" ref="K10:K16" si="5">H10/$H$44</f>
        <v>4.2518809949754162E-2</v>
      </c>
    </row>
    <row r="11" spans="2:14">
      <c r="B11" s="279" t="s">
        <v>163</v>
      </c>
      <c r="C11" s="285">
        <v>48048900</v>
      </c>
      <c r="D11" s="286">
        <f>'Univ Formula'!H107</f>
        <v>80537000</v>
      </c>
      <c r="E11" s="287">
        <f t="shared" si="0"/>
        <v>349100</v>
      </c>
      <c r="F11" s="288">
        <f t="shared" si="1"/>
        <v>1503500</v>
      </c>
      <c r="G11" s="289">
        <f t="shared" si="2"/>
        <v>1852600</v>
      </c>
      <c r="H11" s="286">
        <f t="shared" si="3"/>
        <v>49901500</v>
      </c>
      <c r="I11" s="278">
        <f t="shared" si="4"/>
        <v>3.8556553844104655E-2</v>
      </c>
      <c r="J11" s="278">
        <f t="shared" si="4"/>
        <v>0.61960962042291123</v>
      </c>
      <c r="K11" s="278">
        <f t="shared" si="5"/>
        <v>5.8500760838727982E-2</v>
      </c>
    </row>
    <row r="12" spans="2:14">
      <c r="B12" s="279" t="s">
        <v>164</v>
      </c>
      <c r="C12" s="285">
        <v>82830300</v>
      </c>
      <c r="D12" s="286">
        <f>'Univ Formula'!G107</f>
        <v>135694500</v>
      </c>
      <c r="E12" s="287">
        <f t="shared" si="0"/>
        <v>-1285900</v>
      </c>
      <c r="F12" s="288">
        <f t="shared" si="1"/>
        <v>2533200</v>
      </c>
      <c r="G12" s="289">
        <f t="shared" si="2"/>
        <v>1247300</v>
      </c>
      <c r="H12" s="286">
        <f t="shared" si="3"/>
        <v>84077600</v>
      </c>
      <c r="I12" s="278">
        <f t="shared" si="4"/>
        <v>1.5058499124112794E-2</v>
      </c>
      <c r="J12" s="278">
        <f t="shared" si="4"/>
        <v>0.61960949043623725</v>
      </c>
      <c r="K12" s="278">
        <f t="shared" si="5"/>
        <v>9.856624689627036E-2</v>
      </c>
    </row>
    <row r="13" spans="2:14">
      <c r="B13" s="279" t="s">
        <v>165</v>
      </c>
      <c r="C13" s="285">
        <v>32088900</v>
      </c>
      <c r="D13" s="286">
        <f>'Univ Formula'!I107</f>
        <v>51828300</v>
      </c>
      <c r="E13" s="287">
        <f t="shared" si="0"/>
        <v>-943100</v>
      </c>
      <c r="F13" s="288">
        <f t="shared" si="1"/>
        <v>967500</v>
      </c>
      <c r="G13" s="289">
        <f t="shared" si="2"/>
        <v>24400</v>
      </c>
      <c r="H13" s="286">
        <f t="shared" si="3"/>
        <v>32113300</v>
      </c>
      <c r="I13" s="278">
        <f t="shared" si="4"/>
        <v>7.6038754834226163E-4</v>
      </c>
      <c r="J13" s="278">
        <f t="shared" si="4"/>
        <v>0.61960936399611799</v>
      </c>
      <c r="K13" s="278">
        <f t="shared" si="5"/>
        <v>3.7647214673753759E-2</v>
      </c>
    </row>
    <row r="14" spans="2:14">
      <c r="B14" s="279" t="s">
        <v>166</v>
      </c>
      <c r="C14" s="285">
        <v>38394000</v>
      </c>
      <c r="D14" s="286">
        <f>'Univ Formula'!E107</f>
        <v>61974900</v>
      </c>
      <c r="E14" s="287">
        <f>ROUND(D14/$D$44*$C$44-C14,-2)+100</f>
        <v>-1150600</v>
      </c>
      <c r="F14" s="288">
        <f t="shared" si="1"/>
        <v>1157000</v>
      </c>
      <c r="G14" s="289">
        <f t="shared" si="2"/>
        <v>6400</v>
      </c>
      <c r="H14" s="286">
        <f t="shared" si="3"/>
        <v>38400400</v>
      </c>
      <c r="I14" s="278">
        <f t="shared" si="4"/>
        <v>1.6669271240297962E-4</v>
      </c>
      <c r="J14" s="278">
        <f t="shared" si="4"/>
        <v>0.6196121332991259</v>
      </c>
      <c r="K14" s="278">
        <f t="shared" si="5"/>
        <v>4.5017737272656934E-2</v>
      </c>
    </row>
    <row r="15" spans="2:14">
      <c r="B15" s="291" t="s">
        <v>167</v>
      </c>
      <c r="C15" s="292">
        <v>89331900</v>
      </c>
      <c r="D15" s="293">
        <f>'Univ Formula'!J107</f>
        <v>150177000</v>
      </c>
      <c r="E15" s="294">
        <f t="shared" si="0"/>
        <v>915700</v>
      </c>
      <c r="F15" s="295">
        <f t="shared" si="1"/>
        <v>2803500</v>
      </c>
      <c r="G15" s="289">
        <f t="shared" si="2"/>
        <v>3719200</v>
      </c>
      <c r="H15" s="293">
        <f t="shared" si="3"/>
        <v>93051100</v>
      </c>
      <c r="I15" s="296">
        <f t="shared" si="4"/>
        <v>4.1633503821143399E-2</v>
      </c>
      <c r="J15" s="296">
        <f t="shared" si="4"/>
        <v>0.61960952742430597</v>
      </c>
      <c r="K15" s="296">
        <f t="shared" si="5"/>
        <v>0.10908610255965374</v>
      </c>
    </row>
    <row r="16" spans="2:14">
      <c r="B16" s="297" t="s">
        <v>168</v>
      </c>
      <c r="C16" s="298">
        <f>SUM(C10:C15)</f>
        <v>324933800</v>
      </c>
      <c r="D16" s="299">
        <f t="shared" ref="D16" si="6">SUM(D10:D15)</f>
        <v>538746700</v>
      </c>
      <c r="E16" s="300">
        <f>SUM(E10:E15)</f>
        <v>-1178500</v>
      </c>
      <c r="F16" s="301">
        <f>SUM(F10:F15)</f>
        <v>10057400</v>
      </c>
      <c r="G16" s="302">
        <f>SUM(G10:G15)</f>
        <v>8878900</v>
      </c>
      <c r="H16" s="299">
        <f>SUM(H10:H15)</f>
        <v>333812700</v>
      </c>
      <c r="I16" s="303">
        <f>G16/C16</f>
        <v>2.7325258252604068E-2</v>
      </c>
      <c r="J16" s="303">
        <f t="shared" si="4"/>
        <v>0.61960973496450189</v>
      </c>
      <c r="K16" s="304">
        <f t="shared" si="5"/>
        <v>0.39133687219081692</v>
      </c>
      <c r="M16" s="306"/>
    </row>
    <row r="17" spans="2:25">
      <c r="B17" s="307"/>
      <c r="C17" s="308"/>
      <c r="D17" s="309"/>
      <c r="E17" s="310"/>
      <c r="F17" s="311"/>
      <c r="G17" s="312"/>
      <c r="H17" s="309"/>
      <c r="I17" s="313"/>
      <c r="J17" s="313"/>
      <c r="K17" s="313"/>
    </row>
    <row r="18" spans="2:25" ht="18">
      <c r="B18" s="272" t="s">
        <v>169</v>
      </c>
      <c r="C18" s="280"/>
      <c r="D18" s="284"/>
      <c r="E18" s="314"/>
      <c r="F18" s="315"/>
      <c r="G18" s="284"/>
      <c r="H18" s="316"/>
      <c r="I18" s="278"/>
      <c r="J18" s="278"/>
      <c r="K18" s="278"/>
      <c r="N18" s="317"/>
      <c r="O18" s="317"/>
      <c r="P18" s="317"/>
      <c r="R18" s="317"/>
      <c r="U18" s="317"/>
      <c r="V18" s="317"/>
    </row>
    <row r="19" spans="2:25">
      <c r="B19" s="279" t="s">
        <v>45</v>
      </c>
      <c r="C19" s="280">
        <v>26008100</v>
      </c>
      <c r="D19" s="318">
        <f>'CC Formula'!C123</f>
        <v>43489000</v>
      </c>
      <c r="E19" s="319">
        <f t="shared" ref="E19:E31" si="7">ROUND(D19/$D$44*$C$44-C19,-2)</f>
        <v>126200</v>
      </c>
      <c r="F19" s="320">
        <f t="shared" ref="F19:F28" si="8">ROUND((D19/$D$44*$N$9), -2)</f>
        <v>811900</v>
      </c>
      <c r="G19" s="321">
        <f t="shared" ref="G19:G31" si="9">ROUND((SUM(E19:F19)),-2)</f>
        <v>938100</v>
      </c>
      <c r="H19" s="318">
        <f t="shared" ref="H19:H31" si="10">C19+G19</f>
        <v>26946200</v>
      </c>
      <c r="I19" s="322">
        <f t="shared" ref="I19:J32" si="11">G19/C19</f>
        <v>3.6069532184204153E-2</v>
      </c>
      <c r="J19" s="322">
        <f t="shared" si="11"/>
        <v>0.61960955643955939</v>
      </c>
      <c r="K19" s="322">
        <f t="shared" ref="K19:K32" si="12">H19/$H$44</f>
        <v>3.1589695734848287E-2</v>
      </c>
      <c r="M19" s="323"/>
      <c r="N19" s="323"/>
      <c r="O19" s="323"/>
      <c r="P19" s="323"/>
      <c r="R19" s="324"/>
      <c r="S19" s="323"/>
      <c r="U19" s="323"/>
    </row>
    <row r="20" spans="2:25">
      <c r="B20" s="279" t="s">
        <v>46</v>
      </c>
      <c r="C20" s="285">
        <v>8843700</v>
      </c>
      <c r="D20" s="286">
        <f>'CC Formula'!D123</f>
        <v>14779000</v>
      </c>
      <c r="E20" s="287">
        <f t="shared" si="7"/>
        <v>37600</v>
      </c>
      <c r="F20" s="288">
        <f t="shared" si="8"/>
        <v>275900</v>
      </c>
      <c r="G20" s="289">
        <f t="shared" si="9"/>
        <v>313500</v>
      </c>
      <c r="H20" s="286">
        <f t="shared" si="10"/>
        <v>9157200</v>
      </c>
      <c r="I20" s="278">
        <f t="shared" si="11"/>
        <v>3.5448963669052543E-2</v>
      </c>
      <c r="J20" s="278">
        <f t="shared" si="11"/>
        <v>0.61960890452669326</v>
      </c>
      <c r="K20" s="278">
        <f t="shared" si="12"/>
        <v>1.0735211710116929E-2</v>
      </c>
      <c r="M20" s="256"/>
      <c r="N20" s="256"/>
      <c r="Q20" s="325"/>
      <c r="R20" s="325"/>
      <c r="S20" s="325"/>
      <c r="T20" s="325"/>
      <c r="V20" s="305"/>
      <c r="W20" s="325"/>
      <c r="Y20" s="325"/>
    </row>
    <row r="21" spans="2:25">
      <c r="B21" s="279" t="s">
        <v>47</v>
      </c>
      <c r="C21" s="285">
        <v>12349500</v>
      </c>
      <c r="D21" s="286">
        <f>'CC Formula'!E123</f>
        <v>20373700</v>
      </c>
      <c r="E21" s="287">
        <f t="shared" si="7"/>
        <v>-106100</v>
      </c>
      <c r="F21" s="288">
        <f t="shared" si="8"/>
        <v>380300</v>
      </c>
      <c r="G21" s="289">
        <f t="shared" si="9"/>
        <v>274200</v>
      </c>
      <c r="H21" s="286">
        <f t="shared" si="10"/>
        <v>12623700</v>
      </c>
      <c r="I21" s="278">
        <f t="shared" si="11"/>
        <v>2.2203328069962346E-2</v>
      </c>
      <c r="J21" s="278">
        <f t="shared" si="11"/>
        <v>0.61960763140715724</v>
      </c>
      <c r="K21" s="278">
        <f t="shared" si="12"/>
        <v>1.4799075270279459E-2</v>
      </c>
      <c r="M21" s="256"/>
      <c r="N21" s="256"/>
      <c r="Q21" s="325"/>
      <c r="R21" s="325"/>
      <c r="S21" s="325"/>
      <c r="T21" s="325"/>
      <c r="V21" s="305"/>
      <c r="W21" s="325"/>
      <c r="Y21" s="325"/>
    </row>
    <row r="22" spans="2:25">
      <c r="B22" s="279" t="s">
        <v>48</v>
      </c>
      <c r="C22" s="285">
        <v>7317900</v>
      </c>
      <c r="D22" s="286">
        <f>'CC Formula'!F123</f>
        <v>12378000</v>
      </c>
      <c r="E22" s="287">
        <f t="shared" si="7"/>
        <v>120600</v>
      </c>
      <c r="F22" s="288">
        <f t="shared" si="8"/>
        <v>231100</v>
      </c>
      <c r="G22" s="289">
        <f t="shared" si="9"/>
        <v>351700</v>
      </c>
      <c r="H22" s="286">
        <f t="shared" si="10"/>
        <v>7669600</v>
      </c>
      <c r="I22" s="278">
        <f t="shared" si="11"/>
        <v>4.8060235860014483E-2</v>
      </c>
      <c r="J22" s="278">
        <f t="shared" si="11"/>
        <v>0.61961544676038127</v>
      </c>
      <c r="K22" s="278">
        <f t="shared" si="12"/>
        <v>8.9912614917128375E-3</v>
      </c>
      <c r="M22" s="256"/>
      <c r="N22" s="256"/>
      <c r="Q22" s="325"/>
      <c r="R22" s="325"/>
      <c r="S22" s="325"/>
      <c r="T22" s="325"/>
      <c r="V22" s="305"/>
      <c r="W22" s="325"/>
      <c r="Y22" s="325"/>
    </row>
    <row r="23" spans="2:25">
      <c r="B23" s="279" t="s">
        <v>49</v>
      </c>
      <c r="C23" s="285">
        <v>11095700</v>
      </c>
      <c r="D23" s="286">
        <f>'CC Formula'!G123</f>
        <v>18052000</v>
      </c>
      <c r="E23" s="287">
        <f t="shared" si="7"/>
        <v>-247500</v>
      </c>
      <c r="F23" s="288">
        <f t="shared" si="8"/>
        <v>337000</v>
      </c>
      <c r="G23" s="289">
        <f t="shared" si="9"/>
        <v>89500</v>
      </c>
      <c r="H23" s="286">
        <f t="shared" si="10"/>
        <v>11185200</v>
      </c>
      <c r="I23" s="278">
        <f t="shared" si="11"/>
        <v>8.0661878024820433E-3</v>
      </c>
      <c r="J23" s="278">
        <f t="shared" si="11"/>
        <v>0.61961001551074668</v>
      </c>
      <c r="K23" s="278">
        <f t="shared" si="12"/>
        <v>1.3112686194469911E-2</v>
      </c>
      <c r="M23" s="256"/>
      <c r="N23" s="256"/>
      <c r="Q23" s="325"/>
      <c r="R23" s="325"/>
      <c r="S23" s="325"/>
      <c r="T23" s="325"/>
      <c r="V23" s="305"/>
      <c r="W23" s="325"/>
      <c r="Y23" s="325"/>
    </row>
    <row r="24" spans="2:25">
      <c r="B24" s="279" t="s">
        <v>50</v>
      </c>
      <c r="C24" s="285">
        <v>10656700</v>
      </c>
      <c r="D24" s="286">
        <f>'CC Formula'!H123</f>
        <v>17458000</v>
      </c>
      <c r="E24" s="287">
        <f t="shared" si="7"/>
        <v>-165500</v>
      </c>
      <c r="F24" s="288">
        <f t="shared" si="8"/>
        <v>325900</v>
      </c>
      <c r="G24" s="289">
        <f t="shared" si="9"/>
        <v>160400</v>
      </c>
      <c r="H24" s="286">
        <f t="shared" si="10"/>
        <v>10817100</v>
      </c>
      <c r="I24" s="278">
        <f t="shared" si="11"/>
        <v>1.5051563804930232E-2</v>
      </c>
      <c r="J24" s="278">
        <f t="shared" si="11"/>
        <v>0.61960705693664797</v>
      </c>
      <c r="K24" s="278">
        <f t="shared" si="12"/>
        <v>1.2681153473715307E-2</v>
      </c>
      <c r="M24" s="256"/>
      <c r="N24" s="256"/>
      <c r="Q24" s="325"/>
      <c r="R24" s="325"/>
      <c r="S24" s="325"/>
      <c r="T24" s="325"/>
      <c r="V24" s="305"/>
      <c r="W24" s="325"/>
      <c r="Y24" s="325"/>
    </row>
    <row r="25" spans="2:25" s="253" customFormat="1">
      <c r="B25" s="326" t="s">
        <v>51</v>
      </c>
      <c r="C25" s="327">
        <v>15861200</v>
      </c>
      <c r="D25" s="328">
        <f>'CC Formula'!I123</f>
        <v>26782000</v>
      </c>
      <c r="E25" s="329">
        <f t="shared" si="7"/>
        <v>233200</v>
      </c>
      <c r="F25" s="330">
        <f t="shared" si="8"/>
        <v>500000</v>
      </c>
      <c r="G25" s="331">
        <f t="shared" si="9"/>
        <v>733200</v>
      </c>
      <c r="H25" s="328">
        <f t="shared" si="10"/>
        <v>16594400</v>
      </c>
      <c r="I25" s="322">
        <f t="shared" si="11"/>
        <v>4.6226010642322145E-2</v>
      </c>
      <c r="J25" s="322">
        <f t="shared" si="11"/>
        <v>0.61961018594578443</v>
      </c>
      <c r="K25" s="322">
        <f t="shared" si="12"/>
        <v>1.945402494238024E-2</v>
      </c>
      <c r="M25" s="332"/>
      <c r="N25" s="332"/>
      <c r="P25" s="243"/>
      <c r="Q25" s="325"/>
      <c r="R25" s="325"/>
      <c r="S25" s="325"/>
      <c r="T25" s="325"/>
      <c r="V25" s="333"/>
      <c r="W25" s="325"/>
      <c r="Y25" s="325"/>
    </row>
    <row r="26" spans="2:25" s="253" customFormat="1">
      <c r="B26" s="326" t="s">
        <v>170</v>
      </c>
      <c r="C26" s="327">
        <v>13224100</v>
      </c>
      <c r="D26" s="328">
        <f>'CC Formula'!J123</f>
        <v>23036000</v>
      </c>
      <c r="E26" s="329">
        <f t="shared" si="7"/>
        <v>619200</v>
      </c>
      <c r="F26" s="330">
        <f t="shared" si="8"/>
        <v>430000</v>
      </c>
      <c r="G26" s="331">
        <f t="shared" si="9"/>
        <v>1049200</v>
      </c>
      <c r="H26" s="328">
        <f t="shared" si="10"/>
        <v>14273300</v>
      </c>
      <c r="I26" s="322">
        <f t="shared" si="11"/>
        <v>7.9339992891765798E-2</v>
      </c>
      <c r="J26" s="322">
        <f t="shared" si="11"/>
        <v>0.6196084389650981</v>
      </c>
      <c r="K26" s="322">
        <f t="shared" si="12"/>
        <v>1.6732942089504647E-2</v>
      </c>
      <c r="M26" s="332"/>
      <c r="N26" s="332"/>
      <c r="P26" s="243"/>
      <c r="Q26" s="325"/>
      <c r="R26" s="325"/>
      <c r="S26" s="325"/>
      <c r="T26" s="325"/>
      <c r="V26" s="333"/>
      <c r="W26" s="325"/>
      <c r="Y26" s="325"/>
    </row>
    <row r="27" spans="2:25" s="253" customFormat="1">
      <c r="B27" s="326" t="s">
        <v>53</v>
      </c>
      <c r="C27" s="327">
        <v>23429800</v>
      </c>
      <c r="D27" s="328">
        <f>'CC Formula'!K123</f>
        <v>40495000</v>
      </c>
      <c r="E27" s="329">
        <f t="shared" si="7"/>
        <v>905300</v>
      </c>
      <c r="F27" s="330">
        <f t="shared" si="8"/>
        <v>756000</v>
      </c>
      <c r="G27" s="331">
        <f t="shared" si="9"/>
        <v>1661300</v>
      </c>
      <c r="H27" s="328">
        <f t="shared" si="10"/>
        <v>25091100</v>
      </c>
      <c r="I27" s="322">
        <f t="shared" si="11"/>
        <v>7.0905428129988304E-2</v>
      </c>
      <c r="J27" s="322">
        <f t="shared" si="11"/>
        <v>0.61960982837387335</v>
      </c>
      <c r="K27" s="322">
        <f t="shared" si="12"/>
        <v>2.9414916190507453E-2</v>
      </c>
      <c r="M27" s="332"/>
      <c r="N27" s="332"/>
      <c r="P27" s="243"/>
      <c r="Q27" s="325"/>
      <c r="R27" s="325"/>
      <c r="S27" s="325"/>
      <c r="T27" s="325"/>
      <c r="V27" s="333"/>
      <c r="W27" s="325"/>
      <c r="Y27" s="325"/>
    </row>
    <row r="28" spans="2:25" s="253" customFormat="1">
      <c r="B28" s="326" t="s">
        <v>54</v>
      </c>
      <c r="C28" s="327">
        <v>17399500</v>
      </c>
      <c r="D28" s="328">
        <f>'CC Formula'!L123</f>
        <v>28592000</v>
      </c>
      <c r="E28" s="329">
        <f t="shared" si="7"/>
        <v>-217400</v>
      </c>
      <c r="F28" s="330">
        <f t="shared" si="8"/>
        <v>533800</v>
      </c>
      <c r="G28" s="331">
        <f t="shared" si="9"/>
        <v>316400</v>
      </c>
      <c r="H28" s="328">
        <f t="shared" si="10"/>
        <v>17715900</v>
      </c>
      <c r="I28" s="322">
        <f t="shared" si="11"/>
        <v>1.8184430587085836E-2</v>
      </c>
      <c r="J28" s="322">
        <f t="shared" si="11"/>
        <v>0.61961038052602124</v>
      </c>
      <c r="K28" s="322">
        <f t="shared" si="12"/>
        <v>2.0768787089422584E-2</v>
      </c>
      <c r="M28" s="332"/>
      <c r="N28" s="332"/>
      <c r="P28" s="243"/>
      <c r="Q28" s="325"/>
      <c r="R28" s="325"/>
      <c r="S28" s="325"/>
      <c r="T28" s="325"/>
      <c r="V28" s="333"/>
      <c r="W28" s="325"/>
      <c r="Y28" s="325"/>
    </row>
    <row r="29" spans="2:25" s="253" customFormat="1">
      <c r="B29" s="326" t="s">
        <v>55</v>
      </c>
      <c r="C29" s="327">
        <v>24677200</v>
      </c>
      <c r="D29" s="328">
        <f>'CC Formula'!M123</f>
        <v>40050000</v>
      </c>
      <c r="E29" s="329">
        <f t="shared" si="7"/>
        <v>-609500</v>
      </c>
      <c r="F29" s="330">
        <f>ROUND((D29/$D$44*$N$9), -2)</f>
        <v>747700</v>
      </c>
      <c r="G29" s="331">
        <f t="shared" si="9"/>
        <v>138200</v>
      </c>
      <c r="H29" s="328">
        <f t="shared" si="10"/>
        <v>24815400</v>
      </c>
      <c r="I29" s="322">
        <f t="shared" si="11"/>
        <v>5.6003112184526607E-3</v>
      </c>
      <c r="J29" s="322">
        <f t="shared" si="11"/>
        <v>0.61961048689138576</v>
      </c>
      <c r="K29" s="322">
        <f t="shared" si="12"/>
        <v>2.9091706271702662E-2</v>
      </c>
      <c r="M29" s="332"/>
      <c r="N29" s="334"/>
      <c r="P29" s="243"/>
      <c r="Q29" s="325"/>
      <c r="R29" s="325"/>
      <c r="S29" s="325"/>
      <c r="T29" s="325"/>
      <c r="V29" s="333"/>
      <c r="W29" s="325"/>
      <c r="Y29" s="325"/>
    </row>
    <row r="30" spans="2:25" s="253" customFormat="1">
      <c r="B30" s="326" t="s">
        <v>56</v>
      </c>
      <c r="C30" s="327">
        <v>16216000</v>
      </c>
      <c r="D30" s="328">
        <f>'CC Formula'!N123</f>
        <v>27122000</v>
      </c>
      <c r="E30" s="329">
        <f t="shared" si="7"/>
        <v>82700</v>
      </c>
      <c r="F30" s="330">
        <f>ROUND((D30/$D$44*$N$9), -2)</f>
        <v>506300</v>
      </c>
      <c r="G30" s="331">
        <f t="shared" si="9"/>
        <v>589000</v>
      </c>
      <c r="H30" s="328">
        <f t="shared" si="10"/>
        <v>16805000</v>
      </c>
      <c r="I30" s="322">
        <f t="shared" si="11"/>
        <v>3.6322150962012828E-2</v>
      </c>
      <c r="J30" s="322">
        <f t="shared" si="11"/>
        <v>0.6196076985473048</v>
      </c>
      <c r="K30" s="322">
        <f t="shared" si="12"/>
        <v>1.9700916523447666E-2</v>
      </c>
      <c r="M30" s="332"/>
      <c r="N30" s="332"/>
      <c r="P30" s="243"/>
      <c r="Q30" s="325"/>
      <c r="R30" s="325"/>
      <c r="S30" s="325"/>
      <c r="T30" s="325"/>
      <c r="U30" s="335"/>
      <c r="V30" s="336"/>
      <c r="W30" s="325"/>
      <c r="X30" s="335"/>
      <c r="Y30" s="325"/>
    </row>
    <row r="31" spans="2:25" s="253" customFormat="1">
      <c r="B31" s="337" t="s">
        <v>57</v>
      </c>
      <c r="C31" s="327">
        <v>20350200</v>
      </c>
      <c r="D31" s="338">
        <f>'CC Formula'!O123</f>
        <v>33280000</v>
      </c>
      <c r="E31" s="329">
        <f t="shared" si="7"/>
        <v>-350900</v>
      </c>
      <c r="F31" s="339">
        <f>ROUND((D31/$D$44*$N$9), -2)</f>
        <v>621300</v>
      </c>
      <c r="G31" s="331">
        <f t="shared" si="9"/>
        <v>270400</v>
      </c>
      <c r="H31" s="338">
        <f t="shared" si="10"/>
        <v>20620600</v>
      </c>
      <c r="I31" s="340">
        <f t="shared" si="11"/>
        <v>1.3287338699373962E-2</v>
      </c>
      <c r="J31" s="340">
        <f t="shared" si="11"/>
        <v>0.61960937500000002</v>
      </c>
      <c r="K31" s="340">
        <f t="shared" si="12"/>
        <v>2.4174038635132695E-2</v>
      </c>
      <c r="M31" s="332"/>
      <c r="N31" s="332"/>
      <c r="P31" s="243"/>
      <c r="Q31" s="325"/>
      <c r="R31" s="325"/>
      <c r="S31" s="325"/>
      <c r="T31" s="325"/>
      <c r="U31" s="335"/>
      <c r="V31" s="341"/>
      <c r="W31" s="325"/>
      <c r="X31" s="335"/>
      <c r="Y31" s="325"/>
    </row>
    <row r="32" spans="2:25" s="253" customFormat="1">
      <c r="B32" s="297" t="s">
        <v>171</v>
      </c>
      <c r="C32" s="298">
        <f t="shared" ref="C32:D32" si="13">SUM(C19:C31)</f>
        <v>207429600</v>
      </c>
      <c r="D32" s="299">
        <f t="shared" si="13"/>
        <v>345886700</v>
      </c>
      <c r="E32" s="300">
        <f>SUM(E19:E31)</f>
        <v>427900</v>
      </c>
      <c r="F32" s="301">
        <f>SUM(F19:F31)</f>
        <v>6457200</v>
      </c>
      <c r="G32" s="302">
        <f>SUM(G19:G31)</f>
        <v>6885100</v>
      </c>
      <c r="H32" s="299">
        <f>SUM(H19:H31)</f>
        <v>214314700</v>
      </c>
      <c r="I32" s="303">
        <f t="shared" si="11"/>
        <v>3.3192466263252687E-2</v>
      </c>
      <c r="J32" s="303">
        <f t="shared" si="11"/>
        <v>0.61960954266238044</v>
      </c>
      <c r="K32" s="342">
        <f t="shared" si="12"/>
        <v>0.25124641561724065</v>
      </c>
      <c r="M32" s="332"/>
      <c r="N32" s="332"/>
      <c r="P32" s="243"/>
      <c r="Q32" s="336"/>
      <c r="R32" s="336"/>
      <c r="S32" s="341"/>
      <c r="T32" s="336"/>
      <c r="U32" s="335"/>
      <c r="V32" s="336"/>
      <c r="W32" s="336"/>
      <c r="X32" s="335"/>
      <c r="Y32" s="336"/>
    </row>
    <row r="33" spans="2:25">
      <c r="B33" s="307"/>
      <c r="C33" s="343"/>
      <c r="D33" s="309"/>
      <c r="E33" s="310"/>
      <c r="F33" s="311"/>
      <c r="G33" s="312"/>
      <c r="H33" s="309"/>
      <c r="I33" s="313"/>
      <c r="J33" s="313"/>
      <c r="K33" s="313"/>
      <c r="M33" s="256"/>
      <c r="N33" s="256"/>
      <c r="Q33" s="344"/>
      <c r="R33" s="344"/>
      <c r="S33" s="344"/>
      <c r="T33" s="344"/>
      <c r="U33" s="344"/>
      <c r="V33" s="344"/>
      <c r="W33" s="344"/>
      <c r="X33" s="345"/>
      <c r="Y33" s="344"/>
    </row>
    <row r="34" spans="2:25" ht="18" customHeight="1">
      <c r="B34" s="272" t="s">
        <v>172</v>
      </c>
      <c r="C34" s="346"/>
      <c r="D34" s="279"/>
      <c r="E34" s="347"/>
      <c r="F34" s="315"/>
      <c r="G34" s="348"/>
      <c r="H34" s="279"/>
      <c r="I34" s="278"/>
      <c r="J34" s="278"/>
      <c r="K34" s="278"/>
      <c r="M34" s="256"/>
      <c r="N34" s="256"/>
      <c r="Q34" s="317"/>
      <c r="S34" s="349"/>
      <c r="V34" s="349"/>
      <c r="X34" s="317"/>
    </row>
    <row r="35" spans="2:25">
      <c r="B35" s="279" t="s">
        <v>173</v>
      </c>
      <c r="C35" s="280">
        <v>37501400</v>
      </c>
      <c r="D35" s="281">
        <f>'Univ Formula'!F107</f>
        <v>65724000</v>
      </c>
      <c r="E35" s="350">
        <f>ROUND(D35/$D$44*$C$44-C35,-2)</f>
        <v>1994900</v>
      </c>
      <c r="F35" s="283">
        <f>ROUND((D35/$D$44*$N$9), -2)-200</f>
        <v>1226700</v>
      </c>
      <c r="G35" s="284">
        <f>ROUND((SUM(E35:F35)),-2)</f>
        <v>3221600</v>
      </c>
      <c r="H35" s="281">
        <f>C35+G35</f>
        <v>40723000</v>
      </c>
      <c r="I35" s="278">
        <f t="shared" ref="I35:J38" si="14">G35/C35</f>
        <v>8.5906126171289607E-2</v>
      </c>
      <c r="J35" s="278">
        <f t="shared" si="14"/>
        <v>0.619606232122208</v>
      </c>
      <c r="K35" s="278">
        <f>H35/$H$44</f>
        <v>4.7740578612577168E-2</v>
      </c>
      <c r="M35" s="256"/>
      <c r="N35" s="256"/>
      <c r="Q35" s="351"/>
      <c r="V35" s="349"/>
    </row>
    <row r="36" spans="2:25" ht="18">
      <c r="B36" s="279" t="s">
        <v>174</v>
      </c>
      <c r="C36" s="285">
        <f>179044900-3000000</f>
        <v>176044900</v>
      </c>
      <c r="D36" s="286">
        <f>'Univ Formula'!K107</f>
        <v>292897000</v>
      </c>
      <c r="E36" s="287">
        <f>ROUND(D36/$D$44*$C$44-C36,-2)</f>
        <v>-31000</v>
      </c>
      <c r="F36" s="288">
        <f>ROUND((D36/$D$44*$N$9), -2)</f>
        <v>5467800</v>
      </c>
      <c r="G36" s="289">
        <f>ROUND((SUM(E36:F36)),-2)</f>
        <v>5436800</v>
      </c>
      <c r="H36" s="286">
        <f>C36+G36</f>
        <v>181481700</v>
      </c>
      <c r="I36" s="278">
        <f t="shared" si="14"/>
        <v>3.0883030408719595E-2</v>
      </c>
      <c r="J36" s="278">
        <f t="shared" si="14"/>
        <v>0.61960928244399904</v>
      </c>
      <c r="K36" s="278">
        <f>H36/$H$44</f>
        <v>0.21275547885946874</v>
      </c>
      <c r="M36" s="256"/>
      <c r="N36" s="256"/>
    </row>
    <row r="37" spans="2:25" ht="18">
      <c r="B37" s="337" t="s">
        <v>175</v>
      </c>
      <c r="C37" s="352">
        <f>26249700-200000</f>
        <v>26049700</v>
      </c>
      <c r="D37" s="338">
        <f>'Univ Formula'!C107</f>
        <v>43764000</v>
      </c>
      <c r="E37" s="287">
        <f>ROUND(D37/$D$44*$C$44-C37,-2)</f>
        <v>249900</v>
      </c>
      <c r="F37" s="339">
        <f>ROUND((D37/$D$44*$N$9), -2)</f>
        <v>817000</v>
      </c>
      <c r="G37" s="353">
        <f>ROUND((SUM(E37:F37)),-2)</f>
        <v>1066900</v>
      </c>
      <c r="H37" s="338">
        <f>C37+G37</f>
        <v>27116600</v>
      </c>
      <c r="I37" s="340">
        <f t="shared" si="14"/>
        <v>4.0956325792619493E-2</v>
      </c>
      <c r="J37" s="340">
        <f t="shared" si="14"/>
        <v>0.61960972488803578</v>
      </c>
      <c r="K37" s="340">
        <f>H37/$H$44</f>
        <v>3.1789459863119367E-2</v>
      </c>
      <c r="M37" s="256"/>
      <c r="N37" s="256"/>
    </row>
    <row r="38" spans="2:25">
      <c r="B38" s="297" t="s">
        <v>168</v>
      </c>
      <c r="C38" s="298">
        <f t="shared" ref="C38:E38" si="15">SUM(C35:C37)</f>
        <v>239596000</v>
      </c>
      <c r="D38" s="299">
        <f t="shared" si="15"/>
        <v>402385000</v>
      </c>
      <c r="E38" s="300">
        <f t="shared" si="15"/>
        <v>2213800</v>
      </c>
      <c r="F38" s="301">
        <f>SUM(F35:F37)</f>
        <v>7511500</v>
      </c>
      <c r="G38" s="302">
        <f>SUM(G35:G37)</f>
        <v>9725300</v>
      </c>
      <c r="H38" s="299">
        <f>SUM(H35:H37)</f>
        <v>249321300</v>
      </c>
      <c r="I38" s="303">
        <f t="shared" si="14"/>
        <v>4.0590410524382711E-2</v>
      </c>
      <c r="J38" s="303">
        <f t="shared" si="14"/>
        <v>0.61960883233718955</v>
      </c>
      <c r="K38" s="304">
        <f>H38/$H$44</f>
        <v>0.29228551733516528</v>
      </c>
      <c r="M38" s="256"/>
      <c r="N38" s="256"/>
    </row>
    <row r="39" spans="2:25">
      <c r="B39" s="307"/>
      <c r="C39" s="308"/>
      <c r="D39" s="309"/>
      <c r="E39" s="310"/>
      <c r="F39" s="311"/>
      <c r="G39" s="312"/>
      <c r="H39" s="309"/>
      <c r="I39" s="313"/>
      <c r="J39" s="313"/>
      <c r="K39" s="313"/>
      <c r="M39" s="256"/>
      <c r="N39" s="256"/>
    </row>
    <row r="40" spans="2:25">
      <c r="B40" s="354" t="s">
        <v>176</v>
      </c>
      <c r="C40" s="308">
        <f>C38+C32+C16</f>
        <v>771959400</v>
      </c>
      <c r="D40" s="309">
        <f>D38+D32+D16</f>
        <v>1287018400</v>
      </c>
      <c r="E40" s="310">
        <f>SUM(E16,E32,E38)</f>
        <v>1463200</v>
      </c>
      <c r="F40" s="311">
        <f>SUM(F16,F32,F38)</f>
        <v>24026100</v>
      </c>
      <c r="G40" s="312">
        <f>G16+G32+G38</f>
        <v>25489300</v>
      </c>
      <c r="H40" s="309">
        <f>H16+H32+H38</f>
        <v>797448700</v>
      </c>
      <c r="I40" s="313">
        <f>G40/C40</f>
        <v>3.3018964468856785E-2</v>
      </c>
      <c r="J40" s="313">
        <f>H40/D40</f>
        <v>0.61960940107771578</v>
      </c>
      <c r="K40" s="313">
        <f>H40/$H$44</f>
        <v>0.9348688051432229</v>
      </c>
      <c r="M40" s="256"/>
      <c r="N40" s="256"/>
    </row>
    <row r="41" spans="2:25">
      <c r="B41" s="279"/>
      <c r="C41" s="346"/>
      <c r="D41" s="279"/>
      <c r="E41" s="347"/>
      <c r="F41" s="315"/>
      <c r="G41" s="348"/>
      <c r="H41" s="279"/>
      <c r="I41" s="278"/>
      <c r="J41" s="278"/>
      <c r="K41" s="278"/>
      <c r="M41" s="256"/>
      <c r="N41" s="256"/>
    </row>
    <row r="42" spans="2:25">
      <c r="B42" s="355" t="s">
        <v>177</v>
      </c>
      <c r="C42" s="308">
        <v>55346600</v>
      </c>
      <c r="D42" s="309">
        <v>89665000</v>
      </c>
      <c r="E42" s="310">
        <f>ROUND(D42/$D$44*$C$44-C42,-2)</f>
        <v>-1463200</v>
      </c>
      <c r="F42" s="311">
        <f>ROUND((D42/$D$44*$N$9), -2)</f>
        <v>1673900</v>
      </c>
      <c r="G42" s="312">
        <f>ROUND((SUM(E42:F42)),-2)</f>
        <v>210700</v>
      </c>
      <c r="H42" s="309">
        <f>C42+G42</f>
        <v>55557300</v>
      </c>
      <c r="I42" s="313">
        <f>G42/C42</f>
        <v>3.8069185821712624E-3</v>
      </c>
      <c r="J42" s="313">
        <f>H42/D42</f>
        <v>0.61960965817208502</v>
      </c>
      <c r="K42" s="313">
        <f>H42/$H$44</f>
        <v>6.5131194856777097E-2</v>
      </c>
      <c r="M42" s="256"/>
      <c r="N42" s="256"/>
    </row>
    <row r="43" spans="2:25">
      <c r="B43" s="279"/>
      <c r="C43" s="346"/>
      <c r="D43" s="279"/>
      <c r="E43" s="347"/>
      <c r="F43" s="315"/>
      <c r="G43" s="348"/>
      <c r="H43" s="279"/>
      <c r="I43" s="278"/>
      <c r="J43" s="278"/>
      <c r="K43" s="278"/>
      <c r="M43" s="256"/>
      <c r="N43" s="256"/>
    </row>
    <row r="44" spans="2:25" ht="19.5" thickBot="1">
      <c r="B44" s="356" t="s">
        <v>178</v>
      </c>
      <c r="C44" s="357">
        <f t="shared" ref="C44:H44" si="16">C42+C40</f>
        <v>827306000</v>
      </c>
      <c r="D44" s="358">
        <f t="shared" si="16"/>
        <v>1376683400</v>
      </c>
      <c r="E44" s="359">
        <f t="shared" si="16"/>
        <v>0</v>
      </c>
      <c r="F44" s="360">
        <f t="shared" si="16"/>
        <v>25700000</v>
      </c>
      <c r="G44" s="361">
        <f t="shared" si="16"/>
        <v>25700000</v>
      </c>
      <c r="H44" s="358">
        <f t="shared" si="16"/>
        <v>853006000</v>
      </c>
      <c r="I44" s="362">
        <f>G44/C44</f>
        <v>3.10646846511448E-2</v>
      </c>
      <c r="J44" s="362">
        <f>H44/D44</f>
        <v>0.61960941782257273</v>
      </c>
      <c r="K44" s="363">
        <f>H44/$H$44</f>
        <v>1</v>
      </c>
      <c r="M44" s="252"/>
      <c r="N44" s="364"/>
    </row>
    <row r="45" spans="2:25" ht="6" customHeight="1">
      <c r="B45" s="365"/>
      <c r="C45" s="366"/>
      <c r="D45" s="366"/>
      <c r="E45" s="367"/>
      <c r="F45" s="367"/>
      <c r="G45" s="366"/>
      <c r="H45" s="366"/>
      <c r="I45" s="368"/>
      <c r="J45" s="368"/>
      <c r="K45" s="368"/>
      <c r="L45" s="366"/>
    </row>
    <row r="46" spans="2:25">
      <c r="B46" s="369" t="s">
        <v>179</v>
      </c>
      <c r="C46" s="370"/>
      <c r="D46" s="370"/>
      <c r="E46" s="370"/>
      <c r="F46" s="370"/>
      <c r="G46" s="370"/>
      <c r="H46" s="370"/>
      <c r="I46" s="370"/>
      <c r="J46" s="370"/>
      <c r="K46" s="371"/>
      <c r="L46" s="256"/>
      <c r="M46" s="290"/>
    </row>
    <row r="47" spans="2:25" ht="16.5" customHeight="1">
      <c r="B47" s="410" t="s">
        <v>180</v>
      </c>
      <c r="C47" s="411"/>
      <c r="D47" s="411"/>
      <c r="E47" s="411"/>
      <c r="F47" s="411"/>
      <c r="G47" s="411"/>
      <c r="H47" s="411"/>
      <c r="I47" s="411"/>
      <c r="J47" s="411"/>
      <c r="K47" s="411"/>
      <c r="L47" s="241"/>
    </row>
    <row r="48" spans="2:25" ht="16.5" customHeight="1">
      <c r="B48" s="410" t="s">
        <v>181</v>
      </c>
      <c r="C48" s="411"/>
      <c r="D48" s="411"/>
      <c r="E48" s="411"/>
      <c r="F48" s="411"/>
      <c r="G48" s="411"/>
      <c r="H48" s="411"/>
      <c r="I48" s="411"/>
      <c r="J48" s="411"/>
      <c r="K48" s="411"/>
    </row>
    <row r="49" spans="2:14">
      <c r="C49" s="241"/>
      <c r="D49" s="372"/>
      <c r="E49" s="241"/>
      <c r="F49" s="241"/>
      <c r="G49" s="241"/>
      <c r="H49" s="241"/>
      <c r="I49" s="241"/>
      <c r="J49" s="241"/>
      <c r="K49" s="244"/>
      <c r="L49" s="373"/>
      <c r="M49" s="373"/>
      <c r="N49" s="256"/>
    </row>
    <row r="50" spans="2:14">
      <c r="C50" s="256"/>
      <c r="D50" s="256"/>
      <c r="E50" s="256"/>
      <c r="F50" s="256"/>
      <c r="G50" s="256"/>
      <c r="H50" s="256"/>
      <c r="I50" s="252"/>
      <c r="J50" s="252"/>
      <c r="K50" s="374"/>
      <c r="L50" s="256"/>
      <c r="M50" s="256"/>
      <c r="N50" s="256"/>
    </row>
    <row r="51" spans="2:14">
      <c r="B51" s="375"/>
      <c r="C51" s="376"/>
      <c r="D51" s="256"/>
      <c r="E51" s="256"/>
      <c r="F51" s="256"/>
      <c r="G51" s="256"/>
      <c r="H51" s="256"/>
      <c r="I51" s="256"/>
      <c r="J51" s="256"/>
      <c r="K51" s="374"/>
      <c r="L51" s="256"/>
      <c r="M51" s="256"/>
      <c r="N51" s="256"/>
    </row>
    <row r="52" spans="2:14">
      <c r="B52" s="377"/>
      <c r="C52" s="377"/>
      <c r="D52" s="252"/>
      <c r="E52" s="256"/>
      <c r="F52" s="256"/>
      <c r="G52" s="256"/>
      <c r="H52" s="256"/>
      <c r="I52" s="256"/>
      <c r="J52" s="256"/>
      <c r="K52" s="374"/>
      <c r="L52" s="256"/>
      <c r="M52" s="256"/>
      <c r="N52" s="256"/>
    </row>
    <row r="53" spans="2:14">
      <c r="B53" s="377"/>
      <c r="C53" s="377"/>
      <c r="D53" s="256"/>
      <c r="E53" s="256"/>
      <c r="F53" s="256"/>
      <c r="G53" s="256"/>
      <c r="H53" s="256"/>
      <c r="I53" s="256"/>
      <c r="J53" s="256"/>
      <c r="K53" s="374"/>
      <c r="L53" s="256"/>
      <c r="M53" s="256"/>
      <c r="N53" s="256"/>
    </row>
    <row r="54" spans="2:14">
      <c r="B54" s="377"/>
      <c r="C54" s="377"/>
      <c r="D54" s="256"/>
      <c r="E54" s="256"/>
      <c r="F54" s="256"/>
      <c r="G54" s="256"/>
      <c r="H54" s="256"/>
      <c r="I54" s="256"/>
      <c r="J54" s="256"/>
      <c r="K54" s="374"/>
      <c r="L54" s="256"/>
      <c r="M54" s="256"/>
      <c r="N54" s="256"/>
    </row>
    <row r="55" spans="2:14">
      <c r="B55" s="256"/>
      <c r="C55" s="256"/>
      <c r="D55" s="256"/>
      <c r="E55" s="256"/>
      <c r="F55" s="256"/>
      <c r="G55" s="256"/>
      <c r="H55" s="256"/>
      <c r="I55" s="256"/>
      <c r="J55" s="256"/>
      <c r="K55" s="374"/>
      <c r="L55" s="256"/>
      <c r="M55" s="256"/>
      <c r="N55" s="256"/>
    </row>
    <row r="56" spans="2:14">
      <c r="B56" s="256"/>
      <c r="C56" s="256"/>
      <c r="D56" s="256"/>
      <c r="K56" s="243"/>
    </row>
    <row r="57" spans="2:14">
      <c r="B57" s="256"/>
      <c r="C57" s="256"/>
      <c r="D57" s="256"/>
      <c r="E57" s="256"/>
      <c r="F57" s="256"/>
      <c r="G57" s="256"/>
      <c r="H57" s="256"/>
      <c r="I57" s="256"/>
      <c r="J57" s="256"/>
      <c r="K57" s="374"/>
      <c r="L57" s="256"/>
      <c r="M57" s="256"/>
      <c r="N57" s="256"/>
    </row>
    <row r="58" spans="2:14">
      <c r="B58" s="256"/>
      <c r="C58" s="256"/>
      <c r="D58" s="256"/>
      <c r="E58" s="256"/>
      <c r="F58" s="256"/>
      <c r="G58" s="256"/>
      <c r="H58" s="256"/>
      <c r="I58" s="256"/>
      <c r="J58" s="256"/>
      <c r="K58" s="374"/>
      <c r="L58" s="256"/>
      <c r="M58" s="256"/>
      <c r="N58" s="256"/>
    </row>
    <row r="59" spans="2:14">
      <c r="B59" s="256"/>
      <c r="C59" s="256"/>
      <c r="D59" s="256"/>
      <c r="E59" s="256"/>
      <c r="F59" s="256"/>
      <c r="G59" s="256"/>
      <c r="H59" s="256"/>
      <c r="I59" s="256"/>
      <c r="J59" s="256"/>
      <c r="K59" s="374"/>
      <c r="L59" s="256"/>
      <c r="M59" s="256"/>
      <c r="N59" s="256"/>
    </row>
    <row r="60" spans="2:14">
      <c r="B60" s="256"/>
      <c r="C60" s="256"/>
      <c r="D60" s="256"/>
      <c r="E60" s="256"/>
      <c r="F60" s="256"/>
      <c r="G60" s="256"/>
      <c r="H60" s="256"/>
      <c r="I60" s="256"/>
      <c r="J60" s="256"/>
      <c r="K60" s="374"/>
      <c r="L60" s="256"/>
      <c r="M60" s="256"/>
      <c r="N60" s="256"/>
    </row>
    <row r="61" spans="2:14">
      <c r="B61" s="256"/>
      <c r="C61" s="256"/>
      <c r="D61" s="256"/>
      <c r="E61" s="256"/>
      <c r="F61" s="256"/>
      <c r="G61" s="256"/>
      <c r="H61" s="256"/>
      <c r="I61" s="256"/>
      <c r="J61" s="256"/>
      <c r="K61" s="374"/>
      <c r="L61" s="256"/>
      <c r="M61" s="256"/>
      <c r="N61" s="256"/>
    </row>
    <row r="62" spans="2:14">
      <c r="B62" s="256"/>
      <c r="C62" s="256"/>
      <c r="D62" s="256"/>
      <c r="E62" s="256"/>
      <c r="F62" s="256"/>
      <c r="G62" s="256"/>
      <c r="H62" s="256"/>
      <c r="I62" s="256"/>
      <c r="J62" s="256"/>
      <c r="K62" s="374"/>
      <c r="L62" s="256"/>
      <c r="M62" s="256"/>
      <c r="N62" s="256"/>
    </row>
    <row r="63" spans="2:14">
      <c r="B63" s="256"/>
      <c r="C63" s="256"/>
      <c r="D63" s="256"/>
      <c r="E63" s="256"/>
      <c r="F63" s="256"/>
      <c r="G63" s="256"/>
      <c r="H63" s="256"/>
      <c r="I63" s="256"/>
      <c r="J63" s="256"/>
      <c r="K63" s="374"/>
      <c r="L63" s="256"/>
      <c r="M63" s="256"/>
      <c r="N63" s="256"/>
    </row>
    <row r="64" spans="2:14">
      <c r="B64" s="256"/>
      <c r="C64" s="256"/>
      <c r="D64" s="256"/>
      <c r="E64" s="256"/>
      <c r="F64" s="256"/>
      <c r="G64" s="256"/>
      <c r="H64" s="256"/>
      <c r="I64" s="256"/>
      <c r="J64" s="256"/>
      <c r="K64" s="374"/>
      <c r="L64" s="256"/>
      <c r="M64" s="256"/>
      <c r="N64" s="256"/>
    </row>
    <row r="65" spans="2:14">
      <c r="B65" s="256"/>
      <c r="C65" s="256"/>
      <c r="D65" s="256"/>
      <c r="E65" s="256"/>
      <c r="F65" s="256"/>
      <c r="G65" s="256"/>
      <c r="H65" s="256"/>
      <c r="I65" s="256"/>
      <c r="J65" s="256"/>
      <c r="K65" s="374"/>
      <c r="L65" s="256"/>
      <c r="M65" s="256"/>
      <c r="N65" s="256"/>
    </row>
    <row r="66" spans="2:14">
      <c r="B66" s="256"/>
      <c r="C66" s="256"/>
      <c r="D66" s="256"/>
      <c r="E66" s="256"/>
      <c r="F66" s="256"/>
      <c r="G66" s="256"/>
      <c r="H66" s="256"/>
      <c r="I66" s="256"/>
      <c r="J66" s="256"/>
      <c r="K66" s="374"/>
      <c r="L66" s="256"/>
      <c r="M66" s="256"/>
      <c r="N66" s="256"/>
    </row>
    <row r="67" spans="2:14">
      <c r="B67" s="256"/>
      <c r="C67" s="256"/>
      <c r="D67" s="256"/>
      <c r="E67" s="256"/>
      <c r="F67" s="256"/>
      <c r="G67" s="256"/>
      <c r="H67" s="256"/>
      <c r="I67" s="256"/>
      <c r="J67" s="256"/>
      <c r="K67" s="374"/>
      <c r="L67" s="256"/>
      <c r="M67" s="256"/>
      <c r="N67" s="256"/>
    </row>
    <row r="68" spans="2:14">
      <c r="B68" s="256"/>
      <c r="C68" s="256"/>
      <c r="D68" s="256"/>
      <c r="E68" s="256"/>
      <c r="F68" s="256"/>
      <c r="G68" s="256"/>
      <c r="H68" s="256"/>
      <c r="I68" s="256"/>
      <c r="J68" s="256"/>
      <c r="K68" s="374"/>
      <c r="L68" s="256"/>
      <c r="M68" s="256"/>
      <c r="N68" s="256"/>
    </row>
    <row r="69" spans="2:14">
      <c r="B69" s="256"/>
      <c r="C69" s="256"/>
      <c r="D69" s="256"/>
      <c r="E69" s="256"/>
      <c r="F69" s="256"/>
      <c r="G69" s="256"/>
      <c r="H69" s="256"/>
      <c r="I69" s="256"/>
      <c r="J69" s="256"/>
      <c r="K69" s="374"/>
      <c r="L69" s="256"/>
      <c r="M69" s="256"/>
      <c r="N69" s="256"/>
    </row>
    <row r="70" spans="2:14">
      <c r="B70" s="256"/>
      <c r="C70" s="256"/>
      <c r="D70" s="256"/>
      <c r="E70" s="256"/>
      <c r="F70" s="256"/>
      <c r="G70" s="256"/>
      <c r="H70" s="256"/>
      <c r="I70" s="256"/>
      <c r="J70" s="256"/>
      <c r="K70" s="374"/>
      <c r="L70" s="256"/>
      <c r="M70" s="256"/>
      <c r="N70" s="256"/>
    </row>
    <row r="71" spans="2:14">
      <c r="B71" s="256"/>
      <c r="C71" s="256"/>
      <c r="D71" s="256"/>
      <c r="E71" s="256"/>
      <c r="F71" s="256"/>
      <c r="G71" s="256"/>
      <c r="H71" s="256"/>
      <c r="I71" s="256"/>
      <c r="J71" s="256"/>
      <c r="K71" s="374"/>
      <c r="L71" s="256"/>
      <c r="M71" s="256"/>
      <c r="N71" s="256"/>
    </row>
    <row r="72" spans="2:14">
      <c r="B72" s="256"/>
      <c r="C72" s="256"/>
      <c r="D72" s="256"/>
      <c r="E72" s="256"/>
      <c r="F72" s="256"/>
      <c r="G72" s="256"/>
      <c r="H72" s="256"/>
      <c r="I72" s="256"/>
      <c r="J72" s="256"/>
      <c r="K72" s="374"/>
      <c r="L72" s="256"/>
      <c r="M72" s="256"/>
      <c r="N72" s="256"/>
    </row>
    <row r="73" spans="2:14">
      <c r="B73" s="256"/>
      <c r="C73" s="256"/>
      <c r="D73" s="256"/>
      <c r="E73" s="256"/>
      <c r="F73" s="256"/>
      <c r="G73" s="256"/>
      <c r="H73" s="256"/>
      <c r="I73" s="256"/>
      <c r="J73" s="256"/>
      <c r="K73" s="374"/>
      <c r="L73" s="256"/>
      <c r="M73" s="256"/>
      <c r="N73" s="256"/>
    </row>
    <row r="74" spans="2:14">
      <c r="B74" s="256"/>
      <c r="C74" s="256"/>
      <c r="D74" s="256"/>
      <c r="E74" s="256"/>
      <c r="F74" s="256"/>
      <c r="G74" s="256"/>
      <c r="H74" s="256"/>
      <c r="I74" s="256"/>
      <c r="J74" s="256"/>
      <c r="K74" s="374"/>
      <c r="L74" s="256"/>
      <c r="M74" s="256"/>
      <c r="N74" s="256"/>
    </row>
    <row r="75" spans="2:14">
      <c r="B75" s="256"/>
      <c r="C75" s="256"/>
      <c r="D75" s="256"/>
      <c r="E75" s="256"/>
      <c r="F75" s="256"/>
      <c r="G75" s="256"/>
      <c r="H75" s="256"/>
      <c r="I75" s="256"/>
      <c r="J75" s="256"/>
      <c r="K75" s="374"/>
      <c r="L75" s="256"/>
      <c r="M75" s="256"/>
      <c r="N75" s="256"/>
    </row>
    <row r="76" spans="2:14">
      <c r="B76" s="256"/>
      <c r="C76" s="256"/>
      <c r="D76" s="256"/>
      <c r="E76" s="256"/>
      <c r="F76" s="256"/>
      <c r="G76" s="256"/>
      <c r="H76" s="256"/>
      <c r="I76" s="256"/>
      <c r="J76" s="256"/>
      <c r="K76" s="374"/>
      <c r="L76" s="256"/>
      <c r="M76" s="256"/>
      <c r="N76" s="256"/>
    </row>
    <row r="77" spans="2:14">
      <c r="B77" s="256"/>
      <c r="C77" s="256"/>
      <c r="D77" s="256"/>
      <c r="E77" s="256"/>
      <c r="F77" s="256"/>
      <c r="G77" s="256"/>
      <c r="H77" s="256"/>
      <c r="I77" s="256"/>
      <c r="J77" s="256"/>
      <c r="K77" s="374"/>
      <c r="L77" s="256"/>
      <c r="M77" s="256"/>
      <c r="N77" s="256"/>
    </row>
    <row r="78" spans="2:14">
      <c r="B78" s="256"/>
      <c r="C78" s="256"/>
      <c r="D78" s="256"/>
      <c r="E78" s="256"/>
      <c r="F78" s="256"/>
      <c r="G78" s="256"/>
      <c r="H78" s="256"/>
      <c r="I78" s="256"/>
      <c r="J78" s="256"/>
      <c r="K78" s="374"/>
      <c r="L78" s="256"/>
      <c r="M78" s="256"/>
      <c r="N78" s="256"/>
    </row>
    <row r="79" spans="2:14">
      <c r="B79" s="256"/>
      <c r="C79" s="256"/>
      <c r="D79" s="256"/>
      <c r="E79" s="256"/>
      <c r="F79" s="256"/>
      <c r="G79" s="256"/>
      <c r="H79" s="256"/>
      <c r="I79" s="256"/>
      <c r="J79" s="256"/>
      <c r="K79" s="374"/>
      <c r="L79" s="256"/>
      <c r="M79" s="256"/>
      <c r="N79" s="256"/>
    </row>
    <row r="80" spans="2:14">
      <c r="B80" s="256"/>
      <c r="C80" s="256"/>
      <c r="D80" s="256"/>
      <c r="E80" s="256"/>
      <c r="F80" s="256"/>
      <c r="G80" s="256"/>
      <c r="H80" s="256"/>
      <c r="I80" s="256"/>
      <c r="J80" s="256"/>
      <c r="K80" s="374"/>
      <c r="L80" s="256"/>
      <c r="M80" s="256"/>
      <c r="N80" s="256"/>
    </row>
    <row r="81" spans="2:14">
      <c r="B81" s="256"/>
      <c r="C81" s="256"/>
      <c r="D81" s="256"/>
      <c r="E81" s="256"/>
      <c r="F81" s="256"/>
      <c r="G81" s="256"/>
      <c r="H81" s="256"/>
      <c r="I81" s="256"/>
      <c r="J81" s="256"/>
      <c r="K81" s="374"/>
      <c r="L81" s="256"/>
      <c r="M81" s="256"/>
      <c r="N81" s="256"/>
    </row>
    <row r="82" spans="2:14">
      <c r="B82" s="256"/>
      <c r="C82" s="256"/>
      <c r="D82" s="256"/>
      <c r="E82" s="256"/>
      <c r="F82" s="256"/>
      <c r="G82" s="256"/>
      <c r="H82" s="256"/>
      <c r="I82" s="256"/>
      <c r="J82" s="256"/>
      <c r="K82" s="374"/>
      <c r="L82" s="256"/>
      <c r="M82" s="256"/>
      <c r="N82" s="256"/>
    </row>
    <row r="83" spans="2:14">
      <c r="B83" s="256"/>
      <c r="C83" s="256"/>
      <c r="D83" s="256"/>
      <c r="E83" s="256"/>
      <c r="F83" s="256"/>
      <c r="G83" s="256"/>
      <c r="H83" s="256"/>
      <c r="I83" s="256"/>
      <c r="J83" s="256"/>
      <c r="K83" s="374"/>
      <c r="L83" s="256"/>
      <c r="M83" s="256"/>
      <c r="N83" s="256"/>
    </row>
    <row r="84" spans="2:14">
      <c r="B84" s="256"/>
      <c r="C84" s="256"/>
      <c r="D84" s="256"/>
      <c r="E84" s="256"/>
      <c r="F84" s="256"/>
      <c r="G84" s="256"/>
      <c r="H84" s="256"/>
      <c r="I84" s="256"/>
      <c r="J84" s="256"/>
      <c r="K84" s="374"/>
      <c r="L84" s="256"/>
      <c r="M84" s="256"/>
      <c r="N84" s="256"/>
    </row>
    <row r="85" spans="2:14">
      <c r="B85" s="256"/>
      <c r="C85" s="256"/>
      <c r="D85" s="256"/>
      <c r="E85" s="256"/>
      <c r="F85" s="256"/>
      <c r="G85" s="256"/>
      <c r="H85" s="256"/>
      <c r="I85" s="256"/>
      <c r="J85" s="256"/>
      <c r="K85" s="374"/>
      <c r="L85" s="256"/>
      <c r="M85" s="256"/>
      <c r="N85" s="256"/>
    </row>
    <row r="86" spans="2:14">
      <c r="B86" s="256"/>
      <c r="C86" s="256"/>
      <c r="D86" s="256"/>
      <c r="E86" s="256"/>
      <c r="F86" s="256"/>
      <c r="G86" s="256"/>
      <c r="H86" s="256"/>
      <c r="I86" s="256"/>
      <c r="J86" s="256"/>
      <c r="K86" s="374"/>
      <c r="L86" s="256"/>
      <c r="M86" s="256"/>
      <c r="N86" s="256"/>
    </row>
    <row r="87" spans="2:14">
      <c r="B87" s="256"/>
      <c r="C87" s="256"/>
      <c r="D87" s="256"/>
      <c r="E87" s="256"/>
      <c r="F87" s="256"/>
      <c r="G87" s="256"/>
      <c r="H87" s="256"/>
      <c r="I87" s="256"/>
      <c r="J87" s="256"/>
      <c r="K87" s="374"/>
      <c r="L87" s="256"/>
      <c r="M87" s="256"/>
      <c r="N87" s="256"/>
    </row>
    <row r="88" spans="2:14">
      <c r="B88" s="256"/>
      <c r="C88" s="256"/>
      <c r="D88" s="256"/>
      <c r="E88" s="256"/>
      <c r="F88" s="256"/>
      <c r="G88" s="256"/>
      <c r="H88" s="256"/>
      <c r="I88" s="256"/>
      <c r="J88" s="256"/>
      <c r="K88" s="374"/>
      <c r="L88" s="256"/>
      <c r="M88" s="256"/>
      <c r="N88" s="256"/>
    </row>
    <row r="89" spans="2:14">
      <c r="B89" s="256"/>
      <c r="C89" s="256"/>
      <c r="D89" s="256"/>
      <c r="E89" s="256"/>
      <c r="F89" s="256"/>
      <c r="G89" s="256"/>
      <c r="H89" s="256"/>
      <c r="I89" s="256"/>
      <c r="J89" s="256"/>
      <c r="K89" s="374"/>
      <c r="L89" s="256"/>
      <c r="M89" s="256"/>
      <c r="N89" s="256"/>
    </row>
    <row r="90" spans="2:14">
      <c r="B90" s="256"/>
      <c r="C90" s="256"/>
      <c r="D90" s="256"/>
      <c r="E90" s="256"/>
      <c r="F90" s="256"/>
      <c r="G90" s="256"/>
      <c r="H90" s="256"/>
      <c r="I90" s="256"/>
      <c r="J90" s="256"/>
      <c r="K90" s="374"/>
      <c r="L90" s="256"/>
      <c r="M90" s="256"/>
      <c r="N90" s="256"/>
    </row>
    <row r="91" spans="2:14">
      <c r="B91" s="256"/>
      <c r="C91" s="256"/>
      <c r="D91" s="256"/>
      <c r="E91" s="256"/>
      <c r="F91" s="256"/>
      <c r="G91" s="256"/>
      <c r="H91" s="256"/>
      <c r="I91" s="256"/>
      <c r="J91" s="256"/>
      <c r="K91" s="374"/>
      <c r="L91" s="256"/>
      <c r="M91" s="256"/>
      <c r="N91" s="256"/>
    </row>
    <row r="92" spans="2:14">
      <c r="B92" s="256"/>
      <c r="C92" s="256"/>
      <c r="D92" s="256"/>
      <c r="E92" s="256"/>
      <c r="F92" s="256"/>
      <c r="G92" s="256"/>
      <c r="H92" s="256"/>
      <c r="I92" s="256"/>
      <c r="J92" s="256"/>
      <c r="K92" s="374"/>
      <c r="L92" s="256"/>
      <c r="M92" s="256"/>
      <c r="N92" s="256"/>
    </row>
    <row r="93" spans="2:14">
      <c r="B93" s="256"/>
      <c r="C93" s="256"/>
      <c r="D93" s="256"/>
      <c r="E93" s="256"/>
      <c r="F93" s="256"/>
      <c r="G93" s="256"/>
      <c r="H93" s="256"/>
      <c r="I93" s="256"/>
      <c r="J93" s="256"/>
      <c r="K93" s="374"/>
      <c r="L93" s="256"/>
      <c r="M93" s="256"/>
      <c r="N93" s="256"/>
    </row>
    <row r="94" spans="2:14">
      <c r="B94" s="256"/>
      <c r="C94" s="256"/>
      <c r="D94" s="256"/>
      <c r="E94" s="256"/>
      <c r="F94" s="256"/>
      <c r="G94" s="256"/>
      <c r="H94" s="256"/>
      <c r="I94" s="256"/>
      <c r="J94" s="256"/>
      <c r="K94" s="374"/>
      <c r="L94" s="256"/>
      <c r="M94" s="256"/>
      <c r="N94" s="256"/>
    </row>
    <row r="95" spans="2:14">
      <c r="B95" s="256"/>
      <c r="C95" s="256"/>
      <c r="D95" s="256"/>
      <c r="E95" s="256"/>
      <c r="F95" s="256"/>
      <c r="G95" s="256"/>
      <c r="H95" s="256"/>
      <c r="I95" s="256"/>
      <c r="J95" s="256"/>
      <c r="K95" s="374"/>
      <c r="L95" s="256"/>
      <c r="M95" s="256"/>
      <c r="N95" s="256"/>
    </row>
    <row r="96" spans="2:14">
      <c r="B96" s="256"/>
      <c r="C96" s="256"/>
      <c r="D96" s="256"/>
      <c r="E96" s="256"/>
      <c r="F96" s="256"/>
      <c r="G96" s="256"/>
      <c r="H96" s="256"/>
      <c r="I96" s="256"/>
      <c r="J96" s="256"/>
      <c r="K96" s="374"/>
      <c r="L96" s="256"/>
      <c r="M96" s="256"/>
      <c r="N96" s="256"/>
    </row>
    <row r="97" spans="2:14">
      <c r="B97" s="256"/>
      <c r="C97" s="256"/>
      <c r="D97" s="256"/>
      <c r="E97" s="256"/>
      <c r="F97" s="256"/>
      <c r="G97" s="256"/>
      <c r="H97" s="256"/>
      <c r="I97" s="256"/>
      <c r="J97" s="256"/>
      <c r="K97" s="374"/>
      <c r="L97" s="256"/>
      <c r="M97" s="256"/>
      <c r="N97" s="256"/>
    </row>
    <row r="98" spans="2:14">
      <c r="B98" s="256"/>
      <c r="C98" s="256"/>
      <c r="D98" s="256"/>
      <c r="E98" s="256"/>
      <c r="F98" s="256"/>
      <c r="G98" s="256"/>
      <c r="H98" s="256"/>
      <c r="I98" s="256"/>
      <c r="J98" s="256"/>
      <c r="K98" s="374"/>
      <c r="L98" s="256"/>
      <c r="M98" s="256"/>
      <c r="N98" s="256"/>
    </row>
    <row r="99" spans="2:14">
      <c r="B99" s="256"/>
      <c r="C99" s="256"/>
      <c r="D99" s="256"/>
      <c r="E99" s="256"/>
      <c r="F99" s="256"/>
      <c r="G99" s="256"/>
      <c r="H99" s="256"/>
      <c r="I99" s="256"/>
      <c r="J99" s="256"/>
      <c r="K99" s="374"/>
      <c r="L99" s="256"/>
      <c r="M99" s="256"/>
      <c r="N99" s="256"/>
    </row>
    <row r="100" spans="2:14">
      <c r="B100" s="256"/>
      <c r="C100" s="256"/>
      <c r="D100" s="256"/>
      <c r="E100" s="256"/>
      <c r="F100" s="256"/>
      <c r="G100" s="256"/>
      <c r="H100" s="256"/>
      <c r="I100" s="256"/>
      <c r="J100" s="256"/>
      <c r="K100" s="374"/>
      <c r="L100" s="256"/>
      <c r="M100" s="256"/>
      <c r="N100" s="256"/>
    </row>
    <row r="101" spans="2:14">
      <c r="B101" s="256"/>
      <c r="C101" s="256"/>
      <c r="D101" s="256"/>
      <c r="E101" s="256"/>
      <c r="F101" s="256"/>
      <c r="G101" s="256"/>
      <c r="H101" s="256"/>
      <c r="I101" s="256"/>
      <c r="J101" s="256"/>
      <c r="K101" s="374"/>
      <c r="L101" s="256"/>
      <c r="M101" s="256"/>
      <c r="N101" s="256"/>
    </row>
    <row r="102" spans="2:14">
      <c r="B102" s="256"/>
      <c r="C102" s="256"/>
      <c r="D102" s="256"/>
      <c r="E102" s="256"/>
      <c r="F102" s="256"/>
      <c r="G102" s="256"/>
      <c r="H102" s="256"/>
      <c r="I102" s="256"/>
      <c r="J102" s="256"/>
      <c r="K102" s="374"/>
      <c r="L102" s="256"/>
      <c r="M102" s="256"/>
      <c r="N102" s="256"/>
    </row>
    <row r="103" spans="2:14">
      <c r="B103" s="256"/>
      <c r="C103" s="256"/>
      <c r="D103" s="256"/>
      <c r="E103" s="256"/>
      <c r="F103" s="256"/>
      <c r="G103" s="256"/>
      <c r="H103" s="256"/>
      <c r="I103" s="256"/>
      <c r="J103" s="256"/>
      <c r="K103" s="374"/>
      <c r="L103" s="256"/>
      <c r="M103" s="256"/>
      <c r="N103" s="256"/>
    </row>
    <row r="104" spans="2:14">
      <c r="B104" s="256"/>
      <c r="C104" s="256"/>
      <c r="D104" s="256"/>
      <c r="E104" s="256"/>
      <c r="F104" s="256"/>
      <c r="G104" s="256"/>
      <c r="H104" s="256"/>
      <c r="I104" s="256"/>
      <c r="J104" s="256"/>
      <c r="K104" s="374"/>
      <c r="L104" s="256"/>
      <c r="M104" s="256"/>
      <c r="N104" s="256"/>
    </row>
    <row r="105" spans="2:14">
      <c r="B105" s="256"/>
      <c r="C105" s="256"/>
      <c r="D105" s="256"/>
      <c r="E105" s="256"/>
      <c r="F105" s="256"/>
      <c r="G105" s="256"/>
      <c r="H105" s="256"/>
      <c r="I105" s="256"/>
      <c r="J105" s="256"/>
      <c r="K105" s="374"/>
      <c r="L105" s="256"/>
      <c r="M105" s="256"/>
      <c r="N105" s="256"/>
    </row>
    <row r="106" spans="2:14">
      <c r="B106" s="256"/>
      <c r="C106" s="256"/>
      <c r="D106" s="256"/>
      <c r="E106" s="256"/>
      <c r="F106" s="256"/>
      <c r="G106" s="256"/>
      <c r="H106" s="256"/>
      <c r="I106" s="256"/>
      <c r="J106" s="256"/>
      <c r="K106" s="374"/>
      <c r="L106" s="256"/>
      <c r="M106" s="256"/>
      <c r="N106" s="256"/>
    </row>
    <row r="107" spans="2:14">
      <c r="B107" s="256"/>
      <c r="C107" s="256"/>
      <c r="D107" s="256"/>
      <c r="E107" s="256"/>
      <c r="F107" s="256"/>
      <c r="G107" s="256"/>
      <c r="H107" s="256"/>
      <c r="I107" s="256"/>
      <c r="J107" s="256"/>
      <c r="K107" s="374"/>
      <c r="L107" s="256"/>
      <c r="M107" s="256"/>
      <c r="N107" s="256"/>
    </row>
    <row r="108" spans="2:14">
      <c r="B108" s="256"/>
      <c r="C108" s="256"/>
      <c r="D108" s="256"/>
      <c r="E108" s="256"/>
      <c r="F108" s="256"/>
      <c r="G108" s="256"/>
      <c r="H108" s="256"/>
      <c r="I108" s="256"/>
      <c r="J108" s="256"/>
      <c r="K108" s="374"/>
      <c r="L108" s="256"/>
      <c r="M108" s="256"/>
      <c r="N108" s="256"/>
    </row>
    <row r="109" spans="2:14">
      <c r="B109" s="256"/>
      <c r="C109" s="256"/>
      <c r="D109" s="256"/>
      <c r="E109" s="256"/>
      <c r="F109" s="256"/>
      <c r="G109" s="256"/>
      <c r="H109" s="256"/>
      <c r="I109" s="256"/>
      <c r="J109" s="256"/>
      <c r="K109" s="374"/>
      <c r="L109" s="256"/>
      <c r="M109" s="256"/>
      <c r="N109" s="256"/>
    </row>
    <row r="110" spans="2:14">
      <c r="B110" s="256"/>
      <c r="C110" s="256"/>
      <c r="D110" s="256"/>
      <c r="E110" s="256"/>
      <c r="F110" s="256"/>
      <c r="G110" s="256"/>
      <c r="H110" s="256"/>
      <c r="I110" s="256"/>
      <c r="J110" s="256"/>
      <c r="K110" s="374"/>
      <c r="L110" s="256"/>
      <c r="M110" s="256"/>
      <c r="N110" s="256"/>
    </row>
  </sheetData>
  <mergeCells count="5">
    <mergeCell ref="B1:K1"/>
    <mergeCell ref="B2:K2"/>
    <mergeCell ref="E6:F6"/>
    <mergeCell ref="B47:K47"/>
    <mergeCell ref="B48:K48"/>
  </mergeCells>
  <printOptions horizontalCentered="1" verticalCentered="1"/>
  <pageMargins left="0.2" right="0.2" top="0.25" bottom="0.25" header="0" footer="0"/>
  <pageSetup scale="72" orientation="landscape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</vt:lpstr>
      <vt:lpstr>CC Formula</vt:lpstr>
      <vt:lpstr>Univ Formula</vt:lpstr>
      <vt:lpstr>2015-16 Recommendation</vt:lpstr>
      <vt:lpstr>'2015-16 Recommendation'!Print_Area</vt:lpstr>
      <vt:lpstr>'CC Formula'!Print_Area</vt:lpstr>
      <vt:lpstr>'Univ Formula'!Print_Area</vt:lpstr>
      <vt:lpstr>'Univ Formula'!Print_Titles</vt:lpstr>
    </vt:vector>
  </TitlesOfParts>
  <Company>State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THEC</dc:creator>
  <cp:lastModifiedBy>Crystal Collins</cp:lastModifiedBy>
  <cp:lastPrinted>2014-11-12T19:00:00Z</cp:lastPrinted>
  <dcterms:created xsi:type="dcterms:W3CDTF">2010-07-21T16:39:03Z</dcterms:created>
  <dcterms:modified xsi:type="dcterms:W3CDTF">2014-11-17T15:57:01Z</dcterms:modified>
</cp:coreProperties>
</file>