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echnical Services Branch\0. SQT\1. Tennessee SQT\current version_includes secondary manuals\"/>
    </mc:Choice>
  </mc:AlternateContent>
  <xr:revisionPtr revIDLastSave="0" documentId="8_{8D34B9B8-0610-4DA1-A62E-3493E1690116}" xr6:coauthVersionLast="47" xr6:coauthVersionMax="47" xr10:uidLastSave="{00000000-0000-0000-0000-000000000000}"/>
  <bookViews>
    <workbookView xWindow="-108" yWindow="-108" windowWidth="23256" windowHeight="12576" tabRatio="814" xr2:uid="{00000000-000D-0000-FFFF-FFFF00000000}"/>
  </bookViews>
  <sheets>
    <sheet name="Project Assessment" sheetId="10" r:id="rId1"/>
    <sheet name="Debit Calculator" sheetId="12" r:id="rId2"/>
    <sheet name="Measurement Selection Guide" sheetId="14" r:id="rId3"/>
    <sheet name="Existing Conditions" sheetId="2" r:id="rId4"/>
    <sheet name="Reference Standards" sheetId="1" state="hidden" r:id="rId5"/>
    <sheet name="Pull Down Notes" sheetId="3" state="hidden" r:id="rId6"/>
    <sheet name="Photos by Reach" sheetId="13" r:id="rId7"/>
  </sheets>
  <definedNames>
    <definedName name="BedMaterial">'Pull Down Notes'!$B$12:$B$18</definedName>
    <definedName name="BedType">'Pull Down Notes'!#REF!</definedName>
    <definedName name="BEHI.NBS">'Pull Down Notes'!$B$25:$B$54</definedName>
    <definedName name="CatchmentAssessment">'Pull Down Notes'!$B$93:$B$95</definedName>
    <definedName name="CatchmentAssessmentQuat">'Pull Down Notes'!#REF!</definedName>
    <definedName name="DrainageArea">'Pull Down Notes'!#REF!</definedName>
    <definedName name="Flow.Type">'Pull Down Notes'!$B$20:$B$22</definedName>
    <definedName name="Level">'Pull Down Notes'!#REF!</definedName>
    <definedName name="_xlnm.Print_Area" localSheetId="1">'Debit Calculator'!$A$1:$V$28</definedName>
    <definedName name="ProgramGoals">'Pull Down Notes'!$B$87:$B$90</definedName>
    <definedName name="Region">'Pull Down Notes'!$B$56:$B$80</definedName>
    <definedName name="RiverBasins">'Pull Down Notes'!#REF!</definedName>
    <definedName name="StreamType">'Pull Down Notes'!$B$1:$B$9</definedName>
    <definedName name="WaterTypes">'Pull Down Notes'!#REF!</definedName>
    <definedName name="Yes.No">'Pull Down Notes'!$B$83:$B$84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3" i="2" l="1"/>
  <c r="F444" i="2"/>
  <c r="G407" i="2"/>
  <c r="F398" i="2"/>
  <c r="G361" i="2"/>
  <c r="F352" i="2"/>
  <c r="G315" i="2"/>
  <c r="F306" i="2"/>
  <c r="G269" i="2"/>
  <c r="F260" i="2"/>
  <c r="G223" i="2"/>
  <c r="F214" i="2"/>
  <c r="G177" i="2"/>
  <c r="F168" i="2"/>
  <c r="G131" i="2"/>
  <c r="F122" i="2"/>
  <c r="G85" i="2"/>
  <c r="F76" i="2"/>
  <c r="G39" i="2"/>
  <c r="F30" i="2"/>
  <c r="I10" i="12"/>
  <c r="I6" i="12"/>
  <c r="I7" i="12"/>
  <c r="I8" i="12"/>
  <c r="I9" i="12"/>
  <c r="I11" i="12"/>
  <c r="I12" i="12"/>
  <c r="I13" i="12"/>
  <c r="I14" i="12"/>
  <c r="I15" i="12"/>
  <c r="I16" i="12"/>
  <c r="I17" i="12"/>
  <c r="I18" i="12"/>
  <c r="I19" i="12"/>
  <c r="I20" i="12"/>
  <c r="I21" i="12"/>
  <c r="I22" i="12"/>
  <c r="I23" i="12"/>
  <c r="I24" i="12"/>
  <c r="I25" i="12"/>
  <c r="I5" i="12"/>
  <c r="G457" i="2" l="1"/>
  <c r="H453" i="2"/>
  <c r="I453" i="2" s="1"/>
  <c r="G452" i="2"/>
  <c r="G451" i="2"/>
  <c r="G450" i="2"/>
  <c r="H449" i="2" s="1"/>
  <c r="I449" i="2" s="1"/>
  <c r="G449" i="2"/>
  <c r="G448" i="2"/>
  <c r="G444" i="2"/>
  <c r="G443" i="2"/>
  <c r="G433" i="2"/>
  <c r="G429" i="2"/>
  <c r="G427" i="2"/>
  <c r="G425" i="2"/>
  <c r="H425" i="2" s="1"/>
  <c r="I425" i="2" s="1"/>
  <c r="G424" i="2"/>
  <c r="H423" i="2" s="1"/>
  <c r="G423" i="2"/>
  <c r="G411" i="2"/>
  <c r="H407" i="2"/>
  <c r="I407" i="2" s="1"/>
  <c r="G406" i="2"/>
  <c r="G405" i="2"/>
  <c r="G404" i="2"/>
  <c r="H403" i="2" s="1"/>
  <c r="I403" i="2" s="1"/>
  <c r="G403" i="2"/>
  <c r="G402" i="2"/>
  <c r="G398" i="2"/>
  <c r="G397" i="2"/>
  <c r="G387" i="2"/>
  <c r="G383" i="2"/>
  <c r="G381" i="2"/>
  <c r="G379" i="2"/>
  <c r="H379" i="2" s="1"/>
  <c r="I379" i="2" s="1"/>
  <c r="G378" i="2"/>
  <c r="G377" i="2"/>
  <c r="H377" i="2" s="1"/>
  <c r="G365" i="2"/>
  <c r="H361" i="2"/>
  <c r="I361" i="2" s="1"/>
  <c r="G360" i="2"/>
  <c r="G359" i="2"/>
  <c r="G358" i="2"/>
  <c r="H357" i="2" s="1"/>
  <c r="I357" i="2" s="1"/>
  <c r="G357" i="2"/>
  <c r="G356" i="2"/>
  <c r="G352" i="2"/>
  <c r="G351" i="2"/>
  <c r="G341" i="2"/>
  <c r="G337" i="2"/>
  <c r="G335" i="2"/>
  <c r="G333" i="2"/>
  <c r="H333" i="2" s="1"/>
  <c r="I333" i="2" s="1"/>
  <c r="G332" i="2"/>
  <c r="G331" i="2"/>
  <c r="H331" i="2" s="1"/>
  <c r="G319" i="2"/>
  <c r="H315" i="2"/>
  <c r="I315" i="2" s="1"/>
  <c r="G314" i="2"/>
  <c r="G313" i="2"/>
  <c r="G312" i="2"/>
  <c r="G311" i="2"/>
  <c r="H311" i="2" s="1"/>
  <c r="I311" i="2" s="1"/>
  <c r="G310" i="2"/>
  <c r="G306" i="2"/>
  <c r="G305" i="2"/>
  <c r="G295" i="2"/>
  <c r="G291" i="2"/>
  <c r="G289" i="2"/>
  <c r="G287" i="2"/>
  <c r="H287" i="2" s="1"/>
  <c r="I287" i="2" s="1"/>
  <c r="G286" i="2"/>
  <c r="G285" i="2"/>
  <c r="H285" i="2" s="1"/>
  <c r="G273" i="2"/>
  <c r="H269" i="2"/>
  <c r="I269" i="2" s="1"/>
  <c r="G268" i="2"/>
  <c r="G267" i="2"/>
  <c r="G266" i="2"/>
  <c r="H265" i="2" s="1"/>
  <c r="I265" i="2" s="1"/>
  <c r="G265" i="2"/>
  <c r="G264" i="2"/>
  <c r="G260" i="2"/>
  <c r="G259" i="2"/>
  <c r="G249" i="2"/>
  <c r="G245" i="2"/>
  <c r="G243" i="2"/>
  <c r="H241" i="2"/>
  <c r="I241" i="2" s="1"/>
  <c r="G241" i="2"/>
  <c r="G240" i="2"/>
  <c r="H239" i="2" s="1"/>
  <c r="G239" i="2"/>
  <c r="G227" i="2"/>
  <c r="H223" i="2"/>
  <c r="I223" i="2" s="1"/>
  <c r="G222" i="2"/>
  <c r="G221" i="2"/>
  <c r="G220" i="2"/>
  <c r="H219" i="2"/>
  <c r="I219" i="2" s="1"/>
  <c r="G219" i="2"/>
  <c r="G218" i="2"/>
  <c r="G214" i="2"/>
  <c r="H197" i="2" s="1"/>
  <c r="I197" i="2" s="1"/>
  <c r="G213" i="2"/>
  <c r="G203" i="2"/>
  <c r="G199" i="2"/>
  <c r="G197" i="2"/>
  <c r="G195" i="2"/>
  <c r="H195" i="2" s="1"/>
  <c r="I195" i="2" s="1"/>
  <c r="G194" i="2"/>
  <c r="H193" i="2"/>
  <c r="G193" i="2"/>
  <c r="G181" i="2"/>
  <c r="H177" i="2"/>
  <c r="I177" i="2" s="1"/>
  <c r="G176" i="2"/>
  <c r="G175" i="2"/>
  <c r="G174" i="2"/>
  <c r="H173" i="2" s="1"/>
  <c r="I173" i="2" s="1"/>
  <c r="G173" i="2"/>
  <c r="G172" i="2"/>
  <c r="G168" i="2"/>
  <c r="G167" i="2"/>
  <c r="G157" i="2"/>
  <c r="G153" i="2"/>
  <c r="G151" i="2"/>
  <c r="G149" i="2"/>
  <c r="H149" i="2" s="1"/>
  <c r="I149" i="2" s="1"/>
  <c r="G148" i="2"/>
  <c r="H147" i="2" s="1"/>
  <c r="G147" i="2"/>
  <c r="G135" i="2"/>
  <c r="H131" i="2"/>
  <c r="I131" i="2" s="1"/>
  <c r="G130" i="2"/>
  <c r="G129" i="2"/>
  <c r="G128" i="2"/>
  <c r="H127" i="2" s="1"/>
  <c r="I127" i="2" s="1"/>
  <c r="G127" i="2"/>
  <c r="G126" i="2"/>
  <c r="G122" i="2"/>
  <c r="G121" i="2"/>
  <c r="G111" i="2"/>
  <c r="G107" i="2"/>
  <c r="G105" i="2"/>
  <c r="G103" i="2"/>
  <c r="H103" i="2" s="1"/>
  <c r="G102" i="2"/>
  <c r="I101" i="2"/>
  <c r="H101" i="2"/>
  <c r="G101" i="2"/>
  <c r="G89" i="2"/>
  <c r="H85" i="2"/>
  <c r="I85" i="2" s="1"/>
  <c r="G84" i="2"/>
  <c r="G83" i="2"/>
  <c r="G82" i="2"/>
  <c r="H81" i="2" s="1"/>
  <c r="I81" i="2" s="1"/>
  <c r="G81" i="2"/>
  <c r="G80" i="2"/>
  <c r="G76" i="2"/>
  <c r="G75" i="2"/>
  <c r="G65" i="2"/>
  <c r="G61" i="2"/>
  <c r="G59" i="2"/>
  <c r="G57" i="2"/>
  <c r="H57" i="2" s="1"/>
  <c r="I57" i="2" s="1"/>
  <c r="G56" i="2"/>
  <c r="H55" i="2" s="1"/>
  <c r="G55" i="2"/>
  <c r="G43" i="2"/>
  <c r="G37" i="2"/>
  <c r="G38" i="2"/>
  <c r="G36" i="2"/>
  <c r="G35" i="2"/>
  <c r="G34" i="2"/>
  <c r="G30" i="2"/>
  <c r="G29" i="2"/>
  <c r="G15" i="2"/>
  <c r="G13" i="2"/>
  <c r="G11" i="2"/>
  <c r="G10" i="2"/>
  <c r="G9" i="2"/>
  <c r="F39" i="2"/>
  <c r="F85" i="2"/>
  <c r="F131" i="2"/>
  <c r="F177" i="2"/>
  <c r="F223" i="2"/>
  <c r="F269" i="2"/>
  <c r="F453" i="2"/>
  <c r="F407" i="2"/>
  <c r="F361" i="2"/>
  <c r="F315" i="2"/>
  <c r="H427" i="2" l="1"/>
  <c r="I427" i="2" s="1"/>
  <c r="H381" i="2"/>
  <c r="I381" i="2" s="1"/>
  <c r="H335" i="2"/>
  <c r="I335" i="2" s="1"/>
  <c r="H289" i="2"/>
  <c r="I289" i="2" s="1"/>
  <c r="H243" i="2"/>
  <c r="I243" i="2" s="1"/>
  <c r="H151" i="2"/>
  <c r="I151" i="2" s="1"/>
  <c r="H105" i="2"/>
  <c r="I105" i="2" s="1"/>
  <c r="H59" i="2"/>
  <c r="I59" i="2" s="1"/>
  <c r="J423" i="2"/>
  <c r="I423" i="2"/>
  <c r="I377" i="2"/>
  <c r="J331" i="2"/>
  <c r="I331" i="2"/>
  <c r="I285" i="2"/>
  <c r="J285" i="2"/>
  <c r="J239" i="2"/>
  <c r="I239" i="2"/>
  <c r="J193" i="2"/>
  <c r="I193" i="2"/>
  <c r="I147" i="2"/>
  <c r="J147" i="2"/>
  <c r="I103" i="2"/>
  <c r="J55" i="2"/>
  <c r="I55" i="2"/>
  <c r="F428" i="2"/>
  <c r="F427" i="2"/>
  <c r="F382" i="2"/>
  <c r="F381" i="2"/>
  <c r="F336" i="2"/>
  <c r="F335" i="2"/>
  <c r="F290" i="2"/>
  <c r="F289" i="2"/>
  <c r="F244" i="2"/>
  <c r="F243" i="2"/>
  <c r="F198" i="2"/>
  <c r="F197" i="2"/>
  <c r="F152" i="2"/>
  <c r="F151" i="2"/>
  <c r="F106" i="2"/>
  <c r="F105" i="2"/>
  <c r="F60" i="2"/>
  <c r="F59" i="2"/>
  <c r="F14" i="2"/>
  <c r="F13" i="2"/>
  <c r="J377" i="2" l="1"/>
  <c r="J101" i="2"/>
  <c r="F458" i="2"/>
  <c r="F457" i="2"/>
  <c r="F456" i="2"/>
  <c r="F455" i="2"/>
  <c r="F454" i="2"/>
  <c r="F452" i="2"/>
  <c r="F451" i="2"/>
  <c r="F450" i="2"/>
  <c r="F449" i="2"/>
  <c r="F448" i="2"/>
  <c r="F447" i="2"/>
  <c r="F446" i="2"/>
  <c r="F445" i="2"/>
  <c r="F443" i="2"/>
  <c r="F442" i="2"/>
  <c r="F441" i="2"/>
  <c r="F440" i="2"/>
  <c r="F439" i="2"/>
  <c r="F438" i="2"/>
  <c r="F437" i="2"/>
  <c r="F436" i="2"/>
  <c r="F435" i="2"/>
  <c r="F434" i="2"/>
  <c r="F433" i="2"/>
  <c r="F432" i="2"/>
  <c r="F431" i="2"/>
  <c r="F430" i="2"/>
  <c r="F429" i="2"/>
  <c r="F426" i="2"/>
  <c r="F425" i="2"/>
  <c r="F424" i="2"/>
  <c r="F423" i="2"/>
  <c r="F412" i="2"/>
  <c r="F411" i="2"/>
  <c r="F410" i="2"/>
  <c r="F409" i="2"/>
  <c r="F408" i="2"/>
  <c r="F406" i="2"/>
  <c r="F405" i="2"/>
  <c r="F404" i="2"/>
  <c r="F403" i="2"/>
  <c r="F402" i="2"/>
  <c r="F401" i="2"/>
  <c r="F400" i="2"/>
  <c r="F399" i="2"/>
  <c r="F397" i="2"/>
  <c r="F396" i="2"/>
  <c r="F395" i="2"/>
  <c r="F394" i="2"/>
  <c r="F393" i="2"/>
  <c r="F392" i="2"/>
  <c r="F391" i="2"/>
  <c r="F390" i="2"/>
  <c r="F389" i="2"/>
  <c r="F388" i="2"/>
  <c r="F387" i="2"/>
  <c r="F386" i="2"/>
  <c r="F385" i="2"/>
  <c r="F384" i="2"/>
  <c r="F383" i="2"/>
  <c r="F380" i="2"/>
  <c r="F379" i="2"/>
  <c r="F378" i="2"/>
  <c r="F377" i="2"/>
  <c r="F366" i="2"/>
  <c r="F365" i="2"/>
  <c r="F364" i="2"/>
  <c r="F363" i="2"/>
  <c r="F362" i="2"/>
  <c r="F360" i="2"/>
  <c r="F359" i="2"/>
  <c r="F358" i="2"/>
  <c r="F357" i="2"/>
  <c r="F356" i="2"/>
  <c r="F355" i="2"/>
  <c r="F354" i="2"/>
  <c r="F353" i="2"/>
  <c r="F351" i="2"/>
  <c r="F350" i="2"/>
  <c r="F349" i="2"/>
  <c r="F348" i="2"/>
  <c r="F347" i="2"/>
  <c r="F346" i="2"/>
  <c r="F345" i="2"/>
  <c r="F344" i="2"/>
  <c r="F343" i="2"/>
  <c r="F342" i="2"/>
  <c r="F341" i="2"/>
  <c r="F340" i="2"/>
  <c r="F339" i="2"/>
  <c r="F338" i="2"/>
  <c r="F337" i="2"/>
  <c r="F334" i="2"/>
  <c r="F333" i="2"/>
  <c r="F332" i="2"/>
  <c r="F331" i="2"/>
  <c r="F320" i="2"/>
  <c r="F319" i="2"/>
  <c r="F318" i="2"/>
  <c r="F317" i="2"/>
  <c r="F316" i="2"/>
  <c r="F314" i="2"/>
  <c r="F313" i="2"/>
  <c r="F312" i="2"/>
  <c r="F311" i="2"/>
  <c r="F310" i="2"/>
  <c r="F309" i="2"/>
  <c r="F308" i="2"/>
  <c r="F307" i="2"/>
  <c r="F305" i="2"/>
  <c r="F304" i="2"/>
  <c r="F303" i="2"/>
  <c r="F302" i="2"/>
  <c r="F301" i="2"/>
  <c r="F300" i="2"/>
  <c r="F299" i="2"/>
  <c r="F298" i="2"/>
  <c r="F297" i="2"/>
  <c r="F296" i="2"/>
  <c r="F295" i="2"/>
  <c r="F294" i="2"/>
  <c r="F293" i="2"/>
  <c r="F292" i="2"/>
  <c r="F291" i="2"/>
  <c r="F288" i="2"/>
  <c r="F287" i="2"/>
  <c r="F286" i="2"/>
  <c r="F285" i="2"/>
  <c r="F274" i="2"/>
  <c r="F273" i="2"/>
  <c r="F272" i="2"/>
  <c r="F271" i="2"/>
  <c r="F270" i="2"/>
  <c r="F268" i="2"/>
  <c r="F267" i="2"/>
  <c r="F266" i="2"/>
  <c r="F265" i="2"/>
  <c r="F264" i="2"/>
  <c r="F263" i="2"/>
  <c r="F262" i="2"/>
  <c r="F261" i="2"/>
  <c r="F259" i="2"/>
  <c r="F258" i="2"/>
  <c r="F257" i="2"/>
  <c r="F256" i="2"/>
  <c r="F255" i="2"/>
  <c r="F254" i="2"/>
  <c r="F253" i="2"/>
  <c r="F252" i="2"/>
  <c r="F251" i="2"/>
  <c r="F250" i="2"/>
  <c r="F249" i="2"/>
  <c r="F248" i="2"/>
  <c r="F247" i="2"/>
  <c r="F246" i="2"/>
  <c r="F245" i="2"/>
  <c r="F242" i="2"/>
  <c r="F241" i="2"/>
  <c r="F240" i="2"/>
  <c r="F239" i="2"/>
  <c r="F228" i="2"/>
  <c r="F227" i="2"/>
  <c r="F226" i="2"/>
  <c r="F225" i="2"/>
  <c r="F224" i="2"/>
  <c r="F222" i="2"/>
  <c r="F221" i="2"/>
  <c r="F220" i="2"/>
  <c r="F219" i="2"/>
  <c r="F218" i="2"/>
  <c r="F217" i="2"/>
  <c r="F216" i="2"/>
  <c r="F215" i="2"/>
  <c r="F213" i="2"/>
  <c r="F212" i="2"/>
  <c r="F211" i="2"/>
  <c r="F210" i="2"/>
  <c r="F209" i="2"/>
  <c r="F208" i="2"/>
  <c r="F207" i="2"/>
  <c r="F206" i="2"/>
  <c r="F205" i="2"/>
  <c r="F204" i="2"/>
  <c r="F203" i="2"/>
  <c r="F202" i="2"/>
  <c r="F201" i="2"/>
  <c r="F200" i="2"/>
  <c r="F199" i="2"/>
  <c r="F196" i="2"/>
  <c r="F195" i="2"/>
  <c r="F194" i="2"/>
  <c r="F193" i="2"/>
  <c r="F182" i="2"/>
  <c r="F181" i="2"/>
  <c r="F180" i="2"/>
  <c r="F179" i="2"/>
  <c r="F178" i="2"/>
  <c r="F176" i="2"/>
  <c r="F175" i="2"/>
  <c r="F174" i="2"/>
  <c r="F173" i="2"/>
  <c r="F172" i="2"/>
  <c r="F171" i="2"/>
  <c r="F170" i="2"/>
  <c r="F169" i="2"/>
  <c r="F167" i="2"/>
  <c r="F166" i="2"/>
  <c r="F165" i="2"/>
  <c r="F164" i="2"/>
  <c r="F163" i="2"/>
  <c r="F162" i="2"/>
  <c r="F161" i="2"/>
  <c r="F160" i="2"/>
  <c r="F159" i="2"/>
  <c r="F158" i="2"/>
  <c r="F157" i="2"/>
  <c r="F156" i="2"/>
  <c r="F155" i="2"/>
  <c r="F154" i="2"/>
  <c r="F153" i="2"/>
  <c r="F150" i="2"/>
  <c r="F149" i="2"/>
  <c r="F148" i="2"/>
  <c r="F147" i="2"/>
  <c r="F136" i="2"/>
  <c r="F135" i="2"/>
  <c r="F134" i="2"/>
  <c r="F133" i="2"/>
  <c r="F132" i="2"/>
  <c r="F130" i="2"/>
  <c r="F129" i="2"/>
  <c r="F128" i="2"/>
  <c r="F127" i="2"/>
  <c r="F126" i="2"/>
  <c r="F125" i="2"/>
  <c r="F124" i="2"/>
  <c r="F123" i="2"/>
  <c r="F121" i="2"/>
  <c r="F120" i="2"/>
  <c r="F119" i="2"/>
  <c r="F118" i="2"/>
  <c r="F117" i="2"/>
  <c r="F116" i="2"/>
  <c r="F115" i="2"/>
  <c r="F114" i="2"/>
  <c r="F113" i="2"/>
  <c r="F112" i="2"/>
  <c r="F111" i="2"/>
  <c r="F110" i="2"/>
  <c r="F109" i="2"/>
  <c r="F108" i="2"/>
  <c r="F107" i="2"/>
  <c r="F104" i="2"/>
  <c r="F103" i="2"/>
  <c r="F102" i="2"/>
  <c r="F101" i="2"/>
  <c r="F90" i="2"/>
  <c r="F89" i="2"/>
  <c r="F88" i="2"/>
  <c r="F87" i="2"/>
  <c r="F86" i="2"/>
  <c r="F84" i="2"/>
  <c r="F83" i="2"/>
  <c r="F82" i="2"/>
  <c r="F81" i="2"/>
  <c r="F80" i="2"/>
  <c r="F79" i="2"/>
  <c r="F78" i="2"/>
  <c r="F77" i="2"/>
  <c r="F75" i="2"/>
  <c r="F74" i="2"/>
  <c r="F73" i="2"/>
  <c r="F72" i="2"/>
  <c r="F71" i="2"/>
  <c r="F70" i="2"/>
  <c r="F69" i="2"/>
  <c r="F68" i="2"/>
  <c r="F67" i="2"/>
  <c r="F66" i="2"/>
  <c r="F65" i="2"/>
  <c r="F64" i="2"/>
  <c r="F63" i="2"/>
  <c r="F62" i="2"/>
  <c r="F61" i="2"/>
  <c r="F58" i="2"/>
  <c r="F57" i="2"/>
  <c r="F56" i="2"/>
  <c r="F55" i="2"/>
  <c r="F38" i="2"/>
  <c r="F37" i="2"/>
  <c r="F35" i="2"/>
  <c r="F34" i="2"/>
  <c r="F32" i="2"/>
  <c r="F31" i="2"/>
  <c r="F28" i="2"/>
  <c r="F27" i="2"/>
  <c r="F26" i="2"/>
  <c r="F25" i="2"/>
  <c r="F24" i="2"/>
  <c r="F23" i="2"/>
  <c r="F22" i="2"/>
  <c r="F21" i="2"/>
  <c r="F20" i="2"/>
  <c r="F19" i="2"/>
  <c r="F18" i="2"/>
  <c r="F17" i="2"/>
  <c r="F16" i="2"/>
  <c r="F12" i="2"/>
  <c r="F11" i="2"/>
  <c r="F9" i="2"/>
  <c r="F10" i="2"/>
  <c r="A28" i="12" l="1"/>
  <c r="A32" i="12"/>
  <c r="A33" i="12"/>
  <c r="A34" i="12"/>
  <c r="A35" i="12"/>
  <c r="A36" i="12"/>
  <c r="B1" i="12" l="1"/>
  <c r="B6" i="12" l="1"/>
  <c r="B7" i="12"/>
  <c r="B8" i="12"/>
  <c r="B9" i="12"/>
  <c r="B10" i="12"/>
  <c r="B11" i="12"/>
  <c r="B12" i="12"/>
  <c r="B13" i="12"/>
  <c r="B14" i="12"/>
  <c r="B15" i="12"/>
  <c r="B16" i="12"/>
  <c r="B17" i="12"/>
  <c r="B18" i="12"/>
  <c r="B19" i="12"/>
  <c r="B20" i="12"/>
  <c r="B21" i="12"/>
  <c r="B22" i="12"/>
  <c r="B23" i="12"/>
  <c r="B24" i="12"/>
  <c r="B25" i="12"/>
  <c r="B5" i="12"/>
  <c r="A6" i="12"/>
  <c r="A7" i="12"/>
  <c r="A8" i="12"/>
  <c r="A9" i="12"/>
  <c r="A10" i="12"/>
  <c r="A11" i="12"/>
  <c r="A12" i="12"/>
  <c r="A13" i="12"/>
  <c r="A14" i="12"/>
  <c r="A15" i="12"/>
  <c r="A16" i="12"/>
  <c r="A17" i="12"/>
  <c r="A18" i="12"/>
  <c r="A19" i="12"/>
  <c r="A20" i="12"/>
  <c r="A21" i="12"/>
  <c r="A22" i="12"/>
  <c r="A23" i="12"/>
  <c r="A24" i="12"/>
  <c r="A25" i="12"/>
  <c r="A5" i="12"/>
  <c r="F33" i="2" l="1"/>
  <c r="F42" i="2" l="1"/>
  <c r="F41" i="2"/>
  <c r="F40" i="2"/>
  <c r="F44" i="2"/>
  <c r="F43" i="2"/>
  <c r="F36" i="2"/>
  <c r="F29" i="2"/>
  <c r="F15" i="2"/>
  <c r="H18" i="12" l="1"/>
  <c r="G19" i="2" l="1"/>
  <c r="A41" i="12"/>
  <c r="A40" i="12"/>
  <c r="A39" i="12"/>
  <c r="A38" i="12"/>
  <c r="A37" i="12"/>
  <c r="B41" i="12" l="1"/>
  <c r="B38" i="12"/>
  <c r="B33" i="12"/>
  <c r="B37" i="12" l="1"/>
  <c r="B34" i="12"/>
  <c r="B40" i="12"/>
  <c r="B35" i="12"/>
  <c r="B39" i="12"/>
  <c r="B36" i="12"/>
  <c r="H21" i="12"/>
  <c r="H6" i="12"/>
  <c r="H7" i="12"/>
  <c r="H8" i="12"/>
  <c r="H9" i="12"/>
  <c r="H10" i="12"/>
  <c r="H11" i="12"/>
  <c r="H12" i="12"/>
  <c r="H13" i="12"/>
  <c r="H14" i="12"/>
  <c r="H15" i="12"/>
  <c r="H16" i="12"/>
  <c r="H17" i="12"/>
  <c r="H19" i="12"/>
  <c r="H20" i="12"/>
  <c r="H22" i="12"/>
  <c r="H23" i="12"/>
  <c r="H24" i="12"/>
  <c r="H25" i="12"/>
  <c r="H5" i="12"/>
  <c r="H11" i="2" l="1"/>
  <c r="H9" i="2" l="1"/>
  <c r="I11" i="2"/>
  <c r="H35" i="2"/>
  <c r="H13" i="2" l="1"/>
  <c r="H39" i="2"/>
  <c r="I35" i="2"/>
  <c r="J9" i="2" l="1"/>
  <c r="B32" i="12" s="1"/>
  <c r="I39" i="2"/>
  <c r="I13" i="2"/>
  <c r="I9" i="2"/>
  <c r="I26" i="12"/>
  <c r="F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CJones</author>
  </authors>
  <commentList>
    <comment ref="C4" authorId="0" shapeId="0" xr:uid="{00000000-0006-0000-0100-000001000000}">
      <text>
        <r>
          <rPr>
            <sz val="9"/>
            <color indexed="81"/>
            <rFont val="Tahoma"/>
            <family val="2"/>
          </rPr>
          <t>Debit Options:
1 - Existing Condition Assessment completed
2 - Estimated Condition using Existing Condition Assessment
3 - Standard Condition assumes an ECS of 0.80 for intermitted and perennial systems</t>
        </r>
      </text>
    </comment>
  </commentList>
</comments>
</file>

<file path=xl/sharedStrings.xml><?xml version="1.0" encoding="utf-8"?>
<sst xmlns="http://schemas.openxmlformats.org/spreadsheetml/2006/main" count="1552" uniqueCount="411">
  <si>
    <t>Bank Height Ratio (BHR)</t>
  </si>
  <si>
    <t>Functional Category</t>
  </si>
  <si>
    <t>Function-Based Parameters</t>
  </si>
  <si>
    <t>Measurement Method</t>
  </si>
  <si>
    <t>Hydraulics</t>
  </si>
  <si>
    <t>Floodplain Connectivity</t>
  </si>
  <si>
    <t>Bank Height Ratio</t>
  </si>
  <si>
    <t>Entrenchment Ratio</t>
  </si>
  <si>
    <t>C</t>
  </si>
  <si>
    <t>E</t>
  </si>
  <si>
    <t>B</t>
  </si>
  <si>
    <t>Bc</t>
  </si>
  <si>
    <t>Entrenchment Ratio (ER) C and E Streams</t>
  </si>
  <si>
    <t>Field Value</t>
  </si>
  <si>
    <t>Index Value</t>
  </si>
  <si>
    <t>Drainage Area (sqmi):</t>
  </si>
  <si>
    <t>Roll Up Scoring</t>
  </si>
  <si>
    <t>Parameter</t>
  </si>
  <si>
    <t>Category</t>
  </si>
  <si>
    <t>A</t>
  </si>
  <si>
    <t>Sand</t>
  </si>
  <si>
    <t>Gravel</t>
  </si>
  <si>
    <t>LWD Index</t>
  </si>
  <si>
    <t>Geomorphology</t>
  </si>
  <si>
    <t>Large Woody Debris</t>
  </si>
  <si>
    <t>Ephemeral</t>
  </si>
  <si>
    <t>L/VL</t>
  </si>
  <si>
    <t>L/L</t>
  </si>
  <si>
    <t>L/M</t>
  </si>
  <si>
    <t>L/H</t>
  </si>
  <si>
    <t>L/VH</t>
  </si>
  <si>
    <t>M/VL</t>
  </si>
  <si>
    <t>M/L</t>
  </si>
  <si>
    <t>M/M</t>
  </si>
  <si>
    <t>M/H</t>
  </si>
  <si>
    <t>L/Ex</t>
  </si>
  <si>
    <t>H/L</t>
  </si>
  <si>
    <t>H/M</t>
  </si>
  <si>
    <t>H/H</t>
  </si>
  <si>
    <t>VH/VL</t>
  </si>
  <si>
    <t>Ex/VL</t>
  </si>
  <si>
    <t>H/Ex</t>
  </si>
  <si>
    <t>Ex/M</t>
  </si>
  <si>
    <t>Ex/H</t>
  </si>
  <si>
    <t>Ex/VH</t>
  </si>
  <si>
    <t>VH/VH</t>
  </si>
  <si>
    <t>Ex/Ex</t>
  </si>
  <si>
    <t>Dominant BEHI/NBS</t>
  </si>
  <si>
    <t>Riparian Vegetation</t>
  </si>
  <si>
    <t>Bed Form Diversity</t>
  </si>
  <si>
    <t>Pool Spacing Ratio</t>
  </si>
  <si>
    <t>Pool Depth Ratio</t>
  </si>
  <si>
    <t>Sinuosity</t>
  </si>
  <si>
    <t>Plan Form</t>
  </si>
  <si>
    <t>EXISTING CONDITION ASSESSMENT</t>
  </si>
  <si>
    <t>Physicochemical</t>
  </si>
  <si>
    <t>Biology</t>
  </si>
  <si>
    <t>Hydrology</t>
  </si>
  <si>
    <t>Yes</t>
  </si>
  <si>
    <t>No</t>
  </si>
  <si>
    <t>Mitigation</t>
  </si>
  <si>
    <t>TMDL</t>
  </si>
  <si>
    <t>Grant</t>
  </si>
  <si>
    <t>Other</t>
  </si>
  <si>
    <t>Programmatic Goals</t>
  </si>
  <si>
    <t>Fish</t>
  </si>
  <si>
    <t>Erosion Rate (ft/yr)</t>
  </si>
  <si>
    <t>Nitrogen</t>
  </si>
  <si>
    <t>Phosphorus</t>
  </si>
  <si>
    <t>F</t>
  </si>
  <si>
    <t>G</t>
  </si>
  <si>
    <t>Catchment Hydrology</t>
  </si>
  <si>
    <t>Percent Streambank Erosion (%)</t>
  </si>
  <si>
    <t>Bacteria</t>
  </si>
  <si>
    <t>Gc</t>
  </si>
  <si>
    <t>Entrenchment Ratio (ER) A, B and Bc Streams</t>
  </si>
  <si>
    <t>M/Ex</t>
  </si>
  <si>
    <t>M/VH</t>
  </si>
  <si>
    <t>H/VL</t>
  </si>
  <si>
    <t>H/VH</t>
  </si>
  <si>
    <t>VH/L</t>
  </si>
  <si>
    <t>VH/M</t>
  </si>
  <si>
    <t>VH/H</t>
  </si>
  <si>
    <t>VH/Ex</t>
  </si>
  <si>
    <t>Ex/L</t>
  </si>
  <si>
    <t>Reach ID:</t>
  </si>
  <si>
    <t>Existing Stream Type:</t>
  </si>
  <si>
    <t>Bed Material Characterization</t>
  </si>
  <si>
    <t>a</t>
  </si>
  <si>
    <t>b</t>
  </si>
  <si>
    <t>NF</t>
  </si>
  <si>
    <t>c</t>
  </si>
  <si>
    <t>d</t>
  </si>
  <si>
    <t>NF &amp; FAR</t>
  </si>
  <si>
    <t>Data Collection Season:</t>
  </si>
  <si>
    <t>P</t>
  </si>
  <si>
    <t>FAR&amp; NF</t>
  </si>
  <si>
    <t>Reach Runoff</t>
  </si>
  <si>
    <t>Sandy</t>
  </si>
  <si>
    <t>Clayey</t>
  </si>
  <si>
    <t>Silty</t>
  </si>
  <si>
    <t>Version Last Updated</t>
  </si>
  <si>
    <t>Size Class Pebble Count Analyzer (p-value)</t>
  </si>
  <si>
    <t>Existing and Proposed Stream Types</t>
  </si>
  <si>
    <t>Proposed Bed Material</t>
  </si>
  <si>
    <t>Flow Type</t>
  </si>
  <si>
    <t>BEHI/NBS Scores</t>
  </si>
  <si>
    <t>Bioregion</t>
  </si>
  <si>
    <t>Yes/No</t>
  </si>
  <si>
    <t>Overall Watershed Condition</t>
  </si>
  <si>
    <t>Data Collection Season</t>
  </si>
  <si>
    <t>Riparian Soil Texture</t>
  </si>
  <si>
    <t>65abei</t>
  </si>
  <si>
    <t>65j</t>
  </si>
  <si>
    <t>68a</t>
  </si>
  <si>
    <t>68b</t>
  </si>
  <si>
    <t>69de</t>
  </si>
  <si>
    <t>71e</t>
  </si>
  <si>
    <t>71i</t>
  </si>
  <si>
    <t>73ab</t>
  </si>
  <si>
    <t>74a</t>
  </si>
  <si>
    <t>74b</t>
  </si>
  <si>
    <t>January - June</t>
  </si>
  <si>
    <t>July - December</t>
  </si>
  <si>
    <t xml:space="preserve">TMI </t>
  </si>
  <si>
    <t>Stormwater Infiltration</t>
  </si>
  <si>
    <t>65abei, 65j, 66deik, 66fgj, 68a, 69de, 74b
67fghi, DA &lt;= 2 sq.mi.
68cd, Jan - June</t>
  </si>
  <si>
    <t>67fghi, DA &gt; 2 sq.mi.
68cd, July - Dec
71fgh, DA &gt; 2 sq.mi.
73ab</t>
  </si>
  <si>
    <t>68b, DA &gt; 2sq.mi.
71e
71i, DA &gt; 2sq.mi.</t>
  </si>
  <si>
    <t>71fgh, DA &lt;= 2 sq.mi.
71i, DA &lt;= 2sq.mi.
74a, DA &gt; 2 sq.mi.</t>
  </si>
  <si>
    <t>Coefficients - Y = a * X^2 + b * X + C</t>
  </si>
  <si>
    <t>Bioregion 73a or 73b - TMI &lt; 22</t>
  </si>
  <si>
    <t>Bioregion 73a or 73b - TMI &gt;= 22</t>
  </si>
  <si>
    <t>All other Bioregions - TMI &lt; 32</t>
  </si>
  <si>
    <t>All other Bioregions - TMI &gt;= 32</t>
  </si>
  <si>
    <t>Coefficients - Y = a * X + b</t>
  </si>
  <si>
    <t>Percent Clingers - Plot 1</t>
  </si>
  <si>
    <t>74b, DA &lt;= 2 sq.mi.</t>
  </si>
  <si>
    <t>65abei, DA &lt;= 2 sq.mi.</t>
  </si>
  <si>
    <t>74a, Jan-June, DA &gt; 2 sq.mi.
71i, DA &gt; 2 sq.mi., SQBANK</t>
  </si>
  <si>
    <t>65abei and 74b, DA&gt; 2 sq.mi.</t>
  </si>
  <si>
    <t>68b, DA &gt; 2 sq.mi.</t>
  </si>
  <si>
    <t>Coefficients - Y = a * X^2 + b * X + c</t>
  </si>
  <si>
    <t>Percent Clingers - Plot 2</t>
  </si>
  <si>
    <t>71i, DA &lt;= 2 sq.mi.
68cd, Jan - June</t>
  </si>
  <si>
    <t>68cd, July - Dec
68a, Jan - June</t>
  </si>
  <si>
    <t>71i, DA &gt; 2 sq.mi., SQKICK
67fghi, DA &lt;= 2 sq.mi.
65j</t>
  </si>
  <si>
    <t>67fghi, DA &gt; 2sq.mi.
69de
74a, July-Dec, DA &gt; 2 sq.mi.</t>
  </si>
  <si>
    <t>66deik, 71e, 71fgh</t>
  </si>
  <si>
    <t>66fgj
68a, July - Dec</t>
  </si>
  <si>
    <t>Macro Collection Method:</t>
  </si>
  <si>
    <t>Macro Collection Method</t>
  </si>
  <si>
    <t>SQKICK</t>
  </si>
  <si>
    <t>SQBANK</t>
  </si>
  <si>
    <t>Percent EPT-Cheum - Plot 1</t>
  </si>
  <si>
    <t>74a, Jan-June, DA &gt; 2 sq.mi.</t>
  </si>
  <si>
    <t>71i, DA &gt; 2 sq.mi., SQBANK</t>
  </si>
  <si>
    <t>65abei and 74b, DA&gt; 2 sq.mi.
71i, DA &gt; 2 sq.mi., SQKICK</t>
  </si>
  <si>
    <t>65abei, DA &lt;= 2 sq.mi.
68cd, July - Dec
71e</t>
  </si>
  <si>
    <t>65j, 67fghi
71i, DA &lt;= 2 sq.mi.
74a, July-Dec, DA &gt; 2 sq.mi.</t>
  </si>
  <si>
    <t>68a
68b, DA &gt; 2 sq.mi.
71fgh, DA &gt; 2 sq.mi.</t>
  </si>
  <si>
    <t>66fgj
71fgh, DA &lt;= 2 sq.mi.</t>
  </si>
  <si>
    <t>66deik
68cd, Jan - June
69de, July - Dec</t>
  </si>
  <si>
    <t>69de, Jan - June</t>
  </si>
  <si>
    <t>Percent EPT-Cheum - Plot 2</t>
  </si>
  <si>
    <t>67fghi, 71e, 73ab
71fgh, DA &gt; 2 sq.mi.</t>
  </si>
  <si>
    <t>66deik, 66fgj, 68a, 68cd
69de, July - Dec
71i, DA &lt;= 2 sq.mi.
71i, DA &gt; 2sq.mi., SQBANK
74a, July - Dec, DA &gt; 2 sq.mi.</t>
  </si>
  <si>
    <t>69de, Jan - June
71i, DA &gt; 2 sq.mi., SQKICK</t>
  </si>
  <si>
    <t>65j
68b, DA &gt; 2 sq.mi.</t>
  </si>
  <si>
    <t>Percent OC - Plot 1</t>
  </si>
  <si>
    <t>Percent OC - Plot 2</t>
  </si>
  <si>
    <t>65abei, DA &lt;= 2 sq.mi.
71fgh, DA &lt;= 2 sq.mi.</t>
  </si>
  <si>
    <t>FAR</t>
  </si>
  <si>
    <t>Aggradation Ratio</t>
  </si>
  <si>
    <t>Native Fish Score Index</t>
  </si>
  <si>
    <t>E. Coli (cfu/100mL)</t>
  </si>
  <si>
    <t xml:space="preserve">66deg &gt; 2.5 </t>
  </si>
  <si>
    <t xml:space="preserve">68b &gt; 2.5 </t>
  </si>
  <si>
    <t xml:space="preserve">68ac &gt; 2.5 </t>
  </si>
  <si>
    <t xml:space="preserve">67fhi &gt; 2.5 </t>
  </si>
  <si>
    <t xml:space="preserve">65j &gt; 2.5 </t>
  </si>
  <si>
    <t xml:space="preserve">69de &gt; 2.5 </t>
  </si>
  <si>
    <t xml:space="preserve">71e &gt; 2.5 </t>
  </si>
  <si>
    <t xml:space="preserve">66f &gt; 2.5 </t>
  </si>
  <si>
    <t xml:space="preserve">67g &gt; 2.5 </t>
  </si>
  <si>
    <t xml:space="preserve">74b &gt; 2.5 </t>
  </si>
  <si>
    <t>Functioning 67g &amp; 74b</t>
  </si>
  <si>
    <t xml:space="preserve">71hi &gt; 2.5 </t>
  </si>
  <si>
    <t xml:space="preserve">73a &gt; 2.5 </t>
  </si>
  <si>
    <t xml:space="preserve">74a &gt; 2.5 </t>
  </si>
  <si>
    <t>Functioning</t>
  </si>
  <si>
    <t>66ik</t>
  </si>
  <si>
    <t>66g</t>
  </si>
  <si>
    <t>66j</t>
  </si>
  <si>
    <t>66f</t>
  </si>
  <si>
    <t>67g</t>
  </si>
  <si>
    <t>67fhi</t>
  </si>
  <si>
    <t>68d</t>
  </si>
  <si>
    <t>68c</t>
  </si>
  <si>
    <t>71h</t>
  </si>
  <si>
    <t>73b</t>
  </si>
  <si>
    <t>73a</t>
  </si>
  <si>
    <t xml:space="preserve">71fg &gt; 2.5, NF </t>
  </si>
  <si>
    <t xml:space="preserve">71fg &gt; 2.5, FAR </t>
  </si>
  <si>
    <t>66deg / DA &lt;= 2.5</t>
  </si>
  <si>
    <t>67fhi / DA &lt;= 2.5</t>
  </si>
  <si>
    <t xml:space="preserve">65abei &gt; 2.5 </t>
  </si>
  <si>
    <t>69de / DA &lt;= 2.5</t>
  </si>
  <si>
    <t>68ac / DA &lt;= 2.5</t>
  </si>
  <si>
    <t>71fg / DA &lt;= 2.5</t>
  </si>
  <si>
    <t>68b / DA &lt;= 2.5</t>
  </si>
  <si>
    <t xml:space="preserve">69de, 68ac, 71fg </t>
  </si>
  <si>
    <t>71e / DA &lt;= 2.5</t>
  </si>
  <si>
    <t>67g / DA &lt;= 2.5</t>
  </si>
  <si>
    <t>65j / DA &lt;= 2.5</t>
  </si>
  <si>
    <t>66f / DA &lt;= 2.5</t>
  </si>
  <si>
    <t>71hi / DA &lt;= 2.5</t>
  </si>
  <si>
    <t>74b / DA &lt;= 2.5</t>
  </si>
  <si>
    <t>74a / DA &lt;= 2.5</t>
  </si>
  <si>
    <t>73a / DA &lt;= 2.5</t>
  </si>
  <si>
    <t xml:space="preserve">69de / DA &lt;=2.5 </t>
  </si>
  <si>
    <t xml:space="preserve">65abei / DA &lt;=2.5 </t>
  </si>
  <si>
    <t xml:space="preserve">65j / DA &lt;=2.5 </t>
  </si>
  <si>
    <t xml:space="preserve">68c / DA &lt;=2.5 </t>
  </si>
  <si>
    <t xml:space="preserve">68a / DA &lt;=2.5 </t>
  </si>
  <si>
    <t xml:space="preserve">71f / DA &lt;=2.5 </t>
  </si>
  <si>
    <t xml:space="preserve">74a / DA &lt;=2.5 </t>
  </si>
  <si>
    <t xml:space="preserve">74a / DA &gt; 2.5 </t>
  </si>
  <si>
    <t xml:space="preserve">67fghi / DA &lt;=2.5 </t>
  </si>
  <si>
    <t xml:space="preserve">73a / DA &lt;=2.5 </t>
  </si>
  <si>
    <t xml:space="preserve">66d / DA &lt;=2.5 </t>
  </si>
  <si>
    <t xml:space="preserve">71ghi / DA &lt;=2.5 </t>
  </si>
  <si>
    <t xml:space="preserve">74b / DA &lt;=2.5 </t>
  </si>
  <si>
    <t xml:space="preserve">71e / DA &lt;=2.5 </t>
  </si>
  <si>
    <t>% Nutrient Tolerant Macros</t>
  </si>
  <si>
    <t>71f</t>
  </si>
  <si>
    <t>71g</t>
  </si>
  <si>
    <t>66d</t>
  </si>
  <si>
    <t>66e</t>
  </si>
  <si>
    <t>Total Phosphorus (mg/L)</t>
  </si>
  <si>
    <t>Nitrate-Nitrite (mg/L)</t>
  </si>
  <si>
    <t xml:space="preserve">73a / DA &gt; 2.5 </t>
  </si>
  <si>
    <t xml:space="preserve">68a / DA &gt; 2.5 </t>
  </si>
  <si>
    <t xml:space="preserve">69de / DA &gt; 2.5 </t>
  </si>
  <si>
    <t xml:space="preserve">71f / DA &gt; 2.5 </t>
  </si>
  <si>
    <t xml:space="preserve">65abei / DA &gt; 2.5 </t>
  </si>
  <si>
    <t xml:space="preserve">65j / DA &gt; 2.5 </t>
  </si>
  <si>
    <t xml:space="preserve">68c / DA &gt; 2.5 </t>
  </si>
  <si>
    <t xml:space="preserve">67fghi / DA &gt; 2.5 </t>
  </si>
  <si>
    <t xml:space="preserve">74b / DA &gt; 2.5 </t>
  </si>
  <si>
    <t xml:space="preserve">66d / DA &gt; 2.5 </t>
  </si>
  <si>
    <t xml:space="preserve">71ghi / DA &gt; 2.5 </t>
  </si>
  <si>
    <t xml:space="preserve">71e / DA &gt; 2.5 </t>
  </si>
  <si>
    <t>66efg</t>
  </si>
  <si>
    <t>Rising Limb</t>
  </si>
  <si>
    <t>Falling Limb</t>
  </si>
  <si>
    <t xml:space="preserve">Aggradation Ratio </t>
  </si>
  <si>
    <t>Sinuosity for Unconfined Alluvial Valleys</t>
  </si>
  <si>
    <t>Sinuosity for Confined Alluvial Valleys</t>
  </si>
  <si>
    <t>Sinuosity for Colluvial Valleys</t>
  </si>
  <si>
    <t>Valley Type:</t>
  </si>
  <si>
    <t>Valley Type</t>
  </si>
  <si>
    <t>Unconfined Alluvial</t>
  </si>
  <si>
    <t>Confined Alluvial</t>
  </si>
  <si>
    <t>Colluvial</t>
  </si>
  <si>
    <t>Coefficients - Y = a * X^3 + b * X^2 + c * X + d</t>
  </si>
  <si>
    <t># LWD Pieces</t>
  </si>
  <si>
    <t># Pieces</t>
  </si>
  <si>
    <t>The Tennessee Stream Quantification Tool Credits:</t>
  </si>
  <si>
    <t>Contributing Agencies:</t>
  </si>
  <si>
    <t>U.S. Environmental Protection Agency</t>
  </si>
  <si>
    <t>Contractors:</t>
  </si>
  <si>
    <t xml:space="preserve">Ecosystem Planning and Restoration (EPR) </t>
  </si>
  <si>
    <t xml:space="preserve">Stream Mechanics </t>
  </si>
  <si>
    <t>U.S. Army Corps of Engineers</t>
  </si>
  <si>
    <r>
      <rPr>
        <b/>
        <sz val="11"/>
        <color theme="1"/>
        <rFont val="Calibri"/>
        <family val="2"/>
        <scheme val="minor"/>
      </rPr>
      <t>Lead Agency:</t>
    </r>
    <r>
      <rPr>
        <sz val="11"/>
        <color theme="1"/>
        <rFont val="Calibri"/>
        <family val="2"/>
        <scheme val="minor"/>
      </rPr>
      <t xml:space="preserve"> Tennessee Department of Environment and Conservation (TDEC)</t>
    </r>
  </si>
  <si>
    <t>Sinuosity for E5 Streams in Unconfined Alluvial Valleys</t>
  </si>
  <si>
    <t>Tennessee Interagency Review Team</t>
  </si>
  <si>
    <t>Tennessee Macroinvertebrate Index</t>
  </si>
  <si>
    <t>Catch per Unit Effort Score</t>
  </si>
  <si>
    <t>Large Woody Debris Index</t>
  </si>
  <si>
    <t>Percent Riffle (%)</t>
  </si>
  <si>
    <t>Percent Clingers (%)</t>
  </si>
  <si>
    <t>Percent Oligochaeta and Chironomidae (%)</t>
  </si>
  <si>
    <t xml:space="preserve">Buffer Width </t>
  </si>
  <si>
    <t>E. Coli (Cfu/100 mL)</t>
  </si>
  <si>
    <t>Percent EPT - Cheumatopsyche (%)</t>
  </si>
  <si>
    <t>Macroinvertebrates</t>
  </si>
  <si>
    <t>Percent Nutrient Tolerant Macroinvertebrates (%)</t>
  </si>
  <si>
    <t>Organic Enrichment</t>
  </si>
  <si>
    <t>Ecoregion:</t>
  </si>
  <si>
    <t>Bedrock</t>
  </si>
  <si>
    <t>Boulders</t>
  </si>
  <si>
    <t>Cobble</t>
  </si>
  <si>
    <t>Silt/Clay</t>
  </si>
  <si>
    <t>Reach Information and Reference Standard Stratification</t>
  </si>
  <si>
    <t>ECS</t>
  </si>
  <si>
    <t>Proposed Length</t>
  </si>
  <si>
    <t>Impact Severity Tier</t>
  </si>
  <si>
    <t>Tier 0</t>
  </si>
  <si>
    <t>Impact Severity Tiers</t>
  </si>
  <si>
    <t>Impact Factors</t>
  </si>
  <si>
    <t>Percent Functional Loss</t>
  </si>
  <si>
    <t>Tier 1</t>
  </si>
  <si>
    <t>Tier 2</t>
  </si>
  <si>
    <t>Tier 3</t>
  </si>
  <si>
    <t>Tier 4</t>
  </si>
  <si>
    <t>Tier 5</t>
  </si>
  <si>
    <t>Tier 6</t>
  </si>
  <si>
    <t>Reach ID</t>
  </si>
  <si>
    <t>Users select values from a pull-down menu</t>
  </si>
  <si>
    <t>Users Input Values</t>
  </si>
  <si>
    <t>All Other regions</t>
  </si>
  <si>
    <t>Watershed Land Use Runoff Score</t>
  </si>
  <si>
    <t>Left - Average Diameter at Breast Height (DBH; in)</t>
  </si>
  <si>
    <t>Right - Average DBH (in)</t>
  </si>
  <si>
    <t>Left - Buffer Width (feet)</t>
  </si>
  <si>
    <t>Right - Buffer Width (feet)</t>
  </si>
  <si>
    <t>Left - Tree Density (#/acre)</t>
  </si>
  <si>
    <t>Right - Tree Density (#/acre)</t>
  </si>
  <si>
    <t>Left - Native Herbaceous Cover (%)</t>
  </si>
  <si>
    <t>Right - Native Herbaceous Cover (%)</t>
  </si>
  <si>
    <t>Left - Native Shrub Cover (%)</t>
  </si>
  <si>
    <t>Right - Native Shrub Cover (%)</t>
  </si>
  <si>
    <t>Average DBH</t>
  </si>
  <si>
    <t xml:space="preserve">Coefficients - Y = a * X + b </t>
  </si>
  <si>
    <t>Tree Density</t>
  </si>
  <si>
    <t>Pool Spacing Ratio for Slope &lt;= 2%</t>
  </si>
  <si>
    <t>Pool Spacing Ratio for Slopes &gt; 2%</t>
  </si>
  <si>
    <t xml:space="preserve">Pool Depth Ratio </t>
  </si>
  <si>
    <t>Percent Riffle for Ecoregion 67</t>
  </si>
  <si>
    <t>Percent Riffle for Ecoregions 71, 68, &amp; 69</t>
  </si>
  <si>
    <t>Percent Riffle for Ecoregion 66</t>
  </si>
  <si>
    <t>Percent Riffle for Ecoregions 73, 74 &amp; 65</t>
  </si>
  <si>
    <t>Nitrate-Nitrite - Plot 1</t>
  </si>
  <si>
    <t>Nitrate-Nitrite- Plot 2</t>
  </si>
  <si>
    <t>Nitrate-Nitrite - Plot 3</t>
  </si>
  <si>
    <t>Nitrate-Nitrite - Plot 4</t>
  </si>
  <si>
    <t>Nitrate-Nitrite - Plot 5</t>
  </si>
  <si>
    <t>Nitrate-Nitrite - Plot 6</t>
  </si>
  <si>
    <t>Nitrate-Nitrite - Plot 7</t>
  </si>
  <si>
    <t>Total Phosphorous - Plot 1</t>
  </si>
  <si>
    <t>Total Phosphorous - Plot 2</t>
  </si>
  <si>
    <t>Total Phosphorous - Plot 3</t>
  </si>
  <si>
    <t>Total Phosphorous - Plot 4</t>
  </si>
  <si>
    <t>Total Phosphorous - Plot 5</t>
  </si>
  <si>
    <t>Total Phosphorous - Plot 6</t>
  </si>
  <si>
    <t>Total Phosphorous - Plot 7</t>
  </si>
  <si>
    <t>Option</t>
  </si>
  <si>
    <t>Percent Armoring (%)</t>
  </si>
  <si>
    <t>Lateral Migration</t>
  </si>
  <si>
    <t>Flow Type:</t>
  </si>
  <si>
    <t>Perennial/Intermittent</t>
  </si>
  <si>
    <t>Summary of Existing Conditions</t>
  </si>
  <si>
    <t>Native Herbaceous Cover</t>
  </si>
  <si>
    <t>Existing Condition Score</t>
  </si>
  <si>
    <t>Proposed Condition Score</t>
  </si>
  <si>
    <t>Change in
Functional Feet</t>
  </si>
  <si>
    <t>Impact 
Description</t>
  </si>
  <si>
    <t>Stream ID 
by Reach</t>
  </si>
  <si>
    <r>
      <rPr>
        <b/>
        <sz val="14"/>
        <color theme="1"/>
        <rFont val="Calibri"/>
        <family val="2"/>
        <scheme val="minor"/>
      </rPr>
      <t>Proposed Impact Factors and Activity Modeling:</t>
    </r>
    <r>
      <rPr>
        <sz val="11"/>
        <color theme="1"/>
        <rFont val="Calibri"/>
        <family val="2"/>
        <scheme val="minor"/>
      </rPr>
      <t xml:space="preserve"> 
The graph below represents combined data from modeling individual activities and the impact these actions have on stream resources. The table has established tiers, percent functional loss and the impact factors used to determine debits. The Impact Factors were developed from linear regression equations of modeled impact scenarios using a simplified version of the SQT. Each impact type was described in detail and evaluated for stream functional loss by the proposed activities. Using a simplified SQT, an individual impact factor was developed for each impact type.  These types were grouped based on % functional loss  (in clusters) and graphed in "tiers". A trendline was drawn and the slope of that line became the combined impact factor representing all activities within a given tier.</t>
    </r>
  </si>
  <si>
    <t>Quick steps to determine total debits</t>
  </si>
  <si>
    <t>Existing Stream Length</t>
  </si>
  <si>
    <t>DEBIT TOOL TABLE</t>
  </si>
  <si>
    <t>Total Functional Loss (Debits in FF):</t>
  </si>
  <si>
    <t>Reference Stream Type:</t>
  </si>
  <si>
    <t>Native Shrub Cover</t>
  </si>
  <si>
    <t>Upstream Latitude:</t>
  </si>
  <si>
    <t>Upstream Longitude:</t>
  </si>
  <si>
    <t>Downstream Latitude:</t>
  </si>
  <si>
    <t>Downstream Longitude:</t>
  </si>
  <si>
    <t>Existing Bed Material:</t>
  </si>
  <si>
    <t>Existing Stream Slope (%):</t>
  </si>
  <si>
    <t>Project Name</t>
  </si>
  <si>
    <t>Applicant</t>
  </si>
  <si>
    <t>Date</t>
  </si>
  <si>
    <t>Project Description</t>
  </si>
  <si>
    <t>Latitude</t>
  </si>
  <si>
    <t>Longitude</t>
  </si>
  <si>
    <t>Stream ID By Reach</t>
  </si>
  <si>
    <t>Impact Description</t>
  </si>
  <si>
    <t>Total Debits
 (FF)</t>
  </si>
  <si>
    <t xml:space="preserve">NOTE: When establishing existing condition scores and/or estimated existing condition scores, the ECS will populate from the condition assessments in the Existing Conditions worksheet to the summary box (left) by Reach ID. There are 10 reach condition assessments on the Existing Conditions worksheet. </t>
  </si>
  <si>
    <r>
      <t xml:space="preserve">1. Determine stream existing length. 
2. Determine proposed stream length. This should be equal to or less than the original stream length and equivalent to the impact length, e.g. culvert  or riprap length. 
3. Determine Impact Severity Tier based on impact descriptions found in the TN Stream Mitigation Guidelines. 
4. Select option 1, 2, or 3 and establish an existing condition score (ECS). 
5. If taking the standard score, the ECS is </t>
    </r>
    <r>
      <rPr>
        <b/>
        <sz val="11"/>
        <color theme="1"/>
        <rFont val="Calibri"/>
        <family val="2"/>
        <scheme val="minor"/>
      </rPr>
      <t>0.8 for intermittent and perennial</t>
    </r>
    <r>
      <rPr>
        <sz val="11"/>
        <color theme="1"/>
        <rFont val="Calibri"/>
        <family val="2"/>
        <scheme val="minor"/>
      </rPr>
      <t xml:space="preserve"> systems and</t>
    </r>
    <r>
      <rPr>
        <b/>
        <sz val="11"/>
        <color theme="1"/>
        <rFont val="Calibri"/>
        <family val="2"/>
        <scheme val="minor"/>
      </rPr>
      <t xml:space="preserve"> 0.32 for ephemeral systems.</t>
    </r>
    <r>
      <rPr>
        <sz val="11"/>
        <color theme="1"/>
        <rFont val="Calibri"/>
        <family val="2"/>
        <scheme val="minor"/>
      </rPr>
      <t xml:space="preserve">
6. If determining existing condition, fill in the worksheets on the Existing Conditions tab. 
7. Directions to determine existing condition are in the Rapid Data Collection Methods manual. See Appendix (C) of Stream Mitigation Guidelines.
8. When determining existing conditions, an overall ECS for each reach will be automatically populated in the Summary table (left).
9. Use the ECS from the summary table to enter an Existing Condition Score in the above Debit Tool Table in the row with the corresponding Stream ID and  impact.
10. Your proposed condition score (PCS) will auto-populate based 
on the ECS and your selected Impact Severity Tier.
11. Each impact type should be entered seperately, e.g. culverts vs riprap vs stream length loss.
12. There may be multiple types of impacts on a single stream reach.
13. There may be multiple reaches on a single impacted stream.
14. The table will total the amount of debits based on functional losses and totaled as a loss of functional feet.
15. Please note applicants must submit Rapid Assessment Methods data sheets in support of an ECS if a number other than the Standard ECS is used. See Appendix (C) of Stream Mitigation Guidelines.</t>
    </r>
  </si>
  <si>
    <r>
      <t xml:space="preserve">Project ID/Permit Number(s) 
</t>
    </r>
    <r>
      <rPr>
        <b/>
        <sz val="11"/>
        <color theme="1"/>
        <rFont val="Calibri"/>
        <family val="2"/>
        <scheme val="minor"/>
      </rPr>
      <t>(optional)</t>
    </r>
  </si>
  <si>
    <t xml:space="preserve">Project ID/ 
Permit Number:    </t>
  </si>
  <si>
    <t xml:space="preserve">Tennessee SQT Debit Tool (Draft) </t>
  </si>
  <si>
    <t>ETW/ONRW:</t>
  </si>
  <si>
    <t>Large Woody Debris Index (LWDI)</t>
  </si>
  <si>
    <t>Streambank Armoring (%)</t>
  </si>
  <si>
    <t>Left - Average Diameter at Breast Height (DBH)</t>
  </si>
  <si>
    <t>Right - Average DBH</t>
  </si>
  <si>
    <t>Left Buffer Width (feet)</t>
  </si>
  <si>
    <t>Right Buffer Width (feet)</t>
  </si>
  <si>
    <t>Left  - Native Herbaceous Cover (%)</t>
  </si>
  <si>
    <t>Right  - Native Herbaceous Cover (%)</t>
  </si>
  <si>
    <t>Bedform Diversity</t>
  </si>
  <si>
    <t>Pool-Pool Spacing Ratio</t>
  </si>
  <si>
    <t>E. Coli  (Cfu/100 ml)</t>
  </si>
  <si>
    <t>Tennessee Macroinvertebrate Index (TMI)</t>
  </si>
  <si>
    <t>Included in Rapid Assessment</t>
  </si>
  <si>
    <t>YES</t>
  </si>
  <si>
    <t>NO</t>
  </si>
  <si>
    <t>Perennial &amp; Intermittent</t>
  </si>
  <si>
    <t>CONSULT WITH TDEC NATURAL RESOURCES UNIT IN THE DIVISION OF WATER</t>
  </si>
  <si>
    <t>ONLY FOR NON BEDROCK DOMINATED CHANNELS</t>
  </si>
  <si>
    <t>MEASUREMENT METHOD SELECTION GUIDE FOR DETERMINING 
EXISTING CONDITION SCORES WITH THE TN DEBIT TOOL</t>
  </si>
  <si>
    <t>The following table is provided to assist applicants in highlighting the potential measurement methods than can be assessed to yield an Existing Condition Score by stream reach. Applicants are never required to measure any stream condition, but may elect to measure parameters in an attempt to lower the Existing Condition Score for a particular stream reach. Measurement methods are assessed for each impacted stream.The measurement methods included here are automatically scored in the Existing Conditions worksheet of this workbook. If you are measuring stream parameters, input into the field value cells for that particular measurement method are required to affect the Existing Condition Score. Details on the recommended assessment techniques can be found on the TDEC website for compensatory mitigation in the Rapid Assessment Methods Manual.</t>
  </si>
  <si>
    <t xml:space="preserve">YES </t>
  </si>
  <si>
    <t>66, 65, 74, &amp; 73</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</si>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</sst>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
    <numFmt numFmtId="166" formatCode="0.000000"/>
    <numFmt numFmtId="167" formatCode="m/d/yy;@"/>
  </numFmts>
  <fonts count="17" x14ac:knownFonts="1">
    <font>
      <sz val="11"/>
      <color theme="1"/>
      <name val="Calibri"/>
      <family val="2"/>
      <scheme val="minor"/>
    </font>
    <font>
      <b/>
      <sz val="11"/>
      <color theme="1"/>
      <name val="Calibri"/>
      <family val="2"/>
      <scheme val="minor"/>
    </font>
    <font>
      <sz val="10"/>
      <name val="Arial"/>
      <family val="2"/>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sz val="9"/>
      <color indexed="81"/>
      <name val="Tahoma"/>
      <family val="2"/>
    </font>
    <font>
      <sz val="11"/>
      <name val="Calibri"/>
      <family val="2"/>
      <scheme val="minor"/>
    </font>
    <font>
      <b/>
      <sz val="11"/>
      <name val="Calibri"/>
      <family val="2"/>
      <scheme val="minor"/>
    </font>
    <font>
      <sz val="16"/>
      <color theme="1"/>
      <name val="Calibri"/>
      <family val="2"/>
      <scheme val="minor"/>
    </font>
    <font>
      <b/>
      <sz val="18"/>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5"/>
      </patternFill>
    </fill>
    <fill>
      <patternFill patternType="solid">
        <fgColor theme="3"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4">
    <xf numFmtId="0" fontId="0" fillId="0" borderId="0"/>
    <xf numFmtId="0" fontId="2" fillId="0" borderId="0"/>
    <xf numFmtId="0" fontId="8" fillId="8" borderId="0" applyNumberFormat="0" applyBorder="0" applyAlignment="0" applyProtection="0"/>
    <xf numFmtId="9" fontId="8" fillId="0" borderId="0" applyFont="0" applyFill="0" applyBorder="0" applyAlignment="0" applyProtection="0"/>
  </cellStyleXfs>
  <cellXfs count="364">
    <xf numFmtId="0" fontId="0" fillId="0" borderId="0" xfId="0"/>
    <xf numFmtId="0" fontId="0" fillId="0" borderId="0" xfId="0" applyAlignment="1">
      <alignment vertical="center" wrapText="1"/>
    </xf>
    <xf numFmtId="0" fontId="0" fillId="0" borderId="0" xfId="0" applyAlignment="1">
      <alignment horizontal="center"/>
    </xf>
    <xf numFmtId="0" fontId="1" fillId="0" borderId="0" xfId="0" applyFont="1"/>
    <xf numFmtId="0" fontId="0" fillId="0" borderId="0" xfId="0" applyAlignment="1">
      <alignment vertical="center"/>
    </xf>
    <xf numFmtId="2" fontId="0" fillId="0" borderId="0" xfId="0" applyNumberFormat="1"/>
    <xf numFmtId="0" fontId="4" fillId="0" borderId="1" xfId="0" applyFont="1" applyBorder="1"/>
    <xf numFmtId="0" fontId="4" fillId="2" borderId="1" xfId="0" applyFont="1" applyFill="1" applyBorder="1" applyAlignment="1" applyProtection="1">
      <alignment horizontal="center"/>
      <protection locked="0"/>
    </xf>
    <xf numFmtId="0" fontId="5" fillId="0" borderId="1" xfId="0" applyFont="1" applyBorder="1" applyAlignment="1">
      <alignment horizontal="center"/>
    </xf>
    <xf numFmtId="0" fontId="4" fillId="3" borderId="0" xfId="0" applyFont="1" applyFill="1"/>
    <xf numFmtId="0" fontId="4" fillId="2" borderId="11" xfId="0" applyFont="1" applyFill="1" applyBorder="1" applyAlignment="1" applyProtection="1">
      <alignment horizontal="center"/>
      <protection locked="0"/>
    </xf>
    <xf numFmtId="0" fontId="4" fillId="4" borderId="0" xfId="0" applyFont="1" applyFill="1"/>
    <xf numFmtId="0" fontId="4" fillId="5" borderId="1" xfId="0" applyFont="1" applyFill="1" applyBorder="1" applyAlignment="1">
      <alignment horizontal="left" vertical="center"/>
    </xf>
    <xf numFmtId="0" fontId="4" fillId="5" borderId="0" xfId="0" applyFont="1" applyFill="1"/>
    <xf numFmtId="0" fontId="6" fillId="5" borderId="0" xfId="0" applyFont="1" applyFill="1"/>
    <xf numFmtId="0" fontId="4" fillId="5" borderId="8" xfId="0" applyFont="1" applyFill="1" applyBorder="1"/>
    <xf numFmtId="0" fontId="4" fillId="2" borderId="15" xfId="0" applyFont="1" applyFill="1" applyBorder="1" applyAlignment="1" applyProtection="1">
      <alignment horizontal="center"/>
      <protection locked="0"/>
    </xf>
    <xf numFmtId="0" fontId="4" fillId="5" borderId="9" xfId="0" applyFont="1" applyFill="1" applyBorder="1"/>
    <xf numFmtId="0" fontId="4" fillId="5" borderId="12" xfId="0" applyFont="1" applyFill="1" applyBorder="1"/>
    <xf numFmtId="0" fontId="4" fillId="5" borderId="15" xfId="0" applyFont="1" applyFill="1" applyBorder="1"/>
    <xf numFmtId="0" fontId="4" fillId="5" borderId="11" xfId="0" applyFont="1" applyFill="1" applyBorder="1"/>
    <xf numFmtId="0" fontId="4" fillId="6" borderId="0" xfId="0" applyFont="1" applyFill="1"/>
    <xf numFmtId="0" fontId="4" fillId="6" borderId="1" xfId="0" applyFont="1" applyFill="1" applyBorder="1" applyAlignment="1">
      <alignment horizontal="left" vertical="center"/>
    </xf>
    <xf numFmtId="0" fontId="4" fillId="6" borderId="5" xfId="0" applyFont="1" applyFill="1" applyBorder="1"/>
    <xf numFmtId="0" fontId="4" fillId="6" borderId="11" xfId="0" applyFont="1" applyFill="1" applyBorder="1"/>
    <xf numFmtId="0" fontId="4" fillId="7" borderId="11" xfId="0" applyFont="1" applyFill="1" applyBorder="1"/>
    <xf numFmtId="0" fontId="4" fillId="5" borderId="4" xfId="0" applyFont="1" applyFill="1" applyBorder="1"/>
    <xf numFmtId="2" fontId="4" fillId="5" borderId="1" xfId="0" applyNumberFormat="1" applyFont="1" applyFill="1" applyBorder="1" applyAlignment="1">
      <alignment horizontal="center"/>
    </xf>
    <xf numFmtId="2" fontId="4" fillId="5" borderId="14" xfId="0" applyNumberFormat="1" applyFont="1" applyFill="1" applyBorder="1" applyAlignment="1">
      <alignment horizontal="center"/>
    </xf>
    <xf numFmtId="2" fontId="4" fillId="6" borderId="2" xfId="0" applyNumberFormat="1" applyFont="1" applyFill="1" applyBorder="1" applyAlignment="1">
      <alignment horizontal="center"/>
    </xf>
    <xf numFmtId="0" fontId="0" fillId="0" borderId="0" xfId="0" applyAlignment="1">
      <alignment horizontal="left"/>
    </xf>
    <xf numFmtId="0" fontId="3" fillId="0" borderId="0" xfId="0" applyFont="1"/>
    <xf numFmtId="0" fontId="0" fillId="0" borderId="15" xfId="0" applyBorder="1"/>
    <xf numFmtId="0" fontId="4" fillId="7" borderId="8" xfId="0" applyFont="1" applyFill="1" applyBorder="1"/>
    <xf numFmtId="0" fontId="4" fillId="7" borderId="15" xfId="0" applyFont="1" applyFill="1" applyBorder="1"/>
    <xf numFmtId="0" fontId="4" fillId="7" borderId="12" xfId="0" applyFont="1" applyFill="1" applyBorder="1"/>
    <xf numFmtId="0" fontId="4" fillId="2" borderId="2" xfId="0" applyFont="1" applyFill="1" applyBorder="1" applyAlignment="1" applyProtection="1">
      <alignment horizontal="center"/>
      <protection locked="0"/>
    </xf>
    <xf numFmtId="0" fontId="5" fillId="0" borderId="6" xfId="0" applyFont="1" applyBorder="1" applyAlignment="1">
      <alignment horizontal="center"/>
    </xf>
    <xf numFmtId="165" fontId="0" fillId="0" borderId="0" xfId="0" applyNumberFormat="1"/>
    <xf numFmtId="0" fontId="4" fillId="9" borderId="1"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7" borderId="9" xfId="0" applyFont="1" applyFill="1" applyBorder="1"/>
    <xf numFmtId="0" fontId="4" fillId="7" borderId="0" xfId="0" applyFont="1" applyFill="1"/>
    <xf numFmtId="1" fontId="4" fillId="0" borderId="0" xfId="0" applyNumberFormat="1" applyFont="1" applyAlignment="1">
      <alignment horizontal="center"/>
    </xf>
    <xf numFmtId="2" fontId="4" fillId="6" borderId="1" xfId="0" applyNumberFormat="1" applyFont="1" applyFill="1" applyBorder="1" applyAlignment="1">
      <alignment horizontal="center" vertical="center"/>
    </xf>
    <xf numFmtId="166" fontId="0" fillId="0" borderId="0" xfId="0" applyNumberFormat="1"/>
    <xf numFmtId="0" fontId="4" fillId="5" borderId="3" xfId="0" applyFont="1" applyFill="1" applyBorder="1" applyAlignment="1">
      <alignment horizontal="left" vertical="center"/>
    </xf>
    <xf numFmtId="0" fontId="0" fillId="0" borderId="0" xfId="0" applyAlignment="1">
      <alignment wrapText="1"/>
    </xf>
    <xf numFmtId="11" fontId="0" fillId="0" borderId="0" xfId="0" quotePrefix="1" applyNumberFormat="1" applyAlignment="1">
      <alignment wrapText="1"/>
    </xf>
    <xf numFmtId="0" fontId="0" fillId="0" borderId="15" xfId="0" applyBorder="1" applyAlignment="1">
      <alignment horizontal="center"/>
    </xf>
    <xf numFmtId="0" fontId="0" fillId="0" borderId="9" xfId="0" applyBorder="1"/>
    <xf numFmtId="0" fontId="0" fillId="0" borderId="10" xfId="0" applyBorder="1"/>
    <xf numFmtId="0" fontId="0" fillId="0" borderId="12" xfId="0" applyBorder="1"/>
    <xf numFmtId="0" fontId="0" fillId="0" borderId="11" xfId="0" applyBorder="1"/>
    <xf numFmtId="0" fontId="0" fillId="0" borderId="13" xfId="0" applyBorder="1"/>
    <xf numFmtId="0" fontId="0" fillId="0" borderId="7" xfId="0" applyBorder="1"/>
    <xf numFmtId="0" fontId="0" fillId="0" borderId="8" xfId="0" applyBorder="1" applyAlignment="1">
      <alignment horizontal="left"/>
    </xf>
    <xf numFmtId="0" fontId="0" fillId="0" borderId="1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5" xfId="0" applyBorder="1" applyAlignment="1">
      <alignment horizontal="left"/>
    </xf>
    <xf numFmtId="0" fontId="0" fillId="0" borderId="15"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0" fontId="4" fillId="2" borderId="13" xfId="0" applyFont="1" applyFill="1" applyBorder="1" applyAlignment="1" applyProtection="1">
      <alignment horizontal="center"/>
      <protection locked="0"/>
    </xf>
    <xf numFmtId="0" fontId="4" fillId="5" borderId="4" xfId="0" applyFont="1" applyFill="1" applyBorder="1" applyAlignment="1">
      <alignment horizontal="left" vertical="center"/>
    </xf>
    <xf numFmtId="0" fontId="4" fillId="5" borderId="6" xfId="0" applyFont="1" applyFill="1" applyBorder="1"/>
    <xf numFmtId="0" fontId="4" fillId="5" borderId="7" xfId="0" applyFont="1" applyFill="1" applyBorder="1"/>
    <xf numFmtId="0" fontId="4" fillId="5" borderId="13" xfId="0" applyFont="1" applyFill="1" applyBorder="1"/>
    <xf numFmtId="2" fontId="0" fillId="0" borderId="0" xfId="2" applyNumberFormat="1" applyFont="1" applyFill="1" applyBorder="1" applyAlignment="1">
      <alignment horizontal="right" vertical="center"/>
    </xf>
    <xf numFmtId="0" fontId="0" fillId="0" borderId="0" xfId="2" applyFont="1" applyFill="1"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xf>
    <xf numFmtId="0" fontId="0" fillId="0" borderId="11" xfId="0" applyBorder="1" applyAlignment="1">
      <alignment horizontal="center"/>
    </xf>
    <xf numFmtId="0" fontId="4" fillId="6" borderId="3" xfId="0" applyFont="1" applyFill="1" applyBorder="1" applyAlignment="1">
      <alignment horizontal="left" vertical="center"/>
    </xf>
    <xf numFmtId="0" fontId="4" fillId="6" borderId="14" xfId="0" applyFont="1" applyFill="1" applyBorder="1" applyAlignment="1">
      <alignment horizontal="left" vertical="center"/>
    </xf>
    <xf numFmtId="0" fontId="0" fillId="0" borderId="0" xfId="2" applyFont="1" applyFill="1" applyBorder="1" applyAlignment="1">
      <alignment horizontal="center" vertical="center"/>
    </xf>
    <xf numFmtId="2" fontId="0" fillId="0" borderId="3" xfId="0" applyNumberFormat="1" applyBorder="1" applyAlignment="1">
      <alignment horizontal="center"/>
    </xf>
    <xf numFmtId="0" fontId="1" fillId="0" borderId="1" xfId="0" applyFont="1" applyBorder="1" applyAlignment="1">
      <alignment horizontal="center" vertical="center" wrapText="1"/>
    </xf>
    <xf numFmtId="0" fontId="9" fillId="0" borderId="0" xfId="0" applyFont="1"/>
    <xf numFmtId="2" fontId="0" fillId="0" borderId="1" xfId="0" applyNumberFormat="1" applyBorder="1" applyAlignment="1">
      <alignment horizontal="center"/>
    </xf>
    <xf numFmtId="0" fontId="0" fillId="10" borderId="1" xfId="0"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0" borderId="10" xfId="2" applyFont="1" applyFill="1" applyBorder="1" applyAlignment="1">
      <alignment horizontal="right" vertical="center"/>
    </xf>
    <xf numFmtId="0" fontId="8" fillId="0" borderId="10" xfId="2" applyFill="1" applyBorder="1" applyAlignment="1">
      <alignment horizontal="right" vertical="center"/>
    </xf>
    <xf numFmtId="0" fontId="5" fillId="0" borderId="0" xfId="0" applyFont="1"/>
    <xf numFmtId="0" fontId="0" fillId="0" borderId="10" xfId="0" applyBorder="1" applyAlignment="1">
      <alignment horizontal="left"/>
    </xf>
    <xf numFmtId="0" fontId="0" fillId="0" borderId="10" xfId="0" applyBorder="1" applyAlignment="1">
      <alignment horizontal="left" vertical="center"/>
    </xf>
    <xf numFmtId="2" fontId="4" fillId="5" borderId="0" xfId="0" applyNumberFormat="1" applyFont="1" applyFill="1" applyAlignment="1">
      <alignment horizontal="center"/>
    </xf>
    <xf numFmtId="0" fontId="3" fillId="0" borderId="10" xfId="0" applyFont="1" applyBorder="1"/>
    <xf numFmtId="0" fontId="4" fillId="3" borderId="2" xfId="0" applyFont="1" applyFill="1" applyBorder="1" applyAlignment="1">
      <alignment horizontal="left" vertical="center"/>
    </xf>
    <xf numFmtId="0" fontId="1" fillId="0" borderId="0" xfId="0" applyFont="1" applyAlignment="1">
      <alignment horizontal="center" vertical="center"/>
    </xf>
    <xf numFmtId="0" fontId="0" fillId="0" borderId="0" xfId="0" applyAlignment="1" applyProtection="1">
      <alignment horizontal="left"/>
      <protection locked="0"/>
    </xf>
    <xf numFmtId="0" fontId="0" fillId="0" borderId="0" xfId="0" applyAlignment="1" applyProtection="1">
      <alignment horizontal="center"/>
      <protection locked="0"/>
    </xf>
    <xf numFmtId="2" fontId="4" fillId="4" borderId="0" xfId="0" applyNumberFormat="1" applyFont="1" applyFill="1" applyAlignment="1">
      <alignment horizontal="center"/>
    </xf>
    <xf numFmtId="2" fontId="4" fillId="5" borderId="2" xfId="0" applyNumberFormat="1" applyFont="1" applyFill="1" applyBorder="1" applyAlignment="1">
      <alignment horizontal="center"/>
    </xf>
    <xf numFmtId="2" fontId="4" fillId="5" borderId="3" xfId="0" applyNumberFormat="1" applyFont="1" applyFill="1" applyBorder="1" applyAlignment="1">
      <alignment horizontal="center"/>
    </xf>
    <xf numFmtId="2" fontId="4" fillId="5" borderId="11" xfId="0" applyNumberFormat="1" applyFont="1" applyFill="1" applyBorder="1" applyAlignment="1">
      <alignment horizontal="center"/>
    </xf>
    <xf numFmtId="2" fontId="7" fillId="5" borderId="2" xfId="0" quotePrefix="1" applyNumberFormat="1" applyFont="1" applyFill="1" applyBorder="1" applyAlignment="1">
      <alignment horizontal="center" vertical="center"/>
    </xf>
    <xf numFmtId="2" fontId="4" fillId="6" borderId="0" xfId="0" applyNumberFormat="1" applyFont="1" applyFill="1" applyAlignment="1">
      <alignment horizontal="center"/>
    </xf>
    <xf numFmtId="2" fontId="4" fillId="6" borderId="5" xfId="0" applyNumberFormat="1" applyFont="1" applyFill="1" applyBorder="1" applyAlignment="1">
      <alignment horizontal="center"/>
    </xf>
    <xf numFmtId="2" fontId="4" fillId="7" borderId="2" xfId="0" applyNumberFormat="1" applyFont="1" applyFill="1" applyBorder="1" applyAlignment="1">
      <alignment horizontal="center"/>
    </xf>
    <xf numFmtId="2" fontId="4" fillId="7" borderId="14" xfId="0" applyNumberFormat="1" applyFont="1" applyFill="1" applyBorder="1" applyAlignment="1">
      <alignment horizontal="center"/>
    </xf>
    <xf numFmtId="2" fontId="4" fillId="7" borderId="3" xfId="0" applyNumberFormat="1" applyFont="1" applyFill="1" applyBorder="1" applyAlignment="1">
      <alignment horizontal="center"/>
    </xf>
    <xf numFmtId="0" fontId="0" fillId="0" borderId="0" xfId="0" applyProtection="1">
      <protection locked="0"/>
    </xf>
    <xf numFmtId="0" fontId="4" fillId="0" borderId="0" xfId="0" applyFont="1" applyAlignment="1">
      <alignment wrapText="1"/>
    </xf>
    <xf numFmtId="0" fontId="1" fillId="0" borderId="0" xfId="0" applyFont="1" applyAlignment="1">
      <alignment wrapText="1"/>
    </xf>
    <xf numFmtId="0" fontId="5" fillId="0" borderId="1" xfId="0" applyFont="1" applyBorder="1" applyAlignment="1">
      <alignment horizontal="center" wrapText="1"/>
    </xf>
    <xf numFmtId="0" fontId="4" fillId="0" borderId="0" xfId="0" applyFont="1"/>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2" fontId="0" fillId="0" borderId="1" xfId="0" applyNumberFormat="1" applyBorder="1" applyAlignment="1" applyProtection="1">
      <alignment horizontal="center"/>
      <protection locked="0"/>
    </xf>
    <xf numFmtId="15" fontId="0" fillId="0" borderId="0" xfId="0" applyNumberFormat="1"/>
    <xf numFmtId="0" fontId="0" fillId="0" borderId="1" xfId="0" applyBorder="1" applyAlignment="1">
      <alignment horizont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164" fontId="0" fillId="0" borderId="22" xfId="0" applyNumberFormat="1" applyBorder="1" applyAlignment="1">
      <alignment horizontal="center"/>
    </xf>
    <xf numFmtId="0" fontId="0" fillId="0" borderId="0" xfId="0" applyAlignment="1">
      <alignment vertical="top"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0" fillId="0" borderId="32" xfId="0" applyBorder="1" applyAlignment="1">
      <alignment horizontal="center"/>
    </xf>
    <xf numFmtId="9" fontId="0" fillId="0" borderId="33" xfId="3" applyFont="1" applyBorder="1" applyAlignment="1">
      <alignment horizontal="center"/>
    </xf>
    <xf numFmtId="0" fontId="0" fillId="0" borderId="21" xfId="0" applyBorder="1" applyAlignment="1">
      <alignment horizontal="center"/>
    </xf>
    <xf numFmtId="9" fontId="0" fillId="0" borderId="22" xfId="3" applyFont="1" applyBorder="1" applyAlignment="1">
      <alignment horizontal="center"/>
    </xf>
    <xf numFmtId="0" fontId="0" fillId="0" borderId="23" xfId="0" applyBorder="1" applyAlignment="1">
      <alignment horizontal="center"/>
    </xf>
    <xf numFmtId="2" fontId="0" fillId="0" borderId="24" xfId="0" applyNumberFormat="1" applyBorder="1" applyAlignment="1">
      <alignment horizontal="center"/>
    </xf>
    <xf numFmtId="9" fontId="0" fillId="0" borderId="25" xfId="3" applyFont="1" applyBorder="1" applyAlignment="1">
      <alignment horizontal="center"/>
    </xf>
    <xf numFmtId="164" fontId="10" fillId="0" borderId="25" xfId="0" applyNumberFormat="1" applyFont="1" applyBorder="1" applyAlignment="1">
      <alignment vertical="center"/>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0" fontId="4" fillId="3" borderId="4" xfId="0" applyFont="1" applyFill="1" applyBorder="1"/>
    <xf numFmtId="0" fontId="4" fillId="3" borderId="5" xfId="0" applyFont="1" applyFill="1" applyBorder="1"/>
    <xf numFmtId="2" fontId="4" fillId="3" borderId="6" xfId="0" applyNumberFormat="1" applyFont="1" applyFill="1" applyBorder="1" applyAlignment="1">
      <alignment horizontal="center"/>
    </xf>
    <xf numFmtId="0" fontId="4" fillId="3" borderId="4" xfId="0" applyFont="1" applyFill="1" applyBorder="1" applyAlignment="1">
      <alignment horizontal="left" vertical="center"/>
    </xf>
    <xf numFmtId="0" fontId="4" fillId="3" borderId="4" xfId="0" applyFont="1" applyFill="1" applyBorder="1" applyAlignment="1">
      <alignment vertical="center"/>
    </xf>
    <xf numFmtId="0" fontId="14" fillId="0" borderId="9" xfId="0" applyFont="1" applyBorder="1"/>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0" fillId="0" borderId="14" xfId="0" applyBorder="1"/>
    <xf numFmtId="0" fontId="0" fillId="0" borderId="9" xfId="0" applyBorder="1" applyAlignment="1">
      <alignment horizontal="center"/>
    </xf>
    <xf numFmtId="0" fontId="0" fillId="0" borderId="12" xfId="0" applyBorder="1" applyAlignment="1">
      <alignment horizontal="center"/>
    </xf>
    <xf numFmtId="0" fontId="0" fillId="0" borderId="9" xfId="0" applyBorder="1" applyAlignment="1">
      <alignment vertical="center" wrapText="1"/>
    </xf>
    <xf numFmtId="0" fontId="1" fillId="0" borderId="1" xfId="0" applyFont="1" applyBorder="1" applyAlignment="1">
      <alignment horizontal="center" vertical="center" textRotation="90"/>
    </xf>
    <xf numFmtId="0" fontId="0" fillId="0" borderId="26" xfId="0" applyBorder="1"/>
    <xf numFmtId="0" fontId="0" fillId="0" borderId="27" xfId="0" applyBorder="1"/>
    <xf numFmtId="0" fontId="10" fillId="0" borderId="34" xfId="0" applyFont="1" applyBorder="1" applyAlignment="1">
      <alignment horizontal="center" vertical="center"/>
    </xf>
    <xf numFmtId="0" fontId="1" fillId="0" borderId="38" xfId="0" applyFont="1" applyBorder="1" applyAlignment="1">
      <alignment horizontal="center"/>
    </xf>
    <xf numFmtId="0" fontId="0" fillId="0" borderId="6" xfId="0" applyBorder="1" applyAlignment="1" applyProtection="1">
      <alignment horizontal="center"/>
      <protection locked="0"/>
    </xf>
    <xf numFmtId="0" fontId="0" fillId="0" borderId="35" xfId="0" applyBorder="1" applyAlignment="1" applyProtection="1">
      <alignment horizontal="center"/>
      <protection locked="0"/>
    </xf>
    <xf numFmtId="167" fontId="1" fillId="0" borderId="36" xfId="0" applyNumberFormat="1" applyFont="1" applyBorder="1" applyAlignment="1" applyProtection="1">
      <alignment horizontal="center"/>
      <protection locked="0"/>
    </xf>
    <xf numFmtId="0" fontId="0" fillId="10" borderId="1" xfId="0" quotePrefix="1" applyFill="1" applyBorder="1" applyAlignment="1" applyProtection="1">
      <alignment horizontal="center"/>
      <protection locked="0"/>
    </xf>
    <xf numFmtId="0" fontId="0" fillId="0" borderId="4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45" xfId="0" applyBorder="1" applyAlignment="1">
      <alignment horizontal="left"/>
    </xf>
    <xf numFmtId="0" fontId="0" fillId="0" borderId="1" xfId="0" applyBorder="1" applyAlignment="1">
      <alignment horizontal="left"/>
    </xf>
    <xf numFmtId="0" fontId="11" fillId="6" borderId="0" xfId="0" applyFont="1" applyFill="1"/>
    <xf numFmtId="14" fontId="11" fillId="6" borderId="0" xfId="0" applyNumberFormat="1" applyFont="1" applyFill="1"/>
    <xf numFmtId="0" fontId="4" fillId="0" borderId="4" xfId="0" applyFont="1" applyBorder="1"/>
    <xf numFmtId="0" fontId="4" fillId="9" borderId="6" xfId="0" applyFont="1" applyFill="1" applyBorder="1" applyAlignment="1" applyProtection="1">
      <alignment horizontal="center"/>
      <protection locked="0"/>
    </xf>
    <xf numFmtId="0" fontId="4" fillId="0" borderId="3" xfId="0" applyFont="1" applyBorder="1"/>
    <xf numFmtId="0" fontId="4" fillId="0" borderId="6" xfId="0" applyFont="1" applyBorder="1"/>
    <xf numFmtId="0" fontId="1" fillId="12" borderId="1" xfId="0" applyFont="1" applyFill="1" applyBorder="1" applyAlignment="1">
      <alignment horizont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horizontal="center"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left" vertical="center" wrapText="1"/>
    </xf>
    <xf numFmtId="0" fontId="0" fillId="6" borderId="1" xfId="0" applyFill="1" applyBorder="1" applyAlignment="1">
      <alignment vertical="center" wrapText="1"/>
    </xf>
    <xf numFmtId="0" fontId="0" fillId="7" borderId="1" xfId="0" applyFill="1" applyBorder="1" applyAlignment="1">
      <alignment horizontal="left" vertical="center" wrapText="1"/>
    </xf>
    <xf numFmtId="0" fontId="0" fillId="7" borderId="1" xfId="0" applyFill="1" applyBorder="1" applyAlignment="1">
      <alignment vertical="center" wrapText="1"/>
    </xf>
    <xf numFmtId="0" fontId="0" fillId="4" borderId="1"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0" fontId="15" fillId="0" borderId="0" xfId="0" applyFont="1"/>
    <xf numFmtId="0" fontId="10" fillId="11" borderId="27" xfId="0" applyFont="1" applyFill="1" applyBorder="1" applyAlignment="1">
      <alignment horizontal="center"/>
    </xf>
    <xf numFmtId="0" fontId="11" fillId="11" borderId="27" xfId="0" applyFont="1" applyFill="1" applyBorder="1" applyAlignment="1">
      <alignment horizontal="center"/>
    </xf>
    <xf numFmtId="0" fontId="10" fillId="0" borderId="35" xfId="0" applyFont="1" applyBorder="1" applyAlignment="1">
      <alignment horizontal="center" wrapText="1"/>
    </xf>
    <xf numFmtId="0" fontId="10" fillId="0" borderId="37" xfId="0" applyFont="1" applyBorder="1" applyAlignment="1">
      <alignment horizontal="center"/>
    </xf>
    <xf numFmtId="0" fontId="10" fillId="0" borderId="36"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0" fillId="0" borderId="16" xfId="0" applyFont="1" applyBorder="1" applyAlignment="1">
      <alignment horizontal="center"/>
    </xf>
    <xf numFmtId="0" fontId="10" fillId="0" borderId="18" xfId="0" applyFont="1" applyBorder="1" applyAlignment="1">
      <alignment horizontal="center"/>
    </xf>
    <xf numFmtId="0" fontId="10" fillId="0" borderId="26" xfId="0" applyFont="1" applyBorder="1" applyAlignment="1">
      <alignment horizontal="center"/>
    </xf>
    <xf numFmtId="0" fontId="10" fillId="0" borderId="28" xfId="0" applyFont="1" applyBorder="1" applyAlignment="1">
      <alignment horizontal="center"/>
    </xf>
    <xf numFmtId="0" fontId="10" fillId="0" borderId="35" xfId="0" applyFont="1" applyBorder="1" applyAlignment="1">
      <alignment horizontal="center"/>
    </xf>
    <xf numFmtId="0" fontId="0" fillId="0" borderId="35"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 xfId="0" applyBorder="1" applyAlignment="1" applyProtection="1">
      <alignment horizontal="center"/>
      <protection locked="0"/>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1" fillId="0" borderId="39" xfId="0" applyFont="1" applyBorder="1" applyAlignment="1">
      <alignment horizontal="center"/>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2" xfId="0" applyBorder="1" applyAlignment="1" applyProtection="1">
      <alignment horizontal="center"/>
      <protection locked="0"/>
    </xf>
    <xf numFmtId="0" fontId="1" fillId="0" borderId="35"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0" fillId="0" borderId="3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44" xfId="0" applyBorder="1" applyAlignment="1" applyProtection="1">
      <alignment horizontal="center"/>
      <protection locked="0"/>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4" fillId="9" borderId="8" xfId="0" applyFont="1" applyFill="1" applyBorder="1" applyAlignment="1">
      <alignment horizontal="center"/>
    </xf>
    <xf numFmtId="0" fontId="4" fillId="9" borderId="15" xfId="0" applyFont="1" applyFill="1" applyBorder="1" applyAlignment="1">
      <alignment horizontal="center"/>
    </xf>
    <xf numFmtId="0" fontId="4" fillId="9" borderId="7" xfId="0" applyFont="1" applyFill="1" applyBorder="1" applyAlignment="1">
      <alignment horizontal="center"/>
    </xf>
    <xf numFmtId="0" fontId="4" fillId="10" borderId="4"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6" xfId="0" applyFont="1" applyFill="1" applyBorder="1" applyAlignment="1">
      <alignment horizontal="center" vertic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1" fillId="0" borderId="1" xfId="0" applyFont="1" applyBorder="1" applyAlignment="1" applyProtection="1">
      <alignment horizontal="center"/>
      <protection locked="0"/>
    </xf>
    <xf numFmtId="0" fontId="11" fillId="0" borderId="0" xfId="0" applyFont="1" applyAlignment="1">
      <alignment horizontal="center"/>
    </xf>
    <xf numFmtId="0" fontId="10" fillId="0" borderId="23" xfId="0" applyFont="1" applyBorder="1" applyAlignment="1">
      <alignment horizontal="right" vertical="center"/>
    </xf>
    <xf numFmtId="0" fontId="10" fillId="0" borderId="24" xfId="0" applyFont="1" applyBorder="1" applyAlignment="1">
      <alignment horizontal="right" vertical="center"/>
    </xf>
    <xf numFmtId="0" fontId="10" fillId="0" borderId="16"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6" fillId="0" borderId="19" xfId="0" applyFont="1" applyBorder="1" applyAlignment="1">
      <alignment horizontal="center" wrapText="1"/>
    </xf>
    <xf numFmtId="0" fontId="16" fillId="0" borderId="0" xfId="0" applyFont="1" applyAlignment="1">
      <alignment horizontal="center" wrapText="1"/>
    </xf>
    <xf numFmtId="0" fontId="11" fillId="0" borderId="0" xfId="0" applyFont="1" applyAlignment="1">
      <alignment horizontal="left"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5" borderId="2"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3" xfId="0" applyFill="1" applyBorder="1" applyAlignment="1">
      <alignment horizontal="center" vertical="center" wrapText="1"/>
    </xf>
    <xf numFmtId="0" fontId="1" fillId="12" borderId="2" xfId="0" applyFont="1" applyFill="1" applyBorder="1" applyAlignment="1">
      <alignment horizontal="center" wrapText="1"/>
    </xf>
    <xf numFmtId="0" fontId="1" fillId="12" borderId="3" xfId="0" applyFont="1" applyFill="1" applyBorder="1" applyAlignment="1">
      <alignment horizontal="center" wrapText="1"/>
    </xf>
    <xf numFmtId="0" fontId="1" fillId="12" borderId="2" xfId="0" applyFont="1" applyFill="1" applyBorder="1" applyAlignment="1">
      <alignment horizontal="left" wrapText="1"/>
    </xf>
    <xf numFmtId="0" fontId="1" fillId="12" borderId="3" xfId="0" applyFont="1" applyFill="1" applyBorder="1" applyAlignment="1">
      <alignment horizontal="left" wrapText="1"/>
    </xf>
    <xf numFmtId="0" fontId="1" fillId="12" borderId="4" xfId="0" applyFont="1" applyFill="1" applyBorder="1" applyAlignment="1">
      <alignment horizontal="center" wrapText="1"/>
    </xf>
    <xf numFmtId="0" fontId="1" fillId="12" borderId="6" xfId="0" applyFont="1" applyFill="1" applyBorder="1" applyAlignment="1">
      <alignment horizontal="center" wrapText="1"/>
    </xf>
    <xf numFmtId="0" fontId="0" fillId="3" borderId="2" xfId="0" applyFill="1" applyBorder="1" applyAlignment="1">
      <alignment horizontal="center" vertical="center" wrapText="1"/>
    </xf>
    <xf numFmtId="0" fontId="0" fillId="3" borderId="14" xfId="0" applyFill="1" applyBorder="1" applyAlignment="1">
      <alignment horizontal="center" vertical="center" wrapText="1"/>
    </xf>
    <xf numFmtId="0" fontId="0" fillId="4" borderId="1" xfId="0" applyFill="1" applyBorder="1" applyAlignment="1">
      <alignment horizontal="center" vertical="center" wrapText="1"/>
    </xf>
    <xf numFmtId="0" fontId="0" fillId="7" borderId="1" xfId="0" applyFill="1" applyBorder="1" applyAlignment="1">
      <alignment horizontal="center" vertical="center" wrapText="1"/>
    </xf>
    <xf numFmtId="0" fontId="0" fillId="6" borderId="1" xfId="0" applyFill="1" applyBorder="1" applyAlignment="1">
      <alignment horizontal="center" vertical="center" wrapText="1"/>
    </xf>
    <xf numFmtId="0" fontId="0" fillId="5" borderId="1" xfId="0"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4" xfId="0" applyFont="1" applyBorder="1" applyAlignment="1">
      <alignment horizontal="left"/>
    </xf>
    <xf numFmtId="0" fontId="4" fillId="0" borderId="6"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2" fontId="4" fillId="5" borderId="2" xfId="0" applyNumberFormat="1" applyFont="1" applyFill="1" applyBorder="1" applyAlignment="1">
      <alignment horizontal="center" vertical="center"/>
    </xf>
    <xf numFmtId="2" fontId="4" fillId="5" borderId="14" xfId="0"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0" fontId="4" fillId="3" borderId="2" xfId="0" applyFont="1" applyFill="1" applyBorder="1" applyAlignment="1">
      <alignment horizontal="left" vertical="center"/>
    </xf>
    <xf numFmtId="0" fontId="4" fillId="3" borderId="14" xfId="0" applyFont="1" applyFill="1" applyBorder="1" applyAlignment="1">
      <alignment horizontal="left" vertical="center"/>
    </xf>
    <xf numFmtId="2" fontId="4" fillId="3" borderId="2"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xf>
    <xf numFmtId="0" fontId="4" fillId="5" borderId="14" xfId="0" applyFont="1" applyFill="1" applyBorder="1" applyAlignment="1">
      <alignment horizontal="left" vertical="center"/>
    </xf>
    <xf numFmtId="0" fontId="4" fillId="5" borderId="3" xfId="0" applyFont="1" applyFill="1" applyBorder="1" applyAlignment="1">
      <alignment horizontal="left" vertical="center"/>
    </xf>
    <xf numFmtId="2" fontId="4" fillId="5" borderId="7" xfId="0" applyNumberFormat="1" applyFont="1" applyFill="1" applyBorder="1" applyAlignment="1">
      <alignment horizontal="center" vertical="center"/>
    </xf>
    <xf numFmtId="2" fontId="4" fillId="5" borderId="10" xfId="0" applyNumberFormat="1" applyFont="1" applyFill="1" applyBorder="1" applyAlignment="1">
      <alignment horizontal="center" vertical="center"/>
    </xf>
    <xf numFmtId="2" fontId="4" fillId="5" borderId="13" xfId="0" applyNumberFormat="1" applyFont="1" applyFill="1" applyBorder="1" applyAlignment="1">
      <alignment horizontal="center" vertical="center"/>
    </xf>
    <xf numFmtId="0" fontId="4" fillId="5" borderId="2" xfId="0" applyFont="1" applyFill="1" applyBorder="1" applyAlignment="1">
      <alignment horizontal="left"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4" fillId="4" borderId="14" xfId="0" applyFont="1" applyFill="1" applyBorder="1" applyAlignment="1">
      <alignment horizontal="left" vertical="center"/>
    </xf>
    <xf numFmtId="0" fontId="4" fillId="6" borderId="2" xfId="0" applyFont="1" applyFill="1" applyBorder="1" applyAlignment="1">
      <alignment horizontal="left" vertical="center"/>
    </xf>
    <xf numFmtId="0" fontId="4" fillId="6" borderId="14" xfId="0" applyFont="1" applyFill="1" applyBorder="1" applyAlignment="1">
      <alignment horizontal="left" vertical="center"/>
    </xf>
    <xf numFmtId="0" fontId="4" fillId="6" borderId="3" xfId="0" applyFont="1" applyFill="1" applyBorder="1" applyAlignment="1">
      <alignment horizontal="left" vertical="center"/>
    </xf>
    <xf numFmtId="2" fontId="4" fillId="6" borderId="2" xfId="0" applyNumberFormat="1" applyFont="1" applyFill="1" applyBorder="1" applyAlignment="1">
      <alignment horizontal="center" vertical="center"/>
    </xf>
    <xf numFmtId="2" fontId="4" fillId="6" borderId="14" xfId="0" applyNumberFormat="1" applyFont="1" applyFill="1" applyBorder="1" applyAlignment="1">
      <alignment horizontal="center" vertical="center"/>
    </xf>
    <xf numFmtId="2" fontId="4" fillId="6" borderId="3" xfId="0" applyNumberFormat="1" applyFont="1" applyFill="1" applyBorder="1" applyAlignment="1">
      <alignment horizontal="center" vertical="center"/>
    </xf>
    <xf numFmtId="0" fontId="4" fillId="0" borderId="1" xfId="0" applyFont="1" applyBorder="1"/>
    <xf numFmtId="0" fontId="4" fillId="0" borderId="1" xfId="0" applyFont="1" applyBorder="1" applyAlignment="1">
      <alignment horizontal="left"/>
    </xf>
    <xf numFmtId="0" fontId="4" fillId="7" borderId="2" xfId="0" applyFont="1" applyFill="1" applyBorder="1" applyAlignment="1">
      <alignment horizontal="left" vertical="center"/>
    </xf>
    <xf numFmtId="0" fontId="4" fillId="7" borderId="14" xfId="0" applyFont="1" applyFill="1" applyBorder="1" applyAlignment="1">
      <alignment horizontal="left" vertical="center"/>
    </xf>
    <xf numFmtId="0" fontId="4" fillId="7" borderId="3" xfId="0" applyFont="1" applyFill="1" applyBorder="1" applyAlignment="1">
      <alignment horizontal="left" vertical="center"/>
    </xf>
    <xf numFmtId="2" fontId="4" fillId="7" borderId="1" xfId="0" applyNumberFormat="1" applyFont="1" applyFill="1" applyBorder="1" applyAlignment="1">
      <alignment horizontal="center" vertical="center"/>
    </xf>
    <xf numFmtId="0" fontId="4" fillId="7" borderId="4" xfId="0" applyFont="1" applyFill="1" applyBorder="1" applyAlignment="1">
      <alignment horizontal="left" vertical="center"/>
    </xf>
    <xf numFmtId="2" fontId="4" fillId="7" borderId="7" xfId="0" applyNumberFormat="1" applyFont="1" applyFill="1" applyBorder="1" applyAlignment="1">
      <alignment horizontal="center" vertical="center"/>
    </xf>
    <xf numFmtId="2" fontId="4" fillId="7" borderId="13" xfId="0" applyNumberFormat="1" applyFont="1" applyFill="1" applyBorder="1" applyAlignment="1">
      <alignment horizontal="center" vertical="center"/>
    </xf>
    <xf numFmtId="0" fontId="3" fillId="0" borderId="15" xfId="0" applyFont="1" applyBorder="1" applyAlignment="1">
      <alignment horizontal="center" vertical="center" wrapText="1"/>
    </xf>
    <xf numFmtId="0" fontId="4" fillId="7" borderId="8" xfId="0" applyFont="1" applyFill="1" applyBorder="1" applyAlignment="1">
      <alignment horizontal="left" vertical="center"/>
    </xf>
    <xf numFmtId="0" fontId="4" fillId="7" borderId="9" xfId="0" applyFont="1" applyFill="1" applyBorder="1" applyAlignment="1">
      <alignment horizontal="left" vertical="center"/>
    </xf>
    <xf numFmtId="0" fontId="4" fillId="7" borderId="12" xfId="0" applyFont="1" applyFill="1" applyBorder="1" applyAlignment="1">
      <alignment horizontal="left" vertical="center"/>
    </xf>
    <xf numFmtId="0" fontId="4" fillId="3" borderId="4" xfId="0" applyFont="1" applyFill="1" applyBorder="1" applyAlignment="1">
      <alignment horizontal="left" vertical="center"/>
    </xf>
    <xf numFmtId="0" fontId="4" fillId="3" borderId="6" xfId="0" applyFont="1" applyFill="1" applyBorder="1" applyAlignment="1">
      <alignment horizontal="left" vertical="center"/>
    </xf>
    <xf numFmtId="2"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5" borderId="8" xfId="0" applyFont="1" applyFill="1" applyBorder="1" applyAlignment="1">
      <alignment horizontal="left" vertical="center"/>
    </xf>
    <xf numFmtId="0" fontId="4" fillId="5" borderId="12" xfId="0" applyFont="1" applyFill="1" applyBorder="1" applyAlignment="1">
      <alignment horizontal="left" vertical="center"/>
    </xf>
    <xf numFmtId="2" fontId="4" fillId="5" borderId="6" xfId="0" applyNumberFormat="1" applyFont="1" applyFill="1" applyBorder="1" applyAlignment="1">
      <alignment horizontal="center" vertical="center"/>
    </xf>
    <xf numFmtId="2" fontId="4" fillId="5" borderId="1" xfId="0" applyNumberFormat="1" applyFont="1" applyFill="1" applyBorder="1" applyAlignment="1">
      <alignment horizontal="center" vertical="center"/>
    </xf>
    <xf numFmtId="2" fontId="4" fillId="0" borderId="1" xfId="0" applyNumberFormat="1" applyFont="1" applyBorder="1" applyAlignment="1">
      <alignment horizontal="center" vertical="center" wrapText="1"/>
    </xf>
    <xf numFmtId="2" fontId="4" fillId="4" borderId="14" xfId="0" applyNumberFormat="1" applyFont="1" applyFill="1" applyBorder="1" applyAlignment="1">
      <alignment horizontal="center" vertical="center"/>
    </xf>
    <xf numFmtId="2" fontId="4" fillId="4" borderId="2"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2" fontId="4" fillId="7" borderId="6"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0" fillId="0" borderId="8" xfId="0" applyBorder="1" applyAlignment="1">
      <alignment horizontal="center"/>
    </xf>
    <xf numFmtId="0" fontId="0" fillId="0" borderId="7" xfId="0" applyBorder="1" applyAlignment="1">
      <alignment horizontal="center"/>
    </xf>
    <xf numFmtId="0" fontId="0" fillId="0" borderId="15" xfId="0" applyBorder="1" applyAlignment="1">
      <alignment horizontal="center"/>
    </xf>
    <xf numFmtId="0" fontId="0" fillId="0" borderId="10" xfId="0" applyBorder="1" applyAlignment="1">
      <alignment horizontal="center"/>
    </xf>
  </cellXfs>
  <cellStyles count="4">
    <cellStyle name="40% - Accent1" xfId="2" builtinId="31"/>
    <cellStyle name="Normal" xfId="0" builtinId="0"/>
    <cellStyle name="Normal 2" xfId="1" xr:uid="{00000000-0005-0000-0000-000002000000}"/>
    <cellStyle name="Percent" xfId="3" builtinId="5"/>
  </cellStyles>
  <dxfs count="1234">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theme="1"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patternType="darkDown"/>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theme="0" tint="-0.24994659260841701"/>
        </patternFill>
      </fill>
    </dxf>
    <dxf>
      <fill>
        <patternFill>
          <bgColor theme="0" tint="-0.24994659260841701"/>
        </patternFill>
      </fill>
    </dxf>
    <dxf>
      <fill>
        <patternFill>
          <bgColor theme="1" tint="0.24994659260841701"/>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patternType="darkDown"/>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theme="1"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patternType="darkDown"/>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1" tint="0.24994659260841701"/>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patternType="darkDown"/>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00B050"/>
        </patternFill>
      </fill>
    </dxf>
    <dxf>
      <fill>
        <patternFill>
          <bgColor theme="0" tint="-0.24994659260841701"/>
        </patternFill>
      </fill>
    </dxf>
    <dxf>
      <font>
        <strike val="0"/>
        <color auto="1"/>
      </font>
      <fill>
        <patternFill patternType="solid">
          <bgColor rgb="FFFF0000"/>
        </patternFill>
      </fill>
    </dxf>
    <dxf>
      <fill>
        <patternFill>
          <bgColor theme="1"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patternType="darkDown"/>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theme="0" tint="-0.24994659260841701"/>
        </patternFill>
      </fill>
    </dxf>
    <dxf>
      <fill>
        <patternFill>
          <bgColor theme="0" tint="-0.24994659260841701"/>
        </patternFill>
      </fill>
    </dxf>
    <dxf>
      <fill>
        <patternFill>
          <bgColor theme="1"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patternType="darkDown"/>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ill>
        <patternFill>
          <bgColor rgb="FFFFFF00"/>
        </patternFill>
      </fill>
    </dxf>
    <dxf>
      <fill>
        <patternFill>
          <bgColor theme="0" tint="-0.24994659260841701"/>
        </patternFill>
      </fill>
    </dxf>
    <dxf>
      <font>
        <strike val="0"/>
        <color auto="1"/>
      </font>
      <fill>
        <patternFill patternType="solid">
          <bgColor rgb="FFFF0000"/>
        </patternFill>
      </fill>
    </dxf>
    <dxf>
      <fill>
        <patternFill>
          <bgColor theme="1" tint="0.24994659260841701"/>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patternType="darkDown"/>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ill>
        <patternFill>
          <bgColor theme="0" tint="-0.24994659260841701"/>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1" tint="0.24994659260841701"/>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patternType="darkDown"/>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darkDown"/>
      </fill>
    </dxf>
    <dxf>
      <font>
        <strike val="0"/>
        <color auto="1"/>
      </font>
      <fill>
        <patternFill patternType="solid">
          <bgColor rgb="FFFF0000"/>
        </patternFill>
      </fill>
    </dxf>
    <dxf>
      <fill>
        <patternFill>
          <bgColor rgb="FF00B05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ont>
        <strike val="0"/>
        <color auto="1"/>
      </font>
      <fill>
        <patternFill patternType="solid">
          <bgColor rgb="FFFF0000"/>
        </patternFill>
      </fill>
    </dxf>
    <dxf>
      <fill>
        <patternFill>
          <bgColor theme="0" tint="-0.24994659260841701"/>
        </patternFill>
      </fill>
    </dxf>
    <dxf>
      <fill>
        <patternFill>
          <bgColor rgb="FF00B050"/>
        </patternFill>
      </fill>
    </dxf>
    <dxf>
      <fill>
        <patternFill>
          <bgColor theme="1" tint="0.24994659260841701"/>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patternType="darkDown"/>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theme="0" tint="-0.24994659260841701"/>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theme="1" tint="0.24994659260841701"/>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patternType="darkDown"/>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ont>
        <strike val="0"/>
        <color auto="1"/>
      </font>
      <fill>
        <patternFill patternType="solid">
          <bgColor rgb="FFFF0000"/>
        </patternFill>
      </fill>
    </dxf>
    <dxf>
      <fill>
        <patternFill>
          <bgColor rgb="FFFFFF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FF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FFFF00"/>
        </patternFill>
      </fill>
    </dxf>
    <dxf>
      <fill>
        <patternFill>
          <bgColor rgb="FFFFFF0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ont>
        <strike val="0"/>
        <color auto="1"/>
      </font>
      <fill>
        <patternFill patternType="solid">
          <bgColor rgb="FFFF000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00B05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00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t>
            </a:r>
            <a:r>
              <a:rPr lang="en-US" baseline="0"/>
              <a:t> Impervious Cover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3899831881942171"/>
                  <c:y val="-0.3508690280639740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Standards'!#REF!</c:f>
            </c:numRef>
          </c:xVal>
          <c:yVal>
            <c:numRef>
              <c:f>'Reference Standards'!#REF!</c:f>
              <c:numCache>
                <c:formatCode>General</c:formatCode>
                <c:ptCount val="1"/>
                <c:pt idx="0">
                  <c:v>1</c:v>
                </c:pt>
              </c:numCache>
            </c:numRef>
          </c:yVal>
          <c:smooth val="0"/>
          <c:extLst>
            <c:ext xmlns:c16="http://schemas.microsoft.com/office/drawing/2014/chart" uri="{C3380CC4-5D6E-409C-BE32-E72D297353CC}">
              <c16:uniqueId val="{00000000-6D1A-4B46-B753-5EE7BFC8112A}"/>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9288715306053522E-2"/>
                  <c:y val="-0.18373373776166552"/>
                </c:manualLayout>
              </c:layout>
              <c:numFmt formatCode="#,##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Standards'!#REF!</c:f>
            </c:numRef>
          </c:xVal>
          <c:yVal>
            <c:numRef>
              <c:f>'Reference Standards'!#REF!</c:f>
              <c:numCache>
                <c:formatCode>General</c:formatCode>
                <c:ptCount val="1"/>
                <c:pt idx="0">
                  <c:v>1</c:v>
                </c:pt>
              </c:numCache>
            </c:numRef>
          </c:yVal>
          <c:smooth val="0"/>
          <c:extLst>
            <c:ext xmlns:c16="http://schemas.microsoft.com/office/drawing/2014/chart" uri="{C3380CC4-5D6E-409C-BE32-E72D297353CC}">
              <c16:uniqueId val="{00000000-C453-49FD-BCE0-42FA69BC7CEE}"/>
            </c:ext>
          </c:extLst>
        </c:ser>
        <c:dLbls>
          <c:showLegendKey val="0"/>
          <c:showVal val="0"/>
          <c:showCatName val="0"/>
          <c:showSerName val="0"/>
          <c:showPercent val="0"/>
          <c:showBubbleSize val="0"/>
        </c:dLbls>
        <c:axId val="70728320"/>
        <c:axId val="70734208"/>
      </c:scatterChart>
      <c:valAx>
        <c:axId val="707283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34208"/>
        <c:crosses val="autoZero"/>
        <c:crossBetween val="midCat"/>
      </c:valAx>
      <c:valAx>
        <c:axId val="7073420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283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134894</xdr:colOff>
      <xdr:row>9</xdr:row>
      <xdr:rowOff>84043</xdr:rowOff>
    </xdr:from>
    <xdr:to>
      <xdr:col>21</xdr:col>
      <xdr:colOff>12169</xdr:colOff>
      <xdr:row>25</xdr:row>
      <xdr:rowOff>371730</xdr:rowOff>
    </xdr:to>
    <xdr:pic>
      <xdr:nvPicPr>
        <xdr:cNvPr id="5" name="Picture 4">
          <a:extLst>
            <a:ext uri="{FF2B5EF4-FFF2-40B4-BE49-F238E27FC236}">
              <a16:creationId xmlns:a16="http://schemas.microsoft.com/office/drawing/2014/main" id="{5274DA2B-B7E5-4CA0-BEDC-DC53748D0C37}"/>
            </a:ext>
          </a:extLst>
        </xdr:cNvPr>
        <xdr:cNvPicPr>
          <a:picLocks noChangeAspect="1"/>
        </xdr:cNvPicPr>
      </xdr:nvPicPr>
      <xdr:blipFill>
        <a:blip xmlns:r="http://schemas.openxmlformats.org/officeDocument/2006/relationships" r:embed="rId1"/>
        <a:stretch>
          <a:fillRect/>
        </a:stretch>
      </xdr:blipFill>
      <xdr:spPr>
        <a:xfrm>
          <a:off x="8926469" y="3008218"/>
          <a:ext cx="8306900" cy="3183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29028</xdr:colOff>
      <xdr:row>133</xdr:row>
      <xdr:rowOff>0</xdr:rowOff>
    </xdr:from>
    <xdr:to>
      <xdr:col>3</xdr:col>
      <xdr:colOff>0</xdr:colOff>
      <xdr:row>133</xdr:row>
      <xdr:rowOff>0</xdr:rowOff>
    </xdr:to>
    <xdr:graphicFrame macro="">
      <xdr:nvGraphicFramePr>
        <xdr:cNvPr id="49" name="Chart 48">
          <a:extLst>
            <a:ext uri="{FF2B5EF4-FFF2-40B4-BE49-F238E27FC236}">
              <a16:creationId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zoomScale="115" zoomScaleNormal="115" zoomScalePageLayoutView="90" workbookViewId="0">
      <selection activeCell="C5" sqref="C5"/>
    </sheetView>
  </sheetViews>
  <sheetFormatPr defaultRowHeight="14.4" x14ac:dyDescent="0.3"/>
  <cols>
    <col min="2" max="2" width="16.88671875" customWidth="1"/>
    <col min="3" max="3" width="22.5546875" customWidth="1"/>
    <col min="4" max="4" width="9.6640625" customWidth="1"/>
    <col min="5" max="5" width="9" customWidth="1"/>
    <col min="7" max="8" width="3.33203125" customWidth="1"/>
  </cols>
  <sheetData>
    <row r="1" spans="1:14" ht="18.600000000000001" thickBot="1" x14ac:dyDescent="0.4">
      <c r="A1" s="185" t="s">
        <v>386</v>
      </c>
      <c r="B1" s="186"/>
      <c r="C1" s="186"/>
      <c r="D1" s="186"/>
      <c r="E1" s="186"/>
      <c r="F1" s="186"/>
      <c r="G1" s="186"/>
      <c r="H1" s="186"/>
    </row>
    <row r="2" spans="1:14" ht="37.950000000000003" customHeight="1" thickBot="1" x14ac:dyDescent="0.4">
      <c r="A2" s="199" t="s">
        <v>373</v>
      </c>
      <c r="B2" s="200"/>
      <c r="C2" s="204"/>
      <c r="D2" s="205"/>
      <c r="E2" s="206"/>
      <c r="F2" s="187" t="s">
        <v>381</v>
      </c>
      <c r="G2" s="188"/>
      <c r="H2" s="189"/>
    </row>
    <row r="3" spans="1:14" ht="0.6" customHeight="1" thickBot="1" x14ac:dyDescent="0.35">
      <c r="A3" s="201"/>
      <c r="B3" s="202"/>
      <c r="C3" s="150"/>
      <c r="D3" s="151"/>
      <c r="E3" s="151"/>
      <c r="F3" s="190">
        <f>'Debit Calculator'!I26</f>
        <v>0</v>
      </c>
      <c r="G3" s="191"/>
      <c r="H3" s="192"/>
    </row>
    <row r="4" spans="1:14" ht="20.399999999999999" customHeight="1" thickBot="1" x14ac:dyDescent="0.4">
      <c r="A4" s="203" t="s">
        <v>374</v>
      </c>
      <c r="B4" s="189"/>
      <c r="C4" s="204"/>
      <c r="D4" s="205"/>
      <c r="E4" s="206"/>
      <c r="F4" s="193"/>
      <c r="G4" s="194"/>
      <c r="H4" s="195"/>
      <c r="M4" s="95"/>
      <c r="N4" s="95"/>
    </row>
    <row r="5" spans="1:14" ht="36.6" customHeight="1" thickBot="1" x14ac:dyDescent="0.4">
      <c r="A5" s="187" t="s">
        <v>384</v>
      </c>
      <c r="B5" s="188"/>
      <c r="C5" s="155"/>
      <c r="D5" s="152" t="s">
        <v>375</v>
      </c>
      <c r="E5" s="156">
        <v>36892</v>
      </c>
      <c r="F5" s="196"/>
      <c r="G5" s="197"/>
      <c r="H5" s="198"/>
      <c r="M5" s="96"/>
      <c r="N5" s="97"/>
    </row>
    <row r="6" spans="1:14" x14ac:dyDescent="0.3">
      <c r="A6" s="209" t="s">
        <v>376</v>
      </c>
      <c r="B6" s="210"/>
      <c r="C6" s="213"/>
      <c r="D6" s="214"/>
      <c r="E6" s="214"/>
      <c r="F6" s="214"/>
      <c r="G6" s="214"/>
      <c r="H6" s="215"/>
      <c r="M6" s="96"/>
      <c r="N6" s="97"/>
    </row>
    <row r="7" spans="1:14" ht="15" thickBot="1" x14ac:dyDescent="0.35">
      <c r="A7" s="211"/>
      <c r="B7" s="212"/>
      <c r="C7" s="216"/>
      <c r="D7" s="217"/>
      <c r="E7" s="217"/>
      <c r="F7" s="218"/>
      <c r="G7" s="218"/>
      <c r="H7" s="219"/>
      <c r="M7" s="96"/>
      <c r="N7" s="97"/>
    </row>
    <row r="8" spans="1:14" ht="15" thickBot="1" x14ac:dyDescent="0.35">
      <c r="A8" s="220" t="s">
        <v>379</v>
      </c>
      <c r="B8" s="220"/>
      <c r="C8" s="153" t="s">
        <v>380</v>
      </c>
      <c r="D8" s="225" t="s">
        <v>377</v>
      </c>
      <c r="E8" s="226"/>
      <c r="F8" s="227" t="s">
        <v>378</v>
      </c>
      <c r="G8" s="227"/>
      <c r="H8" s="226"/>
      <c r="M8" s="96"/>
      <c r="N8" s="97"/>
    </row>
    <row r="9" spans="1:14" x14ac:dyDescent="0.3">
      <c r="A9" s="221"/>
      <c r="B9" s="222"/>
      <c r="C9" s="158"/>
      <c r="D9" s="222"/>
      <c r="E9" s="222"/>
      <c r="F9" s="222"/>
      <c r="G9" s="222"/>
      <c r="H9" s="232"/>
      <c r="M9" s="96"/>
      <c r="N9" s="97"/>
    </row>
    <row r="10" spans="1:14" x14ac:dyDescent="0.3">
      <c r="A10" s="223"/>
      <c r="B10" s="224"/>
      <c r="C10" s="114"/>
      <c r="D10" s="208"/>
      <c r="E10" s="208"/>
      <c r="F10" s="208"/>
      <c r="G10" s="208"/>
      <c r="H10" s="233"/>
      <c r="M10" s="96"/>
      <c r="N10" s="97"/>
    </row>
    <row r="11" spans="1:14" x14ac:dyDescent="0.3">
      <c r="A11" s="207"/>
      <c r="B11" s="208"/>
      <c r="C11" s="154"/>
      <c r="D11" s="208"/>
      <c r="E11" s="208"/>
      <c r="F11" s="208"/>
      <c r="G11" s="208"/>
      <c r="H11" s="233"/>
      <c r="M11" s="96"/>
      <c r="N11" s="97"/>
    </row>
    <row r="12" spans="1:14" x14ac:dyDescent="0.3">
      <c r="A12" s="207"/>
      <c r="B12" s="208"/>
      <c r="C12" s="154"/>
      <c r="D12" s="208"/>
      <c r="E12" s="208"/>
      <c r="F12" s="208"/>
      <c r="G12" s="208"/>
      <c r="H12" s="233"/>
      <c r="M12" s="96"/>
      <c r="N12" s="97"/>
    </row>
    <row r="13" spans="1:14" x14ac:dyDescent="0.3">
      <c r="A13" s="207"/>
      <c r="B13" s="208"/>
      <c r="C13" s="154"/>
      <c r="D13" s="208"/>
      <c r="E13" s="208"/>
      <c r="F13" s="208"/>
      <c r="G13" s="208"/>
      <c r="H13" s="233"/>
      <c r="M13" s="96"/>
      <c r="N13" s="97"/>
    </row>
    <row r="14" spans="1:14" x14ac:dyDescent="0.3">
      <c r="A14" s="207"/>
      <c r="B14" s="208"/>
      <c r="C14" s="154"/>
      <c r="D14" s="208"/>
      <c r="E14" s="208"/>
      <c r="F14" s="208"/>
      <c r="G14" s="208"/>
      <c r="H14" s="233"/>
      <c r="M14" s="96"/>
      <c r="N14" s="97"/>
    </row>
    <row r="15" spans="1:14" x14ac:dyDescent="0.3">
      <c r="A15" s="207"/>
      <c r="B15" s="208"/>
      <c r="C15" s="154"/>
      <c r="D15" s="208"/>
      <c r="E15" s="208"/>
      <c r="F15" s="208"/>
      <c r="G15" s="208"/>
      <c r="H15" s="233"/>
      <c r="M15" s="96"/>
      <c r="N15" s="97"/>
    </row>
    <row r="16" spans="1:14" x14ac:dyDescent="0.3">
      <c r="A16" s="207"/>
      <c r="B16" s="208"/>
      <c r="C16" s="154"/>
      <c r="D16" s="208"/>
      <c r="E16" s="208"/>
      <c r="F16" s="208"/>
      <c r="G16" s="208"/>
      <c r="H16" s="233"/>
      <c r="M16" s="96"/>
      <c r="N16" s="97"/>
    </row>
    <row r="17" spans="1:14" x14ac:dyDescent="0.3">
      <c r="A17" s="207"/>
      <c r="B17" s="208"/>
      <c r="C17" s="154"/>
      <c r="D17" s="208"/>
      <c r="E17" s="208"/>
      <c r="F17" s="208"/>
      <c r="G17" s="208"/>
      <c r="H17" s="233"/>
      <c r="M17" s="96"/>
      <c r="N17" s="97"/>
    </row>
    <row r="18" spans="1:14" x14ac:dyDescent="0.3">
      <c r="A18" s="228"/>
      <c r="B18" s="229"/>
      <c r="C18" s="114"/>
      <c r="D18" s="208"/>
      <c r="E18" s="208"/>
      <c r="F18" s="208"/>
      <c r="G18" s="208"/>
      <c r="H18" s="233"/>
      <c r="M18" s="96"/>
      <c r="N18" s="97"/>
    </row>
    <row r="19" spans="1:14" x14ac:dyDescent="0.3">
      <c r="A19" s="207"/>
      <c r="B19" s="208"/>
      <c r="C19" s="114"/>
      <c r="D19" s="208"/>
      <c r="E19" s="208"/>
      <c r="F19" s="208"/>
      <c r="G19" s="208"/>
      <c r="H19" s="233"/>
      <c r="M19" s="96"/>
      <c r="N19" s="97"/>
    </row>
    <row r="20" spans="1:14" x14ac:dyDescent="0.3">
      <c r="A20" s="207"/>
      <c r="B20" s="208"/>
      <c r="C20" s="114"/>
      <c r="D20" s="208"/>
      <c r="E20" s="208"/>
      <c r="F20" s="208"/>
      <c r="G20" s="208"/>
      <c r="H20" s="233"/>
    </row>
    <row r="21" spans="1:14" x14ac:dyDescent="0.3">
      <c r="A21" s="207"/>
      <c r="B21" s="208"/>
      <c r="C21" s="114"/>
      <c r="D21" s="208"/>
      <c r="E21" s="208"/>
      <c r="F21" s="208"/>
      <c r="G21" s="208"/>
      <c r="H21" s="233"/>
    </row>
    <row r="22" spans="1:14" x14ac:dyDescent="0.3">
      <c r="A22" s="207"/>
      <c r="B22" s="208"/>
      <c r="C22" s="114"/>
      <c r="D22" s="208"/>
      <c r="E22" s="208"/>
      <c r="F22" s="208"/>
      <c r="G22" s="208"/>
      <c r="H22" s="233"/>
    </row>
    <row r="23" spans="1:14" x14ac:dyDescent="0.3">
      <c r="A23" s="207"/>
      <c r="B23" s="208"/>
      <c r="C23" s="114"/>
      <c r="D23" s="208"/>
      <c r="E23" s="208"/>
      <c r="F23" s="208"/>
      <c r="G23" s="208"/>
      <c r="H23" s="233"/>
    </row>
    <row r="24" spans="1:14" x14ac:dyDescent="0.3">
      <c r="A24" s="207"/>
      <c r="B24" s="208"/>
      <c r="C24" s="114"/>
      <c r="D24" s="208"/>
      <c r="E24" s="208"/>
      <c r="F24" s="208"/>
      <c r="G24" s="208"/>
      <c r="H24" s="233"/>
    </row>
    <row r="25" spans="1:14" x14ac:dyDescent="0.3">
      <c r="A25" s="207"/>
      <c r="B25" s="208"/>
      <c r="C25" s="114"/>
      <c r="D25" s="208"/>
      <c r="E25" s="208"/>
      <c r="F25" s="208"/>
      <c r="G25" s="208"/>
      <c r="H25" s="233"/>
    </row>
    <row r="26" spans="1:14" x14ac:dyDescent="0.3">
      <c r="A26" s="223"/>
      <c r="B26" s="224"/>
      <c r="C26" s="159"/>
      <c r="D26" s="224"/>
      <c r="E26" s="224"/>
      <c r="F26" s="224"/>
      <c r="G26" s="224"/>
      <c r="H26" s="235"/>
    </row>
    <row r="27" spans="1:14" x14ac:dyDescent="0.3">
      <c r="A27" s="207"/>
      <c r="B27" s="208"/>
      <c r="C27" s="114"/>
      <c r="D27" s="208"/>
      <c r="E27" s="208"/>
      <c r="F27" s="208"/>
      <c r="G27" s="208"/>
      <c r="H27" s="233"/>
    </row>
    <row r="28" spans="1:14" x14ac:dyDescent="0.3">
      <c r="A28" s="207"/>
      <c r="B28" s="208"/>
      <c r="C28" s="114"/>
      <c r="D28" s="208"/>
      <c r="E28" s="208"/>
      <c r="F28" s="208"/>
      <c r="G28" s="208"/>
      <c r="H28" s="233"/>
    </row>
    <row r="29" spans="1:14" ht="15" thickBot="1" x14ac:dyDescent="0.35">
      <c r="A29" s="230"/>
      <c r="B29" s="231"/>
      <c r="C29" s="160"/>
      <c r="D29" s="231"/>
      <c r="E29" s="231"/>
      <c r="F29" s="231"/>
      <c r="G29" s="231"/>
      <c r="H29" s="234"/>
    </row>
    <row r="30" spans="1:14" x14ac:dyDescent="0.3">
      <c r="A30" s="217"/>
      <c r="B30" s="217"/>
      <c r="C30" s="97"/>
      <c r="D30" s="217"/>
      <c r="E30" s="217"/>
      <c r="F30" s="217"/>
      <c r="G30" s="217"/>
      <c r="H30" s="217"/>
    </row>
    <row r="31" spans="1:14" x14ac:dyDescent="0.3">
      <c r="A31" s="3" t="s">
        <v>268</v>
      </c>
      <c r="G31" s="97"/>
      <c r="H31" s="97"/>
    </row>
    <row r="32" spans="1:14" x14ac:dyDescent="0.3">
      <c r="A32" t="s">
        <v>275</v>
      </c>
    </row>
    <row r="33" spans="1:3" x14ac:dyDescent="0.3">
      <c r="A33" s="3" t="s">
        <v>269</v>
      </c>
      <c r="C33" t="s">
        <v>270</v>
      </c>
    </row>
    <row r="34" spans="1:3" x14ac:dyDescent="0.3">
      <c r="C34" t="s">
        <v>274</v>
      </c>
    </row>
    <row r="35" spans="1:3" x14ac:dyDescent="0.3">
      <c r="C35" t="s">
        <v>277</v>
      </c>
    </row>
    <row r="37" spans="1:3" x14ac:dyDescent="0.3">
      <c r="A37" s="3" t="s">
        <v>271</v>
      </c>
    </row>
    <row r="38" spans="1:3" x14ac:dyDescent="0.3">
      <c r="A38" t="s">
        <v>273</v>
      </c>
    </row>
    <row r="39" spans="1:3" x14ac:dyDescent="0.3">
      <c r="A39" t="s">
        <v>272</v>
      </c>
    </row>
    <row r="41" spans="1:3" ht="18" x14ac:dyDescent="0.35">
      <c r="A41" s="163" t="s">
        <v>410</v>
      </c>
      <c r="B41" s="163"/>
      <c r="C41" s="163"/>
    </row>
    <row r="42" spans="1:3" ht="18" x14ac:dyDescent="0.35">
      <c r="A42" s="163" t="s">
        <v>101</v>
      </c>
      <c r="B42" s="163"/>
      <c r="C42" s="164">
        <v>45086</v>
      </c>
    </row>
    <row r="65" spans="1:3" x14ac:dyDescent="0.3">
      <c r="A65" s="3"/>
    </row>
    <row r="67" spans="1:3" x14ac:dyDescent="0.3">
      <c r="A67" s="3"/>
    </row>
    <row r="71" spans="1:3" x14ac:dyDescent="0.3">
      <c r="A71" s="3"/>
    </row>
    <row r="76" spans="1:3" x14ac:dyDescent="0.3">
      <c r="C76" s="116"/>
    </row>
    <row r="80" spans="1:3" x14ac:dyDescent="0.3">
      <c r="A80" s="3"/>
    </row>
    <row r="82" spans="1:3" x14ac:dyDescent="0.3">
      <c r="A82" s="3"/>
    </row>
    <row r="86" spans="1:3" x14ac:dyDescent="0.3">
      <c r="A86" s="3"/>
    </row>
    <row r="91" spans="1:3" x14ac:dyDescent="0.3">
      <c r="C91" s="116"/>
    </row>
  </sheetData>
  <sheetProtection algorithmName="SHA-512" hashValue="fER1GLRYv6UrcrKjjjNeurToEIlc3i/+j+5w4xK7lIANIFbvYFCScbrysZCaql/PFMQ2z3ph+ezj+YTbvKvfjQ==" saltValue="sfq45GROaqlT0AeGDjiiLg==" spinCount="100000" sheet="1" formatColumns="0" formatRows="0"/>
  <mergeCells count="79">
    <mergeCell ref="F30:H30"/>
    <mergeCell ref="F23:H23"/>
    <mergeCell ref="F24:H24"/>
    <mergeCell ref="F25:H25"/>
    <mergeCell ref="F26:H26"/>
    <mergeCell ref="F27:H27"/>
    <mergeCell ref="F28:H28"/>
    <mergeCell ref="F18:H18"/>
    <mergeCell ref="F19:H19"/>
    <mergeCell ref="F20:H20"/>
    <mergeCell ref="F21:H21"/>
    <mergeCell ref="F29:H29"/>
    <mergeCell ref="F22:H22"/>
    <mergeCell ref="D30:E30"/>
    <mergeCell ref="F9:H9"/>
    <mergeCell ref="F10:H10"/>
    <mergeCell ref="F11:H11"/>
    <mergeCell ref="F12:H12"/>
    <mergeCell ref="F13:H13"/>
    <mergeCell ref="F14:H14"/>
    <mergeCell ref="F15:H15"/>
    <mergeCell ref="F16:H16"/>
    <mergeCell ref="D24:E24"/>
    <mergeCell ref="D25:E25"/>
    <mergeCell ref="D26:E26"/>
    <mergeCell ref="D27:E27"/>
    <mergeCell ref="D28:E28"/>
    <mergeCell ref="F17:H17"/>
    <mergeCell ref="D17:E17"/>
    <mergeCell ref="A30:B30"/>
    <mergeCell ref="A19:B19"/>
    <mergeCell ref="A20:B20"/>
    <mergeCell ref="A21:B21"/>
    <mergeCell ref="D12:E12"/>
    <mergeCell ref="D13:E13"/>
    <mergeCell ref="D14:E14"/>
    <mergeCell ref="D15:E15"/>
    <mergeCell ref="D16:E16"/>
    <mergeCell ref="D29:E29"/>
    <mergeCell ref="D18:E18"/>
    <mergeCell ref="D19:E19"/>
    <mergeCell ref="D20:E20"/>
    <mergeCell ref="D21:E21"/>
    <mergeCell ref="D22:E22"/>
    <mergeCell ref="D23:E23"/>
    <mergeCell ref="A25:B25"/>
    <mergeCell ref="A26:B26"/>
    <mergeCell ref="A27:B27"/>
    <mergeCell ref="A28:B28"/>
    <mergeCell ref="A29:B29"/>
    <mergeCell ref="A22:B22"/>
    <mergeCell ref="A23:B23"/>
    <mergeCell ref="A24:B24"/>
    <mergeCell ref="A17:B17"/>
    <mergeCell ref="A18:B18"/>
    <mergeCell ref="A16:B16"/>
    <mergeCell ref="A6:B7"/>
    <mergeCell ref="C6:H7"/>
    <mergeCell ref="A8:B8"/>
    <mergeCell ref="A9:B9"/>
    <mergeCell ref="A10:B10"/>
    <mergeCell ref="A11:B11"/>
    <mergeCell ref="A12:B12"/>
    <mergeCell ref="A13:B13"/>
    <mergeCell ref="A14:B14"/>
    <mergeCell ref="A15:B15"/>
    <mergeCell ref="D8:E8"/>
    <mergeCell ref="F8:H8"/>
    <mergeCell ref="D9:E9"/>
    <mergeCell ref="D10:E10"/>
    <mergeCell ref="D11:E11"/>
    <mergeCell ref="A1:H1"/>
    <mergeCell ref="F2:H2"/>
    <mergeCell ref="F3:H5"/>
    <mergeCell ref="A2:B3"/>
    <mergeCell ref="A4:B4"/>
    <mergeCell ref="A5:B5"/>
    <mergeCell ref="C2:E2"/>
    <mergeCell ref="C4:E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3"/>
  <sheetViews>
    <sheetView zoomScale="85" zoomScaleNormal="85" zoomScaleSheetLayoutView="85" workbookViewId="0">
      <selection activeCell="I11" sqref="I11"/>
    </sheetView>
  </sheetViews>
  <sheetFormatPr defaultRowHeight="14.4" x14ac:dyDescent="0.3"/>
  <cols>
    <col min="1" max="1" width="20.6640625" customWidth="1"/>
    <col min="2" max="2" width="28.44140625" customWidth="1"/>
    <col min="3" max="3" width="3.6640625" customWidth="1"/>
    <col min="4" max="8" width="11.33203125" customWidth="1"/>
    <col min="9" max="9" width="12.88671875" customWidth="1"/>
    <col min="10" max="10" width="13.44140625" customWidth="1"/>
    <col min="11" max="12" width="14.6640625" customWidth="1"/>
    <col min="13" max="13" width="13.5546875" customWidth="1"/>
    <col min="14" max="14" width="0.33203125" hidden="1" customWidth="1"/>
  </cols>
  <sheetData>
    <row r="1" spans="1:24" ht="46.5" customHeight="1" thickBot="1" x14ac:dyDescent="0.35">
      <c r="A1" s="267" t="s">
        <v>385</v>
      </c>
      <c r="B1" s="269">
        <f>'Project Assessment'!C5</f>
        <v>0</v>
      </c>
      <c r="C1" s="270"/>
      <c r="D1" s="112"/>
      <c r="E1" s="257" t="s">
        <v>311</v>
      </c>
      <c r="F1" s="258"/>
      <c r="G1" s="258"/>
      <c r="H1" s="259"/>
      <c r="J1" s="122" t="s">
        <v>300</v>
      </c>
      <c r="K1" s="123" t="s">
        <v>301</v>
      </c>
      <c r="L1" s="124" t="s">
        <v>302</v>
      </c>
      <c r="O1" s="245" t="s">
        <v>360</v>
      </c>
      <c r="P1" s="246"/>
      <c r="Q1" s="246"/>
      <c r="R1" s="246"/>
      <c r="S1" s="246"/>
      <c r="T1" s="246"/>
      <c r="U1" s="247"/>
      <c r="V1" s="121"/>
    </row>
    <row r="2" spans="1:24" ht="18" customHeight="1" thickTop="1" thickBot="1" x14ac:dyDescent="0.35">
      <c r="A2" s="268"/>
      <c r="B2" s="271"/>
      <c r="C2" s="272"/>
      <c r="E2" s="254" t="s">
        <v>310</v>
      </c>
      <c r="F2" s="255"/>
      <c r="G2" s="255"/>
      <c r="H2" s="256"/>
      <c r="J2" s="125" t="s">
        <v>299</v>
      </c>
      <c r="K2" s="81">
        <v>1</v>
      </c>
      <c r="L2" s="126">
        <v>0</v>
      </c>
      <c r="O2" s="248"/>
      <c r="P2" s="249"/>
      <c r="Q2" s="249"/>
      <c r="R2" s="249"/>
      <c r="S2" s="249"/>
      <c r="T2" s="249"/>
      <c r="U2" s="250"/>
      <c r="V2" s="121"/>
    </row>
    <row r="3" spans="1:24" ht="21.75" customHeight="1" x14ac:dyDescent="0.4">
      <c r="A3" s="260" t="s">
        <v>363</v>
      </c>
      <c r="B3" s="261"/>
      <c r="C3" s="261"/>
      <c r="D3" s="261"/>
      <c r="E3" s="261"/>
      <c r="F3" s="261"/>
      <c r="G3" s="261"/>
      <c r="H3" s="261"/>
      <c r="I3" s="262"/>
      <c r="J3" s="127" t="s">
        <v>303</v>
      </c>
      <c r="K3" s="117">
        <v>0.89</v>
      </c>
      <c r="L3" s="128">
        <v>0.11</v>
      </c>
      <c r="O3" s="248"/>
      <c r="P3" s="249"/>
      <c r="Q3" s="249"/>
      <c r="R3" s="249"/>
      <c r="S3" s="249"/>
      <c r="T3" s="249"/>
      <c r="U3" s="250"/>
      <c r="V3" s="121"/>
    </row>
    <row r="4" spans="1:24" ht="43.2" x14ac:dyDescent="0.3">
      <c r="A4" s="118" t="s">
        <v>359</v>
      </c>
      <c r="B4" s="82" t="s">
        <v>358</v>
      </c>
      <c r="C4" s="149" t="s">
        <v>348</v>
      </c>
      <c r="D4" s="82" t="s">
        <v>362</v>
      </c>
      <c r="E4" s="82" t="s">
        <v>355</v>
      </c>
      <c r="F4" s="82" t="s">
        <v>297</v>
      </c>
      <c r="G4" s="82" t="s">
        <v>298</v>
      </c>
      <c r="H4" s="82" t="s">
        <v>356</v>
      </c>
      <c r="I4" s="119" t="s">
        <v>357</v>
      </c>
      <c r="J4" s="127" t="s">
        <v>304</v>
      </c>
      <c r="K4" s="117">
        <v>0.8</v>
      </c>
      <c r="L4" s="128">
        <v>0.2</v>
      </c>
      <c r="O4" s="248"/>
      <c r="P4" s="249"/>
      <c r="Q4" s="249"/>
      <c r="R4" s="249"/>
      <c r="S4" s="249"/>
      <c r="T4" s="249"/>
      <c r="U4" s="250"/>
      <c r="V4" s="121"/>
    </row>
    <row r="5" spans="1:24" ht="20.25" customHeight="1" x14ac:dyDescent="0.3">
      <c r="A5" s="161">
        <f>'Project Assessment'!A9:B9</f>
        <v>0</v>
      </c>
      <c r="B5" s="162">
        <f>'Project Assessment'!C9</f>
        <v>0</v>
      </c>
      <c r="C5" s="86"/>
      <c r="D5" s="85"/>
      <c r="E5" s="85"/>
      <c r="F5" s="85"/>
      <c r="G5" s="86"/>
      <c r="H5" s="84" t="str">
        <f t="shared" ref="H5:H25" si="0">IFERROR(ROUND(E5*VLOOKUP(G5,J$2:K$8,2,FALSE),2),"")</f>
        <v/>
      </c>
      <c r="I5" s="120" t="str">
        <f>IFERROR(ROUND((F5*H5),1)-ROUND((D5*E5),1),"")</f>
        <v/>
      </c>
      <c r="J5" s="127" t="s">
        <v>305</v>
      </c>
      <c r="K5" s="117">
        <v>0.52</v>
      </c>
      <c r="L5" s="128">
        <v>0.48</v>
      </c>
      <c r="O5" s="248"/>
      <c r="P5" s="249"/>
      <c r="Q5" s="249"/>
      <c r="R5" s="249"/>
      <c r="S5" s="249"/>
      <c r="T5" s="249"/>
      <c r="U5" s="250"/>
      <c r="V5" s="121"/>
    </row>
    <row r="6" spans="1:24" ht="14.4" customHeight="1" x14ac:dyDescent="0.3">
      <c r="A6" s="161">
        <f>'Project Assessment'!A10:B10</f>
        <v>0</v>
      </c>
      <c r="B6" s="162">
        <f>'Project Assessment'!C10</f>
        <v>0</v>
      </c>
      <c r="C6" s="86"/>
      <c r="D6" s="85"/>
      <c r="E6" s="85"/>
      <c r="F6" s="157"/>
      <c r="G6" s="86"/>
      <c r="H6" s="84" t="str">
        <f t="shared" si="0"/>
        <v/>
      </c>
      <c r="I6" s="120" t="str">
        <f t="shared" ref="I6:I25" si="1">IFERROR(ROUND((F6*H6),1)-ROUND((D6*E6),1),"")</f>
        <v/>
      </c>
      <c r="J6" s="127" t="s">
        <v>306</v>
      </c>
      <c r="K6" s="117">
        <v>0.32</v>
      </c>
      <c r="L6" s="128">
        <v>0.68</v>
      </c>
      <c r="O6" s="248"/>
      <c r="P6" s="249"/>
      <c r="Q6" s="249"/>
      <c r="R6" s="249"/>
      <c r="S6" s="249"/>
      <c r="T6" s="249"/>
      <c r="U6" s="250"/>
      <c r="V6" s="121"/>
    </row>
    <row r="7" spans="1:24" ht="14.4" customHeight="1" x14ac:dyDescent="0.3">
      <c r="A7" s="161">
        <f>'Project Assessment'!A11:B11</f>
        <v>0</v>
      </c>
      <c r="B7" s="162">
        <f>'Project Assessment'!C11</f>
        <v>0</v>
      </c>
      <c r="C7" s="86"/>
      <c r="D7" s="85"/>
      <c r="E7" s="85"/>
      <c r="F7" s="85"/>
      <c r="G7" s="86"/>
      <c r="H7" s="84" t="str">
        <f t="shared" si="0"/>
        <v/>
      </c>
      <c r="I7" s="120" t="str">
        <f t="shared" si="1"/>
        <v/>
      </c>
      <c r="J7" s="127" t="s">
        <v>307</v>
      </c>
      <c r="K7" s="117">
        <v>0.12</v>
      </c>
      <c r="L7" s="128">
        <v>0.88</v>
      </c>
      <c r="O7" s="248"/>
      <c r="P7" s="249"/>
      <c r="Q7" s="249"/>
      <c r="R7" s="249"/>
      <c r="S7" s="249"/>
      <c r="T7" s="249"/>
      <c r="U7" s="250"/>
      <c r="V7" s="121"/>
    </row>
    <row r="8" spans="1:24" ht="14.4" customHeight="1" thickBot="1" x14ac:dyDescent="0.35">
      <c r="A8" s="161">
        <f>'Project Assessment'!A12:B12</f>
        <v>0</v>
      </c>
      <c r="B8" s="162">
        <f>'Project Assessment'!C12</f>
        <v>0</v>
      </c>
      <c r="C8" s="86"/>
      <c r="D8" s="85"/>
      <c r="E8" s="85"/>
      <c r="F8" s="85"/>
      <c r="G8" s="86"/>
      <c r="H8" s="84" t="str">
        <f t="shared" si="0"/>
        <v/>
      </c>
      <c r="I8" s="120" t="str">
        <f t="shared" si="1"/>
        <v/>
      </c>
      <c r="J8" s="129" t="s">
        <v>308</v>
      </c>
      <c r="K8" s="130">
        <v>0</v>
      </c>
      <c r="L8" s="131">
        <v>1</v>
      </c>
      <c r="O8" s="248"/>
      <c r="P8" s="249"/>
      <c r="Q8" s="249"/>
      <c r="R8" s="249"/>
      <c r="S8" s="249"/>
      <c r="T8" s="249"/>
      <c r="U8" s="250"/>
      <c r="V8" s="121"/>
    </row>
    <row r="9" spans="1:24" ht="14.4" customHeight="1" thickBot="1" x14ac:dyDescent="0.35">
      <c r="A9" s="161">
        <f>'Project Assessment'!A13:B13</f>
        <v>0</v>
      </c>
      <c r="B9" s="162">
        <f>'Project Assessment'!C13</f>
        <v>0</v>
      </c>
      <c r="C9" s="86"/>
      <c r="D9" s="85"/>
      <c r="E9" s="85"/>
      <c r="F9" s="85"/>
      <c r="G9" s="86"/>
      <c r="H9" s="84" t="str">
        <f t="shared" si="0"/>
        <v/>
      </c>
      <c r="I9" s="120" t="str">
        <f t="shared" si="1"/>
        <v/>
      </c>
      <c r="O9" s="251"/>
      <c r="P9" s="252"/>
      <c r="Q9" s="252"/>
      <c r="R9" s="252"/>
      <c r="S9" s="252"/>
      <c r="T9" s="252"/>
      <c r="U9" s="253"/>
      <c r="V9" s="121"/>
    </row>
    <row r="10" spans="1:24" ht="14.4" customHeight="1" x14ac:dyDescent="0.3">
      <c r="A10" s="161">
        <f>'Project Assessment'!A14:B14</f>
        <v>0</v>
      </c>
      <c r="B10" s="162">
        <f>'Project Assessment'!C14</f>
        <v>0</v>
      </c>
      <c r="C10" s="86"/>
      <c r="D10" s="85"/>
      <c r="E10" s="85"/>
      <c r="F10" s="85"/>
      <c r="G10" s="86"/>
      <c r="H10" s="84" t="str">
        <f t="shared" si="0"/>
        <v/>
      </c>
      <c r="I10" s="120" t="str">
        <f>IFERROR(ROUND((F10*H10),1)-ROUND((D10*E10),1),"")</f>
        <v/>
      </c>
      <c r="O10" s="121"/>
      <c r="P10" s="121"/>
      <c r="Q10" s="121"/>
      <c r="R10" s="121"/>
      <c r="S10" s="121"/>
      <c r="T10" s="121"/>
      <c r="U10" s="121"/>
      <c r="V10" s="121"/>
    </row>
    <row r="11" spans="1:24" ht="14.4" customHeight="1" x14ac:dyDescent="0.3">
      <c r="A11" s="161">
        <f>'Project Assessment'!A15:B15</f>
        <v>0</v>
      </c>
      <c r="B11" s="162">
        <f>'Project Assessment'!C15</f>
        <v>0</v>
      </c>
      <c r="C11" s="86"/>
      <c r="D11" s="85"/>
      <c r="E11" s="85"/>
      <c r="F11" s="85"/>
      <c r="G11" s="86"/>
      <c r="H11" s="84" t="str">
        <f t="shared" si="0"/>
        <v/>
      </c>
      <c r="I11" s="120" t="str">
        <f t="shared" si="1"/>
        <v/>
      </c>
      <c r="O11" s="121"/>
      <c r="P11" s="121"/>
      <c r="Q11" s="121"/>
      <c r="R11" s="121"/>
      <c r="S11" s="121"/>
      <c r="T11" s="121"/>
      <c r="U11" s="121"/>
      <c r="V11" s="121"/>
    </row>
    <row r="12" spans="1:24" ht="14.4" customHeight="1" x14ac:dyDescent="0.3">
      <c r="A12" s="161">
        <f>'Project Assessment'!A16:B16</f>
        <v>0</v>
      </c>
      <c r="B12" s="162">
        <f>'Project Assessment'!C16</f>
        <v>0</v>
      </c>
      <c r="C12" s="86"/>
      <c r="D12" s="85"/>
      <c r="E12" s="85"/>
      <c r="F12" s="85"/>
      <c r="G12" s="86"/>
      <c r="H12" s="84" t="str">
        <f t="shared" si="0"/>
        <v/>
      </c>
      <c r="I12" s="120" t="str">
        <f t="shared" si="1"/>
        <v/>
      </c>
      <c r="O12" s="121"/>
      <c r="P12" s="121"/>
      <c r="Q12" s="121"/>
      <c r="R12" s="121"/>
      <c r="S12" s="121"/>
      <c r="T12" s="121"/>
      <c r="U12" s="121"/>
      <c r="V12" s="121"/>
    </row>
    <row r="13" spans="1:24" ht="14.4" customHeight="1" x14ac:dyDescent="0.3">
      <c r="A13" s="161">
        <f>'Project Assessment'!A17:B17</f>
        <v>0</v>
      </c>
      <c r="B13" s="162">
        <f>'Project Assessment'!C17</f>
        <v>0</v>
      </c>
      <c r="C13" s="86"/>
      <c r="D13" s="85"/>
      <c r="E13" s="85"/>
      <c r="F13" s="85"/>
      <c r="G13" s="86"/>
      <c r="H13" s="84" t="str">
        <f t="shared" si="0"/>
        <v/>
      </c>
      <c r="I13" s="120" t="str">
        <f t="shared" si="1"/>
        <v/>
      </c>
      <c r="O13" s="121"/>
      <c r="P13" s="121"/>
      <c r="Q13" s="121"/>
      <c r="R13" s="121"/>
      <c r="S13" s="121"/>
      <c r="T13" s="121"/>
      <c r="U13" s="121"/>
      <c r="V13" s="121"/>
    </row>
    <row r="14" spans="1:24" ht="14.4" customHeight="1" x14ac:dyDescent="0.3">
      <c r="A14" s="161">
        <f>'Project Assessment'!A18:B18</f>
        <v>0</v>
      </c>
      <c r="B14" s="162">
        <f>'Project Assessment'!C18</f>
        <v>0</v>
      </c>
      <c r="C14" s="86"/>
      <c r="D14" s="85"/>
      <c r="E14" s="85"/>
      <c r="F14" s="85"/>
      <c r="G14" s="86"/>
      <c r="H14" s="84" t="str">
        <f t="shared" si="0"/>
        <v/>
      </c>
      <c r="I14" s="120" t="str">
        <f t="shared" si="1"/>
        <v/>
      </c>
      <c r="O14" s="121"/>
      <c r="P14" s="121"/>
      <c r="Q14" s="121"/>
      <c r="R14" s="121"/>
      <c r="S14" s="121"/>
      <c r="T14" s="121"/>
      <c r="U14" s="121"/>
      <c r="V14" s="121"/>
    </row>
    <row r="15" spans="1:24" ht="14.4" customHeight="1" x14ac:dyDescent="0.3">
      <c r="A15" s="161">
        <f>'Project Assessment'!A19:B19</f>
        <v>0</v>
      </c>
      <c r="B15" s="162">
        <f>'Project Assessment'!C19</f>
        <v>0</v>
      </c>
      <c r="C15" s="86"/>
      <c r="D15" s="85"/>
      <c r="E15" s="85"/>
      <c r="F15" s="85"/>
      <c r="G15" s="86"/>
      <c r="H15" s="84" t="str">
        <f t="shared" si="0"/>
        <v/>
      </c>
      <c r="I15" s="120" t="str">
        <f t="shared" si="1"/>
        <v/>
      </c>
      <c r="X15" s="2"/>
    </row>
    <row r="16" spans="1:24" ht="14.4" customHeight="1" x14ac:dyDescent="0.3">
      <c r="A16" s="161">
        <f>'Project Assessment'!A20:B20</f>
        <v>0</v>
      </c>
      <c r="B16" s="162">
        <f>'Project Assessment'!C20</f>
        <v>0</v>
      </c>
      <c r="C16" s="86"/>
      <c r="D16" s="85"/>
      <c r="E16" s="85"/>
      <c r="F16" s="85"/>
      <c r="G16" s="86"/>
      <c r="H16" s="84" t="str">
        <f t="shared" si="0"/>
        <v/>
      </c>
      <c r="I16" s="120" t="str">
        <f t="shared" si="1"/>
        <v/>
      </c>
    </row>
    <row r="17" spans="1:10" ht="14.4" customHeight="1" x14ac:dyDescent="0.3">
      <c r="A17" s="161">
        <f>'Project Assessment'!A21:B21</f>
        <v>0</v>
      </c>
      <c r="B17" s="162">
        <f>'Project Assessment'!C21</f>
        <v>0</v>
      </c>
      <c r="C17" s="86"/>
      <c r="D17" s="85"/>
      <c r="E17" s="85"/>
      <c r="F17" s="85"/>
      <c r="G17" s="86"/>
      <c r="H17" s="84" t="str">
        <f t="shared" si="0"/>
        <v/>
      </c>
      <c r="I17" s="120" t="str">
        <f t="shared" si="1"/>
        <v/>
      </c>
    </row>
    <row r="18" spans="1:10" ht="14.4" customHeight="1" x14ac:dyDescent="0.3">
      <c r="A18" s="161">
        <f>'Project Assessment'!A22:B22</f>
        <v>0</v>
      </c>
      <c r="B18" s="162">
        <f>'Project Assessment'!C22</f>
        <v>0</v>
      </c>
      <c r="C18" s="86"/>
      <c r="D18" s="85"/>
      <c r="E18" s="85"/>
      <c r="F18" s="85"/>
      <c r="G18" s="86"/>
      <c r="H18" s="84" t="str">
        <f t="shared" si="0"/>
        <v/>
      </c>
      <c r="I18" s="120" t="str">
        <f t="shared" si="1"/>
        <v/>
      </c>
    </row>
    <row r="19" spans="1:10" ht="14.4" customHeight="1" x14ac:dyDescent="0.3">
      <c r="A19" s="161">
        <f>'Project Assessment'!A23:B23</f>
        <v>0</v>
      </c>
      <c r="B19" s="162">
        <f>'Project Assessment'!C23</f>
        <v>0</v>
      </c>
      <c r="C19" s="86"/>
      <c r="D19" s="85"/>
      <c r="E19" s="85"/>
      <c r="F19" s="85"/>
      <c r="G19" s="86"/>
      <c r="H19" s="84" t="str">
        <f t="shared" si="0"/>
        <v/>
      </c>
      <c r="I19" s="120" t="str">
        <f t="shared" si="1"/>
        <v/>
      </c>
    </row>
    <row r="20" spans="1:10" ht="14.4" customHeight="1" x14ac:dyDescent="0.3">
      <c r="A20" s="161">
        <f>'Project Assessment'!A24:B24</f>
        <v>0</v>
      </c>
      <c r="B20" s="162">
        <f>'Project Assessment'!C24</f>
        <v>0</v>
      </c>
      <c r="C20" s="86"/>
      <c r="D20" s="85"/>
      <c r="E20" s="85"/>
      <c r="F20" s="85"/>
      <c r="G20" s="86"/>
      <c r="H20" s="84" t="str">
        <f t="shared" si="0"/>
        <v/>
      </c>
      <c r="I20" s="120" t="str">
        <f t="shared" si="1"/>
        <v/>
      </c>
    </row>
    <row r="21" spans="1:10" ht="14.4" customHeight="1" x14ac:dyDescent="0.3">
      <c r="A21" s="161">
        <f>'Project Assessment'!A25:B25</f>
        <v>0</v>
      </c>
      <c r="B21" s="162">
        <f>'Project Assessment'!C25</f>
        <v>0</v>
      </c>
      <c r="C21" s="86"/>
      <c r="D21" s="85"/>
      <c r="E21" s="85"/>
      <c r="F21" s="85"/>
      <c r="G21" s="86"/>
      <c r="H21" s="84" t="str">
        <f t="shared" si="0"/>
        <v/>
      </c>
      <c r="I21" s="120" t="str">
        <f t="shared" si="1"/>
        <v/>
      </c>
    </row>
    <row r="22" spans="1:10" ht="14.4" customHeight="1" x14ac:dyDescent="0.3">
      <c r="A22" s="161">
        <f>'Project Assessment'!A26:B26</f>
        <v>0</v>
      </c>
      <c r="B22" s="162">
        <f>'Project Assessment'!C26</f>
        <v>0</v>
      </c>
      <c r="C22" s="86"/>
      <c r="D22" s="85"/>
      <c r="E22" s="85"/>
      <c r="F22" s="85"/>
      <c r="G22" s="86"/>
      <c r="H22" s="84" t="str">
        <f t="shared" si="0"/>
        <v/>
      </c>
      <c r="I22" s="120" t="str">
        <f t="shared" si="1"/>
        <v/>
      </c>
    </row>
    <row r="23" spans="1:10" ht="14.4" customHeight="1" x14ac:dyDescent="0.3">
      <c r="A23" s="161">
        <f>'Project Assessment'!A27:B27</f>
        <v>0</v>
      </c>
      <c r="B23" s="162">
        <f>'Project Assessment'!C27</f>
        <v>0</v>
      </c>
      <c r="C23" s="86"/>
      <c r="D23" s="85"/>
      <c r="E23" s="85"/>
      <c r="F23" s="85"/>
      <c r="G23" s="86"/>
      <c r="H23" s="84" t="str">
        <f t="shared" si="0"/>
        <v/>
      </c>
      <c r="I23" s="120" t="str">
        <f t="shared" si="1"/>
        <v/>
      </c>
    </row>
    <row r="24" spans="1:10" ht="14.4" customHeight="1" x14ac:dyDescent="0.3">
      <c r="A24" s="161">
        <f>'Project Assessment'!A28:B28</f>
        <v>0</v>
      </c>
      <c r="B24" s="162">
        <f>'Project Assessment'!C28</f>
        <v>0</v>
      </c>
      <c r="C24" s="86"/>
      <c r="D24" s="85"/>
      <c r="E24" s="85"/>
      <c r="F24" s="85"/>
      <c r="G24" s="86"/>
      <c r="H24" s="84" t="str">
        <f t="shared" si="0"/>
        <v/>
      </c>
      <c r="I24" s="120" t="str">
        <f t="shared" si="1"/>
        <v/>
      </c>
    </row>
    <row r="25" spans="1:10" ht="14.4" customHeight="1" x14ac:dyDescent="0.3">
      <c r="A25" s="161">
        <f>'Project Assessment'!A29:B29</f>
        <v>0</v>
      </c>
      <c r="B25" s="162">
        <f>'Project Assessment'!C29</f>
        <v>0</v>
      </c>
      <c r="C25" s="86"/>
      <c r="D25" s="85"/>
      <c r="E25" s="85"/>
      <c r="F25" s="85"/>
      <c r="G25" s="86"/>
      <c r="H25" s="84" t="str">
        <f t="shared" si="0"/>
        <v/>
      </c>
      <c r="I25" s="120" t="str">
        <f t="shared" si="1"/>
        <v/>
      </c>
    </row>
    <row r="26" spans="1:10" ht="31.5" customHeight="1" thickBot="1" x14ac:dyDescent="0.35">
      <c r="A26" s="265" t="s">
        <v>364</v>
      </c>
      <c r="B26" s="266"/>
      <c r="C26" s="266"/>
      <c r="D26" s="266"/>
      <c r="E26" s="266"/>
      <c r="F26" s="266"/>
      <c r="G26" s="266"/>
      <c r="H26" s="266"/>
      <c r="I26" s="132">
        <f>SUM(I5:I18)</f>
        <v>0</v>
      </c>
    </row>
    <row r="27" spans="1:10" ht="6.6" customHeight="1" x14ac:dyDescent="0.4">
      <c r="J27" s="31"/>
    </row>
    <row r="28" spans="1:10" ht="18.600000000000001" thickBot="1" x14ac:dyDescent="0.4">
      <c r="A28" s="264" t="str">
        <f>IF(OR(F5&gt;D5,F6&gt;D6,F7&gt;D7,F8&gt;D8,F9&gt;D9,F10&gt;D10,F11&gt;D11,F12&gt;D12,F13&gt;D13,F14&gt;D14,F15&gt;D15,F16&gt;D16,F17&gt;D17,F18&gt;D18,F19&gt;D19,F20&gt;D20,F21&gt;D21,F22&gt;D22,F23&gt;D23,F24&gt;D24,F25&gt;D25),"**Proposed length should not be greater than existing length.**","")</f>
        <v/>
      </c>
      <c r="B28" s="264"/>
      <c r="C28" s="264"/>
      <c r="D28" s="264"/>
      <c r="E28" s="264"/>
      <c r="F28" s="264"/>
      <c r="G28" s="264"/>
      <c r="H28" s="264"/>
      <c r="I28" s="264"/>
    </row>
    <row r="29" spans="1:10" ht="15" thickBot="1" x14ac:dyDescent="0.35">
      <c r="D29" s="236" t="s">
        <v>361</v>
      </c>
      <c r="E29" s="237"/>
      <c r="F29" s="237"/>
      <c r="G29" s="237"/>
      <c r="H29" s="237"/>
      <c r="I29" s="238"/>
      <c r="J29" s="83"/>
    </row>
    <row r="30" spans="1:10" ht="15" customHeight="1" x14ac:dyDescent="0.3">
      <c r="A30" s="263" t="s">
        <v>353</v>
      </c>
      <c r="B30" s="263"/>
      <c r="D30" s="273" t="s">
        <v>383</v>
      </c>
      <c r="E30" s="274"/>
      <c r="F30" s="274"/>
      <c r="G30" s="274"/>
      <c r="H30" s="274"/>
      <c r="I30" s="275"/>
      <c r="J30" s="1"/>
    </row>
    <row r="31" spans="1:10" ht="45.75" customHeight="1" x14ac:dyDescent="0.3">
      <c r="A31" s="113" t="s">
        <v>309</v>
      </c>
      <c r="B31" s="113" t="s">
        <v>296</v>
      </c>
      <c r="D31" s="239"/>
      <c r="E31" s="240"/>
      <c r="F31" s="240"/>
      <c r="G31" s="240"/>
      <c r="H31" s="240"/>
      <c r="I31" s="241"/>
      <c r="J31" s="1"/>
    </row>
    <row r="32" spans="1:10" x14ac:dyDescent="0.3">
      <c r="A32" s="114">
        <f>'Existing Conditions'!B2</f>
        <v>0</v>
      </c>
      <c r="B32" s="115">
        <f>'Existing Conditions'!J9</f>
        <v>0.8</v>
      </c>
      <c r="D32" s="239"/>
      <c r="E32" s="240"/>
      <c r="F32" s="240"/>
      <c r="G32" s="240"/>
      <c r="H32" s="240"/>
      <c r="I32" s="241"/>
    </row>
    <row r="33" spans="1:9" x14ac:dyDescent="0.3">
      <c r="A33" s="114">
        <f>'Existing Conditions'!B48</f>
        <v>0</v>
      </c>
      <c r="B33" s="115">
        <f>'Existing Conditions'!J55</f>
        <v>1</v>
      </c>
      <c r="D33" s="239"/>
      <c r="E33" s="240"/>
      <c r="F33" s="240"/>
      <c r="G33" s="240"/>
      <c r="H33" s="240"/>
      <c r="I33" s="241"/>
    </row>
    <row r="34" spans="1:9" ht="15" customHeight="1" x14ac:dyDescent="0.3">
      <c r="A34" s="114">
        <f>'Existing Conditions'!B94</f>
        <v>0</v>
      </c>
      <c r="B34" s="115">
        <f>'Existing Conditions'!J101</f>
        <v>0.8</v>
      </c>
      <c r="D34" s="239"/>
      <c r="E34" s="240"/>
      <c r="F34" s="240"/>
      <c r="G34" s="240"/>
      <c r="H34" s="240"/>
      <c r="I34" s="241"/>
    </row>
    <row r="35" spans="1:9" ht="15" customHeight="1" x14ac:dyDescent="0.3">
      <c r="A35" s="114">
        <f>'Existing Conditions'!B140</f>
        <v>0</v>
      </c>
      <c r="B35" s="115">
        <f>'Existing Conditions'!J147</f>
        <v>0.8</v>
      </c>
      <c r="D35" s="239"/>
      <c r="E35" s="240"/>
      <c r="F35" s="240"/>
      <c r="G35" s="240"/>
      <c r="H35" s="240"/>
      <c r="I35" s="241"/>
    </row>
    <row r="36" spans="1:9" ht="14.25" customHeight="1" x14ac:dyDescent="0.3">
      <c r="A36" s="114">
        <f>'Existing Conditions'!B186</f>
        <v>0</v>
      </c>
      <c r="B36" s="115">
        <f>'Existing Conditions'!J193</f>
        <v>0.8</v>
      </c>
      <c r="D36" s="239"/>
      <c r="E36" s="240"/>
      <c r="F36" s="240"/>
      <c r="G36" s="240"/>
      <c r="H36" s="240"/>
      <c r="I36" s="241"/>
    </row>
    <row r="37" spans="1:9" x14ac:dyDescent="0.3">
      <c r="A37" s="114">
        <f>'Existing Conditions'!B232</f>
        <v>0</v>
      </c>
      <c r="B37" s="115">
        <f>'Existing Conditions'!J239</f>
        <v>0.8</v>
      </c>
      <c r="D37" s="239"/>
      <c r="E37" s="240"/>
      <c r="F37" s="240"/>
      <c r="G37" s="240"/>
      <c r="H37" s="240"/>
      <c r="I37" s="241"/>
    </row>
    <row r="38" spans="1:9" x14ac:dyDescent="0.3">
      <c r="A38" s="114">
        <f>'Existing Conditions'!B278</f>
        <v>0</v>
      </c>
      <c r="B38" s="115">
        <f>'Existing Conditions'!J285</f>
        <v>0.8</v>
      </c>
      <c r="D38" s="239"/>
      <c r="E38" s="240"/>
      <c r="F38" s="240"/>
      <c r="G38" s="240"/>
      <c r="H38" s="240"/>
      <c r="I38" s="241"/>
    </row>
    <row r="39" spans="1:9" ht="16.5" customHeight="1" x14ac:dyDescent="0.3">
      <c r="A39" s="114">
        <f>'Existing Conditions'!B324</f>
        <v>0</v>
      </c>
      <c r="B39" s="115">
        <f>'Existing Conditions'!J331</f>
        <v>0.8</v>
      </c>
      <c r="D39" s="239"/>
      <c r="E39" s="240"/>
      <c r="F39" s="240"/>
      <c r="G39" s="240"/>
      <c r="H39" s="240"/>
      <c r="I39" s="241"/>
    </row>
    <row r="40" spans="1:9" ht="15" customHeight="1" x14ac:dyDescent="0.3">
      <c r="A40" s="114">
        <f>'Existing Conditions'!B370</f>
        <v>0</v>
      </c>
      <c r="B40" s="115">
        <f>'Existing Conditions'!J377</f>
        <v>0.8</v>
      </c>
      <c r="D40" s="239"/>
      <c r="E40" s="240"/>
      <c r="F40" s="240"/>
      <c r="G40" s="240"/>
      <c r="H40" s="240"/>
      <c r="I40" s="241"/>
    </row>
    <row r="41" spans="1:9" ht="18" customHeight="1" x14ac:dyDescent="0.3">
      <c r="A41" s="114">
        <f>'Existing Conditions'!B416</f>
        <v>0</v>
      </c>
      <c r="B41" s="115">
        <f>'Existing Conditions'!J423</f>
        <v>0.8</v>
      </c>
      <c r="D41" s="239"/>
      <c r="E41" s="240"/>
      <c r="F41" s="240"/>
      <c r="G41" s="240"/>
      <c r="H41" s="240"/>
      <c r="I41" s="241"/>
    </row>
    <row r="42" spans="1:9" ht="16.5" customHeight="1" x14ac:dyDescent="0.3">
      <c r="A42" s="108"/>
      <c r="B42" s="108"/>
      <c r="D42" s="239"/>
      <c r="E42" s="240"/>
      <c r="F42" s="240"/>
      <c r="G42" s="240"/>
      <c r="H42" s="240"/>
      <c r="I42" s="241"/>
    </row>
    <row r="43" spans="1:9" ht="33.75" customHeight="1" x14ac:dyDescent="0.3">
      <c r="A43" s="108"/>
      <c r="B43" s="108"/>
      <c r="D43" s="239"/>
      <c r="E43" s="240"/>
      <c r="F43" s="240"/>
      <c r="G43" s="240"/>
      <c r="H43" s="240"/>
      <c r="I43" s="241"/>
    </row>
    <row r="44" spans="1:9" x14ac:dyDescent="0.3">
      <c r="A44" s="108"/>
      <c r="B44" s="108"/>
      <c r="D44" s="239"/>
      <c r="E44" s="240"/>
      <c r="F44" s="240"/>
      <c r="G44" s="240"/>
      <c r="H44" s="240"/>
      <c r="I44" s="241"/>
    </row>
    <row r="45" spans="1:9" ht="85.2" customHeight="1" x14ac:dyDescent="0.3">
      <c r="A45" s="108"/>
      <c r="B45" s="108"/>
      <c r="D45" s="239"/>
      <c r="E45" s="240"/>
      <c r="F45" s="240"/>
      <c r="G45" s="240"/>
      <c r="H45" s="240"/>
      <c r="I45" s="241"/>
    </row>
    <row r="46" spans="1:9" ht="30.6" customHeight="1" x14ac:dyDescent="0.3">
      <c r="A46" s="108"/>
      <c r="B46" s="108"/>
      <c r="D46" s="239"/>
      <c r="E46" s="240"/>
      <c r="F46" s="240"/>
      <c r="G46" s="240"/>
      <c r="H46" s="240"/>
      <c r="I46" s="241"/>
    </row>
    <row r="47" spans="1:9" ht="30.6" customHeight="1" thickBot="1" x14ac:dyDescent="0.35">
      <c r="A47" s="108"/>
      <c r="B47" s="108"/>
      <c r="D47" s="242"/>
      <c r="E47" s="243"/>
      <c r="F47" s="243"/>
      <c r="G47" s="243"/>
      <c r="H47" s="243"/>
      <c r="I47" s="244"/>
    </row>
    <row r="48" spans="1:9" x14ac:dyDescent="0.3">
      <c r="A48" s="108"/>
      <c r="B48" s="108"/>
      <c r="D48" s="239" t="s">
        <v>382</v>
      </c>
      <c r="E48" s="240"/>
      <c r="F48" s="240"/>
      <c r="G48" s="240"/>
      <c r="H48" s="240"/>
      <c r="I48" s="241"/>
    </row>
    <row r="49" spans="1:10" ht="34.5" customHeight="1" x14ac:dyDescent="0.3">
      <c r="A49" s="108"/>
      <c r="B49" s="108"/>
      <c r="D49" s="239"/>
      <c r="E49" s="240"/>
      <c r="F49" s="240"/>
      <c r="G49" s="240"/>
      <c r="H49" s="240"/>
      <c r="I49" s="241"/>
    </row>
    <row r="50" spans="1:10" ht="15" thickBot="1" x14ac:dyDescent="0.35">
      <c r="A50" s="108"/>
      <c r="B50" s="108"/>
      <c r="D50" s="242"/>
      <c r="E50" s="243"/>
      <c r="F50" s="243"/>
      <c r="G50" s="243"/>
      <c r="H50" s="243"/>
      <c r="I50" s="244"/>
    </row>
    <row r="51" spans="1:10" x14ac:dyDescent="0.3">
      <c r="A51" s="108"/>
      <c r="B51" s="108"/>
    </row>
    <row r="52" spans="1:10" x14ac:dyDescent="0.3">
      <c r="A52" s="108"/>
      <c r="B52" s="108"/>
    </row>
    <row r="53" spans="1:10" x14ac:dyDescent="0.3">
      <c r="A53" s="108"/>
      <c r="B53" s="108"/>
    </row>
    <row r="54" spans="1:10" x14ac:dyDescent="0.3">
      <c r="A54" s="108"/>
      <c r="B54" s="108"/>
    </row>
    <row r="55" spans="1:10" x14ac:dyDescent="0.3">
      <c r="A55" s="108"/>
      <c r="B55" s="108"/>
    </row>
    <row r="56" spans="1:10" x14ac:dyDescent="0.3">
      <c r="A56" s="108"/>
      <c r="B56" s="108"/>
    </row>
    <row r="57" spans="1:10" x14ac:dyDescent="0.3">
      <c r="A57" s="108"/>
      <c r="B57" s="108"/>
    </row>
    <row r="58" spans="1:10" x14ac:dyDescent="0.3">
      <c r="A58" s="108"/>
      <c r="B58" s="108"/>
    </row>
    <row r="59" spans="1:10" x14ac:dyDescent="0.3">
      <c r="A59" s="108"/>
      <c r="B59" s="108"/>
      <c r="E59" s="1"/>
      <c r="F59" s="1"/>
      <c r="G59" s="1"/>
      <c r="H59" s="1"/>
      <c r="I59" s="1"/>
    </row>
    <row r="60" spans="1:10" x14ac:dyDescent="0.3">
      <c r="A60" s="108"/>
      <c r="B60" s="108"/>
      <c r="E60" s="51"/>
      <c r="F60" s="51"/>
      <c r="G60" s="51"/>
      <c r="H60" s="51"/>
      <c r="I60" s="51"/>
      <c r="J60" s="1"/>
    </row>
    <row r="61" spans="1:10" x14ac:dyDescent="0.3">
      <c r="A61" s="108"/>
      <c r="B61" s="108"/>
      <c r="J61" s="51"/>
    </row>
    <row r="62" spans="1:10" x14ac:dyDescent="0.3">
      <c r="A62" s="108"/>
      <c r="B62" s="108"/>
    </row>
    <row r="63" spans="1:10" x14ac:dyDescent="0.3">
      <c r="A63" s="108"/>
      <c r="B63" s="108"/>
      <c r="E63" s="51"/>
      <c r="F63" s="51"/>
      <c r="G63" s="51"/>
      <c r="H63" s="51"/>
      <c r="I63" s="51"/>
    </row>
    <row r="64" spans="1:10" x14ac:dyDescent="0.3">
      <c r="E64" s="51"/>
      <c r="F64" s="51"/>
      <c r="G64" s="51"/>
      <c r="H64" s="51"/>
      <c r="I64" s="51"/>
      <c r="J64" s="51"/>
    </row>
    <row r="65" spans="5:10" x14ac:dyDescent="0.3">
      <c r="E65" s="51"/>
      <c r="F65" s="51"/>
      <c r="G65" s="51"/>
      <c r="H65" s="51"/>
      <c r="I65" s="51"/>
      <c r="J65" s="51"/>
    </row>
    <row r="66" spans="5:10" x14ac:dyDescent="0.3">
      <c r="E66" s="51"/>
      <c r="F66" s="51"/>
      <c r="G66" s="51"/>
      <c r="H66" s="51"/>
      <c r="I66" s="51"/>
      <c r="J66" s="51"/>
    </row>
    <row r="67" spans="5:10" x14ac:dyDescent="0.3">
      <c r="E67" s="51"/>
      <c r="F67" s="51"/>
      <c r="G67" s="51"/>
      <c r="H67" s="51"/>
      <c r="I67" s="51"/>
      <c r="J67" s="51"/>
    </row>
    <row r="68" spans="5:10" x14ac:dyDescent="0.3">
      <c r="J68" s="51"/>
    </row>
    <row r="72" spans="5:10" x14ac:dyDescent="0.3">
      <c r="E72" s="51"/>
      <c r="F72" s="51"/>
      <c r="G72" s="51"/>
      <c r="H72" s="51"/>
      <c r="I72" s="51"/>
    </row>
    <row r="73" spans="5:10" x14ac:dyDescent="0.3">
      <c r="J73" s="51"/>
    </row>
  </sheetData>
  <sheetProtection algorithmName="SHA-512" hashValue="QOlcJZEnkR1OlCIIfrQP/m0fsI+lZqwiL19KFNlXGW3BPSDFFtaMsQdwnZk8TLsU5omuI870h1NU0WE+jV+/xA==" saltValue="l2aJyE+VnZN4Hy3j0EO19g==" spinCount="100000" sheet="1" objects="1" scenarios="1" formatColumns="0" formatRows="0"/>
  <mergeCells count="12">
    <mergeCell ref="D29:I29"/>
    <mergeCell ref="D48:I50"/>
    <mergeCell ref="O1:U9"/>
    <mergeCell ref="E2:H2"/>
    <mergeCell ref="E1:H1"/>
    <mergeCell ref="A3:I3"/>
    <mergeCell ref="A30:B30"/>
    <mergeCell ref="A28:I28"/>
    <mergeCell ref="A26:H26"/>
    <mergeCell ref="A1:A2"/>
    <mergeCell ref="B1:C2"/>
    <mergeCell ref="D30:I47"/>
  </mergeCells>
  <conditionalFormatting sqref="A28">
    <cfRule type="expression" dxfId="1233" priority="1">
      <formula>OR(F5&gt;D5,F6&gt;D6,F7&gt;D7,F8&gt;D8,F9&gt;D9,F10&gt;D10,F11&gt;D11,F12&gt;D12,F13&gt;D13,F14&gt;D14,F15&gt;D15,F16&gt;D16,F17&gt;D17,F18&gt;D18,F19&gt;D19,F20&gt;D20,F21&gt;D21,F22&gt;D22,F23&gt;D23,F24&gt;D24,F25&gt;D25,#REF!&gt;#REF!,#REF!&gt;#REF!,#REF!&gt;#REF!,#REF!&gt;#REF!,#REF!&gt;#REF!)</formula>
    </cfRule>
  </conditionalFormatting>
  <conditionalFormatting sqref="E1:E2">
    <cfRule type="beginsWith" dxfId="1232" priority="28" stopIfTrue="1" operator="beginsWith" text="Functioning At Risk">
      <formula>LEFT(E1,LEN("Functioning At Risk"))="Functioning At Risk"</formula>
    </cfRule>
    <cfRule type="beginsWith" dxfId="1231" priority="29" stopIfTrue="1" operator="beginsWith" text="Not Functioning">
      <formula>LEFT(E1,LEN("Not Functioning"))="Not Functioning"</formula>
    </cfRule>
    <cfRule type="containsText" dxfId="1230" priority="30" operator="containsText" text="Functioning">
      <formula>NOT(ISERROR(SEARCH("Functioning",E1)))</formula>
    </cfRule>
  </conditionalFormatting>
  <conditionalFormatting sqref="F5:F25">
    <cfRule type="expression" dxfId="1229" priority="7">
      <formula>F5&gt;D5</formula>
    </cfRule>
  </conditionalFormatting>
  <dataValidations disablePrompts="1" count="2">
    <dataValidation type="list" showErrorMessage="1" sqref="C5:C25" xr:uid="{00000000-0002-0000-0100-000000000000}">
      <formula1>"1,2,3"</formula1>
    </dataValidation>
    <dataValidation type="list" allowBlank="1" showInputMessage="1" showErrorMessage="1" sqref="G5:G25" xr:uid="{00000000-0002-0000-0100-000001000000}">
      <formula1>$J$2:$J$8</formula1>
    </dataValidation>
  </dataValidations>
  <pageMargins left="0.7" right="0.7" top="0.75" bottom="0.75" header="0.3" footer="0.3"/>
  <pageSetup orientation="landscape" horizontalDpi="4294967292" verticalDpi="1200" r:id="rId1"/>
  <headerFooter>
    <oddHeader>&amp;LName:
Date: &amp;C&amp;"-,Bold"&amp;14TN SQT DEBIT TOOL v1.3</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zoomScaleNormal="100" workbookViewId="0">
      <selection activeCell="H2" sqref="H2"/>
    </sheetView>
  </sheetViews>
  <sheetFormatPr defaultRowHeight="14.4" x14ac:dyDescent="0.3"/>
  <cols>
    <col min="1" max="1" width="17.6640625" customWidth="1"/>
    <col min="2" max="2" width="29.5546875" customWidth="1"/>
    <col min="3" max="3" width="44.88671875" customWidth="1"/>
    <col min="4" max="4" width="25.109375" style="2" customWidth="1"/>
    <col min="5" max="5" width="13" style="2" customWidth="1"/>
  </cols>
  <sheetData>
    <row r="1" spans="1:6" ht="50.4" customHeight="1" x14ac:dyDescent="0.45">
      <c r="A1" s="276" t="s">
        <v>406</v>
      </c>
      <c r="B1" s="277"/>
      <c r="C1" s="277"/>
      <c r="D1" s="277"/>
      <c r="E1" s="277"/>
      <c r="F1" s="184"/>
    </row>
    <row r="2" spans="1:6" ht="137.25" customHeight="1" x14ac:dyDescent="0.3">
      <c r="A2" s="278" t="s">
        <v>407</v>
      </c>
      <c r="B2" s="278"/>
      <c r="C2" s="278"/>
      <c r="D2" s="278"/>
      <c r="E2" s="278"/>
    </row>
    <row r="3" spans="1:6" x14ac:dyDescent="0.3">
      <c r="A3" s="278"/>
      <c r="B3" s="278"/>
      <c r="C3" s="278"/>
      <c r="D3" s="278"/>
      <c r="E3" s="278"/>
    </row>
    <row r="4" spans="1:6" ht="6" customHeight="1" x14ac:dyDescent="0.3"/>
    <row r="5" spans="1:6" ht="6" customHeight="1" x14ac:dyDescent="0.3"/>
    <row r="6" spans="1:6" x14ac:dyDescent="0.3">
      <c r="A6" s="284" t="s">
        <v>1</v>
      </c>
      <c r="B6" s="284" t="s">
        <v>2</v>
      </c>
      <c r="C6" s="286" t="s">
        <v>3</v>
      </c>
      <c r="D6" s="288" t="s">
        <v>400</v>
      </c>
      <c r="E6" s="289"/>
    </row>
    <row r="7" spans="1:6" x14ac:dyDescent="0.3">
      <c r="A7" s="285"/>
      <c r="B7" s="285"/>
      <c r="C7" s="287"/>
      <c r="D7" s="169" t="s">
        <v>403</v>
      </c>
      <c r="E7" s="169" t="s">
        <v>25</v>
      </c>
    </row>
    <row r="8" spans="1:6" ht="24.6" customHeight="1" x14ac:dyDescent="0.3">
      <c r="A8" s="290" t="s">
        <v>57</v>
      </c>
      <c r="B8" s="170" t="s">
        <v>71</v>
      </c>
      <c r="C8" s="171" t="s">
        <v>313</v>
      </c>
      <c r="D8" s="170" t="s">
        <v>408</v>
      </c>
      <c r="E8" s="170" t="s">
        <v>401</v>
      </c>
    </row>
    <row r="9" spans="1:6" ht="28.2" customHeight="1" x14ac:dyDescent="0.3">
      <c r="A9" s="291"/>
      <c r="B9" s="172" t="s">
        <v>97</v>
      </c>
      <c r="C9" s="171" t="s">
        <v>125</v>
      </c>
      <c r="D9" s="170" t="s">
        <v>408</v>
      </c>
      <c r="E9" s="170" t="s">
        <v>401</v>
      </c>
    </row>
    <row r="10" spans="1:6" x14ac:dyDescent="0.3">
      <c r="A10" s="292" t="s">
        <v>4</v>
      </c>
      <c r="B10" s="292" t="s">
        <v>5</v>
      </c>
      <c r="C10" s="173" t="s">
        <v>6</v>
      </c>
      <c r="D10" s="181" t="s">
        <v>401</v>
      </c>
      <c r="E10" s="181" t="s">
        <v>402</v>
      </c>
    </row>
    <row r="11" spans="1:6" x14ac:dyDescent="0.3">
      <c r="A11" s="292"/>
      <c r="B11" s="292"/>
      <c r="C11" s="173" t="s">
        <v>7</v>
      </c>
      <c r="D11" s="181" t="s">
        <v>401</v>
      </c>
      <c r="E11" s="181" t="s">
        <v>402</v>
      </c>
    </row>
    <row r="12" spans="1:6" x14ac:dyDescent="0.3">
      <c r="A12" s="295" t="s">
        <v>23</v>
      </c>
      <c r="B12" s="295" t="s">
        <v>24</v>
      </c>
      <c r="C12" s="174" t="s">
        <v>388</v>
      </c>
      <c r="D12" s="175" t="s">
        <v>402</v>
      </c>
      <c r="E12" s="175" t="s">
        <v>402</v>
      </c>
    </row>
    <row r="13" spans="1:6" x14ac:dyDescent="0.3">
      <c r="A13" s="295"/>
      <c r="B13" s="295"/>
      <c r="C13" s="174" t="s">
        <v>267</v>
      </c>
      <c r="D13" s="175" t="s">
        <v>401</v>
      </c>
      <c r="E13" s="175" t="s">
        <v>401</v>
      </c>
    </row>
    <row r="14" spans="1:6" ht="15" customHeight="1" x14ac:dyDescent="0.3">
      <c r="A14" s="295"/>
      <c r="B14" s="281" t="s">
        <v>350</v>
      </c>
      <c r="C14" s="174" t="s">
        <v>66</v>
      </c>
      <c r="D14" s="175" t="s">
        <v>402</v>
      </c>
      <c r="E14" s="175" t="s">
        <v>402</v>
      </c>
    </row>
    <row r="15" spans="1:6" x14ac:dyDescent="0.3">
      <c r="A15" s="295"/>
      <c r="B15" s="282"/>
      <c r="C15" s="174" t="s">
        <v>47</v>
      </c>
      <c r="D15" s="175" t="s">
        <v>401</v>
      </c>
      <c r="E15" s="175" t="s">
        <v>401</v>
      </c>
    </row>
    <row r="16" spans="1:6" x14ac:dyDescent="0.3">
      <c r="A16" s="295"/>
      <c r="B16" s="282"/>
      <c r="C16" s="174" t="s">
        <v>72</v>
      </c>
      <c r="D16" s="175" t="s">
        <v>401</v>
      </c>
      <c r="E16" s="175" t="s">
        <v>401</v>
      </c>
    </row>
    <row r="17" spans="1:5" x14ac:dyDescent="0.3">
      <c r="A17" s="295"/>
      <c r="B17" s="283"/>
      <c r="C17" s="174" t="s">
        <v>389</v>
      </c>
      <c r="D17" s="175" t="s">
        <v>401</v>
      </c>
      <c r="E17" s="175" t="s">
        <v>401</v>
      </c>
    </row>
    <row r="18" spans="1:5" x14ac:dyDescent="0.3">
      <c r="A18" s="295"/>
      <c r="B18" s="281" t="s">
        <v>48</v>
      </c>
      <c r="C18" s="174" t="s">
        <v>390</v>
      </c>
      <c r="D18" s="175" t="s">
        <v>401</v>
      </c>
      <c r="E18" s="175" t="s">
        <v>401</v>
      </c>
    </row>
    <row r="19" spans="1:5" x14ac:dyDescent="0.3">
      <c r="A19" s="295"/>
      <c r="B19" s="282"/>
      <c r="C19" s="174" t="s">
        <v>391</v>
      </c>
      <c r="D19" s="175" t="s">
        <v>401</v>
      </c>
      <c r="E19" s="175" t="s">
        <v>401</v>
      </c>
    </row>
    <row r="20" spans="1:5" x14ac:dyDescent="0.3">
      <c r="A20" s="295"/>
      <c r="B20" s="282"/>
      <c r="C20" s="174" t="s">
        <v>392</v>
      </c>
      <c r="D20" s="175" t="s">
        <v>401</v>
      </c>
      <c r="E20" s="175" t="s">
        <v>401</v>
      </c>
    </row>
    <row r="21" spans="1:5" x14ac:dyDescent="0.3">
      <c r="A21" s="295"/>
      <c r="B21" s="282"/>
      <c r="C21" s="174" t="s">
        <v>393</v>
      </c>
      <c r="D21" s="175" t="s">
        <v>401</v>
      </c>
      <c r="E21" s="175" t="s">
        <v>401</v>
      </c>
    </row>
    <row r="22" spans="1:5" x14ac:dyDescent="0.3">
      <c r="A22" s="295"/>
      <c r="B22" s="282"/>
      <c r="C22" s="174" t="s">
        <v>318</v>
      </c>
      <c r="D22" s="175" t="s">
        <v>401</v>
      </c>
      <c r="E22" s="175" t="s">
        <v>401</v>
      </c>
    </row>
    <row r="23" spans="1:5" x14ac:dyDescent="0.3">
      <c r="A23" s="295"/>
      <c r="B23" s="282"/>
      <c r="C23" s="174" t="s">
        <v>319</v>
      </c>
      <c r="D23" s="175" t="s">
        <v>401</v>
      </c>
      <c r="E23" s="175" t="s">
        <v>401</v>
      </c>
    </row>
    <row r="24" spans="1:5" x14ac:dyDescent="0.3">
      <c r="A24" s="295"/>
      <c r="B24" s="282"/>
      <c r="C24" s="174" t="s">
        <v>394</v>
      </c>
      <c r="D24" s="175" t="s">
        <v>401</v>
      </c>
      <c r="E24" s="175" t="s">
        <v>401</v>
      </c>
    </row>
    <row r="25" spans="1:5" x14ac:dyDescent="0.3">
      <c r="A25" s="295"/>
      <c r="B25" s="282"/>
      <c r="C25" s="174" t="s">
        <v>395</v>
      </c>
      <c r="D25" s="175" t="s">
        <v>401</v>
      </c>
      <c r="E25" s="175" t="s">
        <v>401</v>
      </c>
    </row>
    <row r="26" spans="1:5" x14ac:dyDescent="0.3">
      <c r="A26" s="295"/>
      <c r="B26" s="282"/>
      <c r="C26" s="174" t="s">
        <v>322</v>
      </c>
      <c r="D26" s="175" t="s">
        <v>401</v>
      </c>
      <c r="E26" s="175" t="s">
        <v>401</v>
      </c>
    </row>
    <row r="27" spans="1:5" x14ac:dyDescent="0.3">
      <c r="A27" s="295"/>
      <c r="B27" s="283"/>
      <c r="C27" s="174" t="s">
        <v>323</v>
      </c>
      <c r="D27" s="175" t="s">
        <v>401</v>
      </c>
      <c r="E27" s="175" t="s">
        <v>401</v>
      </c>
    </row>
    <row r="28" spans="1:5" x14ac:dyDescent="0.3">
      <c r="A28" s="295"/>
      <c r="B28" s="175" t="s">
        <v>87</v>
      </c>
      <c r="C28" s="174" t="s">
        <v>102</v>
      </c>
      <c r="D28" s="175" t="s">
        <v>402</v>
      </c>
      <c r="E28" s="175" t="s">
        <v>402</v>
      </c>
    </row>
    <row r="29" spans="1:5" ht="28.95" customHeight="1" x14ac:dyDescent="0.3">
      <c r="A29" s="295"/>
      <c r="B29" s="281" t="s">
        <v>396</v>
      </c>
      <c r="C29" s="174" t="s">
        <v>397</v>
      </c>
      <c r="D29" s="281" t="s">
        <v>405</v>
      </c>
      <c r="E29" s="175" t="s">
        <v>402</v>
      </c>
    </row>
    <row r="30" spans="1:5" x14ac:dyDescent="0.3">
      <c r="A30" s="295"/>
      <c r="B30" s="282"/>
      <c r="C30" s="174" t="s">
        <v>51</v>
      </c>
      <c r="D30" s="282"/>
      <c r="E30" s="175" t="s">
        <v>402</v>
      </c>
    </row>
    <row r="31" spans="1:5" x14ac:dyDescent="0.3">
      <c r="A31" s="295"/>
      <c r="B31" s="282"/>
      <c r="C31" s="174" t="s">
        <v>281</v>
      </c>
      <c r="D31" s="283"/>
      <c r="E31" s="175" t="s">
        <v>402</v>
      </c>
    </row>
    <row r="32" spans="1:5" ht="19.95" customHeight="1" x14ac:dyDescent="0.3">
      <c r="A32" s="295"/>
      <c r="B32" s="283"/>
      <c r="C32" s="174" t="s">
        <v>173</v>
      </c>
      <c r="D32" s="175" t="s">
        <v>402</v>
      </c>
      <c r="E32" s="175" t="s">
        <v>402</v>
      </c>
    </row>
    <row r="33" spans="1:5" ht="20.399999999999999" customHeight="1" x14ac:dyDescent="0.3">
      <c r="A33" s="295"/>
      <c r="B33" s="175" t="s">
        <v>53</v>
      </c>
      <c r="C33" s="174" t="s">
        <v>52</v>
      </c>
      <c r="D33" s="175" t="s">
        <v>401</v>
      </c>
      <c r="E33" s="175" t="s">
        <v>402</v>
      </c>
    </row>
    <row r="34" spans="1:5" ht="66" customHeight="1" x14ac:dyDescent="0.3">
      <c r="A34" s="294" t="s">
        <v>55</v>
      </c>
      <c r="B34" s="176" t="s">
        <v>73</v>
      </c>
      <c r="C34" s="177" t="s">
        <v>398</v>
      </c>
      <c r="D34" s="176" t="s">
        <v>404</v>
      </c>
      <c r="E34" s="176" t="s">
        <v>402</v>
      </c>
    </row>
    <row r="35" spans="1:5" x14ac:dyDescent="0.3">
      <c r="A35" s="294"/>
      <c r="B35" s="176" t="s">
        <v>289</v>
      </c>
      <c r="C35" s="177" t="s">
        <v>288</v>
      </c>
      <c r="D35" s="176" t="s">
        <v>402</v>
      </c>
      <c r="E35" s="176" t="s">
        <v>402</v>
      </c>
    </row>
    <row r="36" spans="1:5" ht="43.2" customHeight="1" x14ac:dyDescent="0.3">
      <c r="A36" s="294"/>
      <c r="B36" s="176" t="s">
        <v>67</v>
      </c>
      <c r="C36" s="178" t="s">
        <v>240</v>
      </c>
      <c r="D36" s="279" t="s">
        <v>404</v>
      </c>
      <c r="E36" s="176" t="s">
        <v>402</v>
      </c>
    </row>
    <row r="37" spans="1:5" ht="24.6" customHeight="1" x14ac:dyDescent="0.3">
      <c r="A37" s="294"/>
      <c r="B37" s="176" t="s">
        <v>68</v>
      </c>
      <c r="C37" s="178" t="s">
        <v>239</v>
      </c>
      <c r="D37" s="280"/>
      <c r="E37" s="176" t="s">
        <v>402</v>
      </c>
    </row>
    <row r="38" spans="1:5" ht="73.95" customHeight="1" x14ac:dyDescent="0.3">
      <c r="A38" s="293" t="s">
        <v>56</v>
      </c>
      <c r="B38" s="293" t="s">
        <v>287</v>
      </c>
      <c r="C38" s="179" t="s">
        <v>399</v>
      </c>
      <c r="D38" s="183" t="s">
        <v>404</v>
      </c>
      <c r="E38" s="182" t="s">
        <v>402</v>
      </c>
    </row>
    <row r="39" spans="1:5" x14ac:dyDescent="0.3">
      <c r="A39" s="293"/>
      <c r="B39" s="293"/>
      <c r="C39" s="179" t="s">
        <v>282</v>
      </c>
      <c r="D39" s="182" t="s">
        <v>402</v>
      </c>
      <c r="E39" s="182" t="s">
        <v>402</v>
      </c>
    </row>
    <row r="40" spans="1:5" x14ac:dyDescent="0.3">
      <c r="A40" s="293"/>
      <c r="B40" s="293"/>
      <c r="C40" s="179" t="s">
        <v>286</v>
      </c>
      <c r="D40" s="182" t="s">
        <v>402</v>
      </c>
      <c r="E40" s="182" t="s">
        <v>402</v>
      </c>
    </row>
    <row r="41" spans="1:5" x14ac:dyDescent="0.3">
      <c r="A41" s="293"/>
      <c r="B41" s="293"/>
      <c r="C41" s="180" t="s">
        <v>283</v>
      </c>
      <c r="D41" s="182" t="s">
        <v>402</v>
      </c>
      <c r="E41" s="182" t="s">
        <v>402</v>
      </c>
    </row>
    <row r="42" spans="1:5" x14ac:dyDescent="0.3">
      <c r="A42" s="293"/>
      <c r="B42" s="293" t="s">
        <v>65</v>
      </c>
      <c r="C42" s="180" t="s">
        <v>174</v>
      </c>
      <c r="D42" s="182" t="s">
        <v>402</v>
      </c>
      <c r="E42" s="182" t="s">
        <v>402</v>
      </c>
    </row>
    <row r="43" spans="1:5" x14ac:dyDescent="0.3">
      <c r="A43" s="293"/>
      <c r="B43" s="293"/>
      <c r="C43" s="180" t="s">
        <v>279</v>
      </c>
      <c r="D43" s="182" t="s">
        <v>402</v>
      </c>
      <c r="E43" s="182" t="s">
        <v>402</v>
      </c>
    </row>
  </sheetData>
  <sheetProtection algorithmName="SHA-512" hashValue="VUmtVlX1dq4TPPa+CGHvtiZpVM3vS1i0tWvWGvGOIPhj973bNDN0llwXdaM+W2y5tjV9qcJ7/Vm17sF2s257FA==" saltValue="luys5//nBNaGtWQjeGSniQ==" spinCount="100000" sheet="1" formatColumns="0" formatRows="0"/>
  <mergeCells count="20">
    <mergeCell ref="A38:A43"/>
    <mergeCell ref="B38:B41"/>
    <mergeCell ref="B42:B43"/>
    <mergeCell ref="B18:B27"/>
    <mergeCell ref="B29:B32"/>
    <mergeCell ref="A34:A37"/>
    <mergeCell ref="A12:A33"/>
    <mergeCell ref="B12:B13"/>
    <mergeCell ref="B14:B17"/>
    <mergeCell ref="A1:E1"/>
    <mergeCell ref="A2:E3"/>
    <mergeCell ref="D36:D37"/>
    <mergeCell ref="D29:D31"/>
    <mergeCell ref="A6:A7"/>
    <mergeCell ref="B6:B7"/>
    <mergeCell ref="C6:C7"/>
    <mergeCell ref="D6:E6"/>
    <mergeCell ref="A8:A9"/>
    <mergeCell ref="A10:A11"/>
    <mergeCell ref="B10:B11"/>
  </mergeCells>
  <conditionalFormatting sqref="A10:B10 C10:C11">
    <cfRule type="beginsWith" dxfId="1228" priority="13" stopIfTrue="1" operator="beginsWith" text="Functioning At Risk">
      <formula>LEFT(A10,LEN("Functioning At Risk"))="Functioning At Risk"</formula>
    </cfRule>
    <cfRule type="beginsWith" dxfId="1227" priority="14" stopIfTrue="1" operator="beginsWith" text="Not Functioning">
      <formula>LEFT(A10,LEN("Not Functioning"))="Not Functioning"</formula>
    </cfRule>
    <cfRule type="containsText" dxfId="1226" priority="15" operator="containsText" text="Functioning">
      <formula>NOT(ISERROR(SEARCH("Functioning",A10)))</formula>
    </cfRule>
  </conditionalFormatting>
  <conditionalFormatting sqref="A6:D6">
    <cfRule type="beginsWith" dxfId="1225" priority="16" stopIfTrue="1" operator="beginsWith" text="Functioning At Risk">
      <formula>LEFT(A6,LEN("Functioning At Risk"))="Functioning At Risk"</formula>
    </cfRule>
    <cfRule type="beginsWith" dxfId="1224" priority="17" stopIfTrue="1" operator="beginsWith" text="Not Functioning">
      <formula>LEFT(A6,LEN("Not Functioning"))="Not Functioning"</formula>
    </cfRule>
    <cfRule type="containsText" dxfId="1223" priority="18" operator="containsText" text="Functioning">
      <formula>NOT(ISERROR(SEARCH("Functioning",A6)))</formula>
    </cfRule>
  </conditionalFormatting>
  <conditionalFormatting sqref="C36">
    <cfRule type="beginsWith" dxfId="1222" priority="10" stopIfTrue="1" operator="beginsWith" text="Functioning At Risk">
      <formula>LEFT(C36,LEN("Functioning At Risk"))="Functioning At Risk"</formula>
    </cfRule>
    <cfRule type="beginsWith" dxfId="1221" priority="11" stopIfTrue="1" operator="beginsWith" text="Not Functioning">
      <formula>LEFT(C36,LEN("Not Functioning"))="Not Functioning"</formula>
    </cfRule>
    <cfRule type="containsText" dxfId="1220" priority="12" operator="containsText" text="Functioning">
      <formula>NOT(ISERROR(SEARCH("Functioning",C36)))</formula>
    </cfRule>
  </conditionalFormatting>
  <conditionalFormatting sqref="D7:E7">
    <cfRule type="beginsWith" dxfId="1219" priority="1" stopIfTrue="1" operator="beginsWith" text="Functioning At Risk">
      <formula>LEFT(D7,LEN("Functioning At Risk"))="Functioning At Risk"</formula>
    </cfRule>
    <cfRule type="beginsWith" dxfId="1218" priority="2" stopIfTrue="1" operator="beginsWith" text="Not Functioning">
      <formula>LEFT(D7,LEN("Not Functioning"))="Not Functioning"</formula>
    </cfRule>
    <cfRule type="containsText" dxfId="1217" priority="3" operator="containsText" text="Functioning">
      <formula>NOT(ISERROR(SEARCH("Functioning",D7)))</formula>
    </cfRule>
  </conditionalFormatting>
  <pageMargins left="0.25" right="0.25" top="0.75" bottom="0.75" header="0.3" footer="0.3"/>
  <pageSetup orientation="landscape"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8"/>
  <sheetViews>
    <sheetView showGridLines="0" zoomScale="90" zoomScaleNormal="90" zoomScaleSheetLayoutView="70" zoomScalePageLayoutView="55" workbookViewId="0">
      <selection activeCell="E450" sqref="E450"/>
    </sheetView>
  </sheetViews>
  <sheetFormatPr defaultRowHeight="14.4" x14ac:dyDescent="0.3"/>
  <cols>
    <col min="1" max="1" width="30" customWidth="1"/>
    <col min="2" max="2" width="30.88671875" customWidth="1"/>
    <col min="3" max="3" width="28" customWidth="1"/>
    <col min="4" max="4" width="23.33203125" customWidth="1"/>
    <col min="5" max="5" width="14.44140625" customWidth="1"/>
    <col min="6" max="6" width="12.6640625" customWidth="1"/>
    <col min="7" max="7" width="18.88671875" customWidth="1"/>
    <col min="8" max="8" width="12.6640625" customWidth="1"/>
    <col min="9" max="9" width="17.33203125" style="51" customWidth="1"/>
    <col min="10" max="10" width="16.109375" customWidth="1"/>
    <col min="11" max="11" width="18.5546875" customWidth="1"/>
    <col min="12" max="12" width="13.6640625" customWidth="1"/>
  </cols>
  <sheetData>
    <row r="1" spans="1:14" ht="21" customHeight="1" x14ac:dyDescent="0.3">
      <c r="A1" s="296" t="s">
        <v>295</v>
      </c>
      <c r="B1" s="297"/>
      <c r="C1" s="297"/>
      <c r="D1" s="297"/>
      <c r="E1" s="340"/>
      <c r="F1" s="340"/>
      <c r="G1" s="297"/>
      <c r="H1" s="297"/>
      <c r="I1" s="297"/>
      <c r="J1" s="298"/>
    </row>
    <row r="2" spans="1:14" ht="16.2" customHeight="1" x14ac:dyDescent="0.3">
      <c r="A2" s="6" t="s">
        <v>85</v>
      </c>
      <c r="B2" s="7"/>
      <c r="C2" s="6" t="s">
        <v>15</v>
      </c>
      <c r="D2" s="7"/>
      <c r="E2" s="165" t="s">
        <v>387</v>
      </c>
      <c r="F2" s="168"/>
      <c r="G2" s="166"/>
      <c r="H2" s="299" t="s">
        <v>367</v>
      </c>
      <c r="I2" s="300"/>
      <c r="J2" s="7"/>
    </row>
    <row r="3" spans="1:14" ht="16.2" customHeight="1" x14ac:dyDescent="0.3">
      <c r="A3" s="6" t="s">
        <v>86</v>
      </c>
      <c r="B3" s="39"/>
      <c r="C3" s="6" t="s">
        <v>371</v>
      </c>
      <c r="D3" s="39"/>
      <c r="E3" s="167" t="s">
        <v>94</v>
      </c>
      <c r="F3" s="167"/>
      <c r="G3" s="39"/>
      <c r="H3" s="299" t="s">
        <v>368</v>
      </c>
      <c r="I3" s="300"/>
      <c r="J3" s="7"/>
    </row>
    <row r="4" spans="1:14" ht="16.2" customHeight="1" x14ac:dyDescent="0.4">
      <c r="A4" s="6" t="s">
        <v>365</v>
      </c>
      <c r="B4" s="39"/>
      <c r="C4" s="6" t="s">
        <v>372</v>
      </c>
      <c r="D4" s="7"/>
      <c r="E4" s="331" t="s">
        <v>150</v>
      </c>
      <c r="F4" s="331"/>
      <c r="G4" s="39"/>
      <c r="H4" s="299" t="s">
        <v>369</v>
      </c>
      <c r="I4" s="300"/>
      <c r="J4" s="7"/>
      <c r="K4" s="31"/>
    </row>
    <row r="5" spans="1:14" ht="16.2" customHeight="1" x14ac:dyDescent="0.3">
      <c r="A5" s="6" t="s">
        <v>290</v>
      </c>
      <c r="B5" s="39"/>
      <c r="C5" s="6" t="s">
        <v>351</v>
      </c>
      <c r="D5" s="39"/>
      <c r="E5" s="332" t="s">
        <v>260</v>
      </c>
      <c r="F5" s="332"/>
      <c r="G5" s="39"/>
      <c r="H5" s="299" t="s">
        <v>370</v>
      </c>
      <c r="I5" s="300"/>
      <c r="J5" s="7"/>
      <c r="K5" s="47"/>
    </row>
    <row r="6" spans="1:14" ht="9.6" customHeight="1" x14ac:dyDescent="0.3">
      <c r="A6" s="112"/>
      <c r="B6" s="112"/>
      <c r="C6" s="112"/>
      <c r="D6" s="112"/>
      <c r="E6" s="112"/>
      <c r="F6" s="112"/>
      <c r="G6" s="112"/>
      <c r="H6" s="112"/>
      <c r="I6" s="109"/>
      <c r="K6" s="47"/>
    </row>
    <row r="7" spans="1:14" ht="19.95" customHeight="1" x14ac:dyDescent="0.4">
      <c r="A7" s="304" t="s">
        <v>54</v>
      </c>
      <c r="B7" s="304"/>
      <c r="C7" s="304"/>
      <c r="D7" s="304"/>
      <c r="E7" s="304"/>
      <c r="F7" s="304"/>
      <c r="G7" s="304" t="s">
        <v>16</v>
      </c>
      <c r="H7" s="304"/>
      <c r="I7" s="304"/>
      <c r="J7" s="304"/>
    </row>
    <row r="8" spans="1:14" ht="15.6" x14ac:dyDescent="0.3">
      <c r="A8" s="8" t="s">
        <v>1</v>
      </c>
      <c r="B8" s="8" t="s">
        <v>2</v>
      </c>
      <c r="C8" s="305" t="s">
        <v>3</v>
      </c>
      <c r="D8" s="306"/>
      <c r="E8" s="8" t="s">
        <v>13</v>
      </c>
      <c r="F8" s="37" t="s">
        <v>14</v>
      </c>
      <c r="G8" s="8" t="s">
        <v>17</v>
      </c>
      <c r="H8" s="8" t="s">
        <v>18</v>
      </c>
      <c r="I8" s="111" t="s">
        <v>18</v>
      </c>
      <c r="J8" s="8" t="s">
        <v>296</v>
      </c>
    </row>
    <row r="9" spans="1:14" ht="15.6" x14ac:dyDescent="0.3">
      <c r="A9" s="310" t="s">
        <v>57</v>
      </c>
      <c r="B9" s="139" t="s">
        <v>71</v>
      </c>
      <c r="C9" s="344" t="s">
        <v>313</v>
      </c>
      <c r="D9" s="345"/>
      <c r="E9" s="7"/>
      <c r="F9" s="138">
        <f>IF(E9="", IF(G2="Yes",1,0.8),IF(E9&lt;=0,0,IF(E9&gt;=0.95,1,ROUND('Reference Standards'!B$3*E9+'Reference Standards'!B$4,2))))</f>
        <v>0.8</v>
      </c>
      <c r="G9" s="135">
        <f>IFERROR(ROUND(AVERAGE(F9),2),"")</f>
        <v>0.8</v>
      </c>
      <c r="H9" s="312">
        <f>IFERROR(ROUND(AVERAGE(G9:G10),2),"")</f>
        <v>0.8</v>
      </c>
      <c r="I9" s="314" t="str">
        <f>IF(H9="","",IF(H9&gt;0.69,"Functioning",IF(H9&gt;0.29,"Functioning At Risk",IF(H9&gt;-1,"Not Functioning"))))</f>
        <v>Functioning</v>
      </c>
      <c r="J9" s="315">
        <f>IF(AND(H9="",H11="",H13="",H35="",H39=""),"",ROUND((IF(H9="",0,H9)*0.2),2)+ROUND((IF(H11="",0,H11)*0.2),2)+ROUND((IF(H13="",0,H13)*0.2),2)+ROUND((IF(H35="",0,H35)*0.2),2)+ROUND((IF(H39="",0,H39)*0.2),2))</f>
        <v>0.8</v>
      </c>
      <c r="M9" s="5"/>
    </row>
    <row r="10" spans="1:14" ht="15.6" x14ac:dyDescent="0.3">
      <c r="A10" s="311"/>
      <c r="B10" s="139" t="s">
        <v>97</v>
      </c>
      <c r="C10" s="344" t="s">
        <v>125</v>
      </c>
      <c r="D10" s="345"/>
      <c r="E10" s="7"/>
      <c r="F10" s="138">
        <f>IF(E10="", IF(G2="Yes",1,0.8),IF(E10&gt;=1,1,IF(E10&lt;=0,0,ROUND(E10,2))))</f>
        <v>0.8</v>
      </c>
      <c r="G10" s="135">
        <f>IFERROR(ROUND(AVERAGE(F10),2),"")</f>
        <v>0.8</v>
      </c>
      <c r="H10" s="313"/>
      <c r="I10" s="314"/>
      <c r="J10" s="315"/>
      <c r="M10" s="5"/>
    </row>
    <row r="11" spans="1:14" ht="15.6" x14ac:dyDescent="0.3">
      <c r="A11" s="322" t="s">
        <v>4</v>
      </c>
      <c r="B11" s="324" t="s">
        <v>5</v>
      </c>
      <c r="C11" s="11" t="s">
        <v>6</v>
      </c>
      <c r="D11" s="11"/>
      <c r="E11" s="40"/>
      <c r="F11" s="98">
        <f>IF(D5="Ephemeral","",IF(E11="",IF(G2="Yes",1,0.8),ROUND(IF(E11&gt;1.6,0,IF(E11&lt;=1,1,E11^2*'Reference Standards'!E$3+E11*'Reference Standards'!E$4+'Reference Standards'!E$5)),2)))</f>
        <v>0.8</v>
      </c>
      <c r="G11" s="353">
        <f>IFERROR(ROUND(AVERAGE(F11:F12),2),"")</f>
        <v>0.8</v>
      </c>
      <c r="H11" s="354">
        <f>IFERROR(ROUND(AVERAGE(G11),2),"")</f>
        <v>0.8</v>
      </c>
      <c r="I11" s="346" t="str">
        <f>IF(H11="","",IF(H11&gt;0.69,"Functioning",IF(H11&gt;0.29,"Functioning At Risk",IF(H11&gt;-1,"Not Functioning"))))</f>
        <v>Functioning</v>
      </c>
      <c r="J11" s="315"/>
      <c r="M11" s="5"/>
      <c r="N11" s="5"/>
    </row>
    <row r="12" spans="1:14" ht="15.6" x14ac:dyDescent="0.3">
      <c r="A12" s="323"/>
      <c r="B12" s="324"/>
      <c r="C12" s="11" t="s">
        <v>7</v>
      </c>
      <c r="D12" s="11"/>
      <c r="E12" s="40"/>
      <c r="F12" s="98">
        <f>IF(D5="Ephemeral","",IF(E12="",IF(G2="Yes",1,0.8),(IF(OR(B4="A",B4="B",$B4="Bc"),IF(E12&lt;1.2,0,IF(E12&gt;=2.2,1,ROUND(IF(E12&lt;1.4,E12*'Reference Standards'!$E$14+'Reference Standards'!$E$15,E12*'Reference Standards'!$F$14+'Reference Standards'!$F$15),2))),IF(OR(B4="C",B4="E"),IF(E12&lt;2,0,IF(E12&gt;=5,1,ROUND(IF(E12&lt;2.4,E12*'Reference Standards'!$F$9+'Reference Standards'!$F$10,E12*'Reference Standards'!$E$9+'Reference Standards'!$E$10),2))))))))</f>
        <v>0.8</v>
      </c>
      <c r="G12" s="353"/>
      <c r="H12" s="355"/>
      <c r="I12" s="347"/>
      <c r="J12" s="315"/>
      <c r="M12" s="5"/>
      <c r="N12" s="5"/>
    </row>
    <row r="13" spans="1:14" ht="15.6" x14ac:dyDescent="0.3">
      <c r="A13" s="321" t="s">
        <v>23</v>
      </c>
      <c r="B13" s="348" t="s">
        <v>24</v>
      </c>
      <c r="C13" s="15" t="s">
        <v>280</v>
      </c>
      <c r="D13" s="71"/>
      <c r="E13" s="16"/>
      <c r="F13" s="99" t="str">
        <f>IF(E13="","",IF(OR(LEFT($B5,2)="65",LEFT($B5,2)="66",LEFT($B5,2)="74",LEFT($B5,2)="73"),IF(E13&gt;=850,1,IF(E13&lt;250,ROUND('Reference Standards'!$H$5*(E13)+'Reference Standards'!$H$6,2),ROUND('Reference Standards'!$I$5*E13+'Reference Standards'!$I$6,2))),  IF(E13&gt;=345,1,IF(E13&lt;=180,ROUND('Reference Standards'!J$5*(E13)+'Reference Standards'!J$6,2),ROUND('Reference Standards'!K$5*E13+'Reference Standards'!K$6,2))))    )</f>
        <v/>
      </c>
      <c r="G13" s="318">
        <f>IFERROR(ROUND(AVERAGE(F13:F14),2),"")</f>
        <v>0.8</v>
      </c>
      <c r="H13" s="350">
        <f>IFERROR(ROUND(AVERAGE(G13:G34),2),"")</f>
        <v>0.8</v>
      </c>
      <c r="I13" s="352" t="str">
        <f>IF(H13="","",IF(H13&gt;0.69,"Functioning",IF(H13&gt;0.29,"Functioning At Risk",IF(H13&gt;-1,"Not Functioning"))))</f>
        <v>Functioning</v>
      </c>
      <c r="J13" s="315"/>
      <c r="M13" s="5"/>
      <c r="N13" s="5"/>
    </row>
    <row r="14" spans="1:14" ht="15.6" x14ac:dyDescent="0.3">
      <c r="A14" s="316"/>
      <c r="B14" s="349"/>
      <c r="C14" s="18" t="s">
        <v>267</v>
      </c>
      <c r="D14" s="72"/>
      <c r="E14" s="10"/>
      <c r="F14" s="100">
        <f>IF(ISNUMBER(E13),"",IF(E14="",IF(G2="Yes",1,0.8),IF(OR(LEFT($B5,2)="65",LEFT($B5,2)="66",LEFT($B5,2)="74",LEFT($B5,2)="73"),IF(E14&gt;=30,1,IF(E14&lt;13,ROUND('Reference Standards'!$H$11*(E14)+'Reference Standards'!$H$12,2),ROUND('Reference Standards'!$I$11*E14+'Reference Standards'!$I$12,2))),  IF(E14&gt;=16,1,IF(E14&lt;=9,ROUND('Reference Standards'!J$11*(E14)+'Reference Standards'!J$12,2),ROUND('Reference Standards'!K$11*E14+'Reference Standards'!K$12,2))))    ))</f>
        <v>0.8</v>
      </c>
      <c r="G14" s="320"/>
      <c r="H14" s="350"/>
      <c r="I14" s="352"/>
      <c r="J14" s="315"/>
      <c r="M14" s="5"/>
      <c r="N14" s="5"/>
    </row>
    <row r="15" spans="1:14" ht="15.6" x14ac:dyDescent="0.3">
      <c r="A15" s="316"/>
      <c r="B15" s="316" t="s">
        <v>350</v>
      </c>
      <c r="C15" s="13" t="s">
        <v>66</v>
      </c>
      <c r="D15" s="13"/>
      <c r="E15" s="42"/>
      <c r="F15" s="99" t="str">
        <f>IF(E15="","",ROUND(IF(E15&gt;0.7,0,IF(E15&lt;=0.1,1,E15^3*'Reference Standards'!H$15+E15^2*'Reference Standards'!H$16+E15*'Reference Standards'!H$17+'Reference Standards'!H$18)),2))</f>
        <v/>
      </c>
      <c r="G15" s="318">
        <f>IFERROR(ROUND(AVERAGE(F15:F18),2),"")</f>
        <v>0.8</v>
      </c>
      <c r="H15" s="351"/>
      <c r="I15" s="352"/>
      <c r="J15" s="315"/>
      <c r="M15" s="5"/>
      <c r="N15" s="5"/>
    </row>
    <row r="16" spans="1:14" ht="15.6" x14ac:dyDescent="0.3">
      <c r="A16" s="316"/>
      <c r="B16" s="316"/>
      <c r="C16" s="13" t="s">
        <v>47</v>
      </c>
      <c r="D16" s="13"/>
      <c r="E16" s="42"/>
      <c r="F16" s="28">
        <f>IF(ISNUMBER(E15),"", IF(AND(E15="",E16=""),IF(G2="Yes",1,0.8),IF(OR(E16="Ex/Ex",E16="Ex/VH"),0, IF(OR(E16="Ex/H",E16="VH/Ex",E16="VH/VH", E16="H/Ex",E16="H/VH",E16="M/Ex"),0.1,IF(OR(E16="Ex/M",E16="VH/H",E16="H/H", E16="M/VH"),0.2, IF(OR(E16="Ex/L",E16="VH/M",E16="H/M", E16="M/H",E16="L/Ex"),0.3, IF(OR(E16="Ex/VL",E16="VH/L",E16="H/L"),0.4, IF(OR(E16="VH/VL",E16="H/VL",E16="M/M", E16="L/VH"),0.5, IF(OR(E16="M/L",E16="L/H"),0.6, IF(OR(E16="M/VL",E16="L/M"),0.7, IF(OR(E16="L/L",E16="L/VL"),1)))))))))))</f>
        <v>0.8</v>
      </c>
      <c r="G16" s="319"/>
      <c r="H16" s="351"/>
      <c r="I16" s="352"/>
      <c r="J16" s="315"/>
      <c r="M16" s="5"/>
      <c r="N16" s="5"/>
    </row>
    <row r="17" spans="1:14" ht="15.6" x14ac:dyDescent="0.3">
      <c r="A17" s="316"/>
      <c r="B17" s="316"/>
      <c r="C17" s="14" t="s">
        <v>72</v>
      </c>
      <c r="D17" s="13"/>
      <c r="E17" s="42"/>
      <c r="F17" s="28">
        <f>IF(E17="",IF(G2="Yes",1,0.8),ROUND(IF(E17&gt;40,0,IF(E17&lt;5,1,E17^3*'Reference Standards'!H$21+E17^2*'Reference Standards'!H$22+E17*'Reference Standards'!H$23+'Reference Standards'!H$24)),2))</f>
        <v>0.8</v>
      </c>
      <c r="G17" s="319"/>
      <c r="H17" s="351"/>
      <c r="I17" s="352"/>
      <c r="J17" s="315"/>
      <c r="M17" s="5"/>
      <c r="N17" s="5"/>
    </row>
    <row r="18" spans="1:14" ht="15.6" x14ac:dyDescent="0.3">
      <c r="A18" s="316"/>
      <c r="B18" s="317"/>
      <c r="C18" s="14" t="s">
        <v>349</v>
      </c>
      <c r="D18" s="14"/>
      <c r="E18" s="44"/>
      <c r="F18" s="100">
        <f>IF(E18="",IF(G2="Yes",1,0.8),ROUND(IF(E18&gt;=30,0,IF(E18&lt;=0,1,E18*'Reference Standards'!H$27+'Reference Standards'!H$28)),2))</f>
        <v>0.8</v>
      </c>
      <c r="G18" s="320"/>
      <c r="H18" s="351"/>
      <c r="I18" s="352"/>
      <c r="J18" s="315"/>
      <c r="M18" s="5"/>
      <c r="N18" s="5"/>
    </row>
    <row r="19" spans="1:14" ht="15.6" x14ac:dyDescent="0.3">
      <c r="A19" s="316"/>
      <c r="B19" s="316" t="s">
        <v>48</v>
      </c>
      <c r="C19" s="15" t="s">
        <v>314</v>
      </c>
      <c r="D19" s="19"/>
      <c r="E19" s="36"/>
      <c r="F19" s="92">
        <f>IF(E19="",IF(G2="Yes",1,0.8),ROUND(IF(E19&gt;9.2,1,E19*'Reference Standards'!H$31+'Reference Standards'!H$32),2))</f>
        <v>0.8</v>
      </c>
      <c r="G19" s="307">
        <f>IFERROR(ROUND(AVERAGE(F19:F28),2),"")</f>
        <v>0.8</v>
      </c>
      <c r="H19" s="351"/>
      <c r="I19" s="352"/>
      <c r="J19" s="315"/>
      <c r="M19" s="5"/>
      <c r="N19" s="5"/>
    </row>
    <row r="20" spans="1:14" ht="15.6" x14ac:dyDescent="0.3">
      <c r="A20" s="316"/>
      <c r="B20" s="316"/>
      <c r="C20" s="17" t="s">
        <v>315</v>
      </c>
      <c r="D20" s="13"/>
      <c r="E20" s="40"/>
      <c r="F20" s="92">
        <f>IF(E20="",IF(G2="Yes",1,0.8),ROUND(IF(E20&gt;9.2,1,E20*'Reference Standards'!H$31+'Reference Standards'!H$32),2))</f>
        <v>0.8</v>
      </c>
      <c r="G20" s="308"/>
      <c r="H20" s="351"/>
      <c r="I20" s="352"/>
      <c r="J20" s="315"/>
      <c r="M20" s="5"/>
      <c r="N20" s="5"/>
    </row>
    <row r="21" spans="1:14" ht="15.6" x14ac:dyDescent="0.3">
      <c r="A21" s="316"/>
      <c r="B21" s="316"/>
      <c r="C21" s="17" t="s">
        <v>316</v>
      </c>
      <c r="D21" s="13"/>
      <c r="E21" s="40"/>
      <c r="F21" s="92">
        <f>IF(E21="",IF(G2="Yes",1,0.8),ROUND( IF(E21&gt;=200,1,IF(E21&lt;50, E21^2*'Reference Standards'!H$36+E21*'Reference Standards'!H$37+'Reference Standards'!H$38, E21*'Reference Standards'!I$37+'Reference Standards'!I$38)),2))</f>
        <v>0.8</v>
      </c>
      <c r="G21" s="308"/>
      <c r="H21" s="351"/>
      <c r="I21" s="352"/>
      <c r="J21" s="315"/>
      <c r="M21" s="5"/>
      <c r="N21" s="5"/>
    </row>
    <row r="22" spans="1:14" ht="15.6" x14ac:dyDescent="0.3">
      <c r="A22" s="316"/>
      <c r="B22" s="316"/>
      <c r="C22" s="17" t="s">
        <v>317</v>
      </c>
      <c r="D22" s="13"/>
      <c r="E22" s="40"/>
      <c r="F22" s="92">
        <f>IF(E22="",IF(G2="Yes",1,0.8),ROUND( IF(E22&gt;=200,1,IF(E22&lt;50, E22^2*'Reference Standards'!H$36+E22*'Reference Standards'!H$37+'Reference Standards'!H$38, E22*'Reference Standards'!I$37+'Reference Standards'!I$38)),2))</f>
        <v>0.8</v>
      </c>
      <c r="G22" s="308"/>
      <c r="H22" s="351"/>
      <c r="I22" s="352"/>
      <c r="J22" s="315"/>
      <c r="M22" s="5"/>
      <c r="N22" s="5"/>
    </row>
    <row r="23" spans="1:14" ht="15.6" x14ac:dyDescent="0.3">
      <c r="A23" s="316"/>
      <c r="B23" s="316"/>
      <c r="C23" s="13" t="s">
        <v>318</v>
      </c>
      <c r="D23" s="13"/>
      <c r="E23" s="40"/>
      <c r="F23" s="92">
        <f>IF(E23="",IF(G2="Yes",1,0.8),ROUND(IF(AND(E23&gt;=135,E23&lt;=262),1,IF(E23&gt;=366,0.5,IF(E23&lt;135,E23*'Reference Standards'!H$42+'Reference Standards'!H$43,E23*'Reference Standards'!I$42+'Reference Standards'!I$43))),2))</f>
        <v>0.8</v>
      </c>
      <c r="G23" s="308"/>
      <c r="H23" s="351"/>
      <c r="I23" s="352"/>
      <c r="J23" s="315"/>
      <c r="M23" s="5"/>
      <c r="N23" s="5"/>
    </row>
    <row r="24" spans="1:14" ht="15.6" x14ac:dyDescent="0.3">
      <c r="A24" s="316"/>
      <c r="B24" s="316"/>
      <c r="C24" s="13" t="s">
        <v>319</v>
      </c>
      <c r="D24" s="13"/>
      <c r="E24" s="40"/>
      <c r="F24" s="92">
        <f>IF(E24="",IF(G2="Yes",1,0.8),ROUND(IF(AND(E24&gt;=135,E24&lt;=262),1,IF(E24&gt;=366,0.5,IF(E24&lt;135,E24*'Reference Standards'!H$42+'Reference Standards'!H$43,E24*'Reference Standards'!I$42+'Reference Standards'!I$43))),2))</f>
        <v>0.8</v>
      </c>
      <c r="G24" s="308"/>
      <c r="H24" s="351"/>
      <c r="I24" s="352"/>
      <c r="J24" s="315"/>
      <c r="M24" s="5"/>
      <c r="N24" s="5"/>
    </row>
    <row r="25" spans="1:14" ht="15.6" x14ac:dyDescent="0.3">
      <c r="A25" s="316"/>
      <c r="B25" s="316"/>
      <c r="C25" s="13" t="s">
        <v>320</v>
      </c>
      <c r="D25" s="13"/>
      <c r="E25" s="40"/>
      <c r="F25" s="28">
        <f>IF(E25="",IF(G2="Yes",1,0.8),ROUND(IF(E25&gt;=75,1,IF(E25&lt;=0,0,E25*'Reference Standards'!H$46)),2))</f>
        <v>0.8</v>
      </c>
      <c r="G25" s="308"/>
      <c r="H25" s="351"/>
      <c r="I25" s="352"/>
      <c r="J25" s="315"/>
      <c r="M25" s="5"/>
      <c r="N25" s="5"/>
    </row>
    <row r="26" spans="1:14" ht="15.6" x14ac:dyDescent="0.3">
      <c r="A26" s="316"/>
      <c r="B26" s="316"/>
      <c r="C26" s="13" t="s">
        <v>321</v>
      </c>
      <c r="D26" s="13"/>
      <c r="E26" s="40"/>
      <c r="F26" s="28">
        <f>IF(E26="",IF(G2="Yes",1,0.8),ROUND(IF(E26&gt;=75,1,IF(E26&lt;=0,0,E26*'Reference Standards'!H$46)),2))</f>
        <v>0.8</v>
      </c>
      <c r="G26" s="308"/>
      <c r="H26" s="351"/>
      <c r="I26" s="352"/>
      <c r="J26" s="315"/>
      <c r="M26" s="5"/>
      <c r="N26" s="5"/>
    </row>
    <row r="27" spans="1:14" ht="15.6" x14ac:dyDescent="0.3">
      <c r="A27" s="316"/>
      <c r="B27" s="316"/>
      <c r="C27" s="13" t="s">
        <v>322</v>
      </c>
      <c r="D27" s="13"/>
      <c r="E27" s="40"/>
      <c r="F27" s="92">
        <f>IF(E27="",IF(G2="Yes",1,0.8),ROUND(IF(AND(E27&gt;=36.3,E27&lt;=68),1,IF(E27&gt;100,0,IF(E27&lt;36.3,(('Reference Standards'!H$51*(E27^2))+('Reference Standards'!H$52*E27)+'Reference Standards'!H$53),IF(E27&gt;68,(('Reference Standards'!I$51*(E27^2))+('Reference Standards'!I$52*E27)+'Reference Standards'!I$53))))),2))</f>
        <v>0.8</v>
      </c>
      <c r="G27" s="308"/>
      <c r="H27" s="351"/>
      <c r="I27" s="352"/>
      <c r="J27" s="315"/>
      <c r="M27" s="5"/>
      <c r="N27" s="5"/>
    </row>
    <row r="28" spans="1:14" ht="15.6" x14ac:dyDescent="0.3">
      <c r="A28" s="316"/>
      <c r="B28" s="317"/>
      <c r="C28" s="13" t="s">
        <v>323</v>
      </c>
      <c r="D28" s="20"/>
      <c r="E28" s="40"/>
      <c r="F28" s="92">
        <f>IF(E28="",IF(G2="Yes",1,0.8),ROUND(IF(AND(E28&gt;=36.3,E28&lt;=68),1,IF(E28&gt;100,0,IF(E28&lt;36.3,(('Reference Standards'!H$51*(E28^2))+('Reference Standards'!H$52*E28)+'Reference Standards'!H$53),IF(E28&gt;68,(('Reference Standards'!I$51*(E28^2))+('Reference Standards'!I$52*E28)+'Reference Standards'!I$53))))),2))</f>
        <v>0.8</v>
      </c>
      <c r="G28" s="309"/>
      <c r="H28" s="351"/>
      <c r="I28" s="352"/>
      <c r="J28" s="315"/>
      <c r="M28" s="5"/>
      <c r="N28" s="5"/>
    </row>
    <row r="29" spans="1:14" ht="15.6" x14ac:dyDescent="0.3">
      <c r="A29" s="316"/>
      <c r="B29" s="12" t="s">
        <v>87</v>
      </c>
      <c r="C29" s="26" t="s">
        <v>102</v>
      </c>
      <c r="D29" s="13"/>
      <c r="E29" s="7"/>
      <c r="F29" s="27" t="str">
        <f>IF(D5="Ephemeral","",IF(E29="","",IF(OR(D3="Cobble",D3="Gravel"),IF(E29&gt;0.1,1,IF(E29&lt;=0.01,0,ROUND(E29*'Reference Standards'!$H$56+'Reference Standards'!$H$57,2))))))</f>
        <v/>
      </c>
      <c r="G29" s="27" t="str">
        <f>IFERROR(ROUND(AVERAGE(F29),2),"")</f>
        <v/>
      </c>
      <c r="H29" s="351"/>
      <c r="I29" s="352"/>
      <c r="J29" s="315"/>
      <c r="M29" s="5"/>
      <c r="N29" s="5"/>
    </row>
    <row r="30" spans="1:14" ht="15.6" x14ac:dyDescent="0.3">
      <c r="A30" s="316"/>
      <c r="B30" s="321" t="s">
        <v>49</v>
      </c>
      <c r="C30" s="19" t="s">
        <v>50</v>
      </c>
      <c r="D30" s="19"/>
      <c r="E30" s="43"/>
      <c r="F30" s="102">
        <f>IF(D5="Ephemeral","",IF(AND(D3="Bedrock",E30=""),"",IF(E30="",IF(G2="Yes",1,0.8), IF(ISNUMBER($D4), IF($D4&lt;=2,IF(AND(E30&gt;=3,E30&lt;=5),1,IF(OR(E30&lt;=1,E30&gt;=7),0,ROUND(IF(E30&lt;3,E30*'Reference Standards'!H$61+'Reference Standards'!H$62,E30*'Reference Standards'!I$61+'Reference Standards'!I$62),2))),IF(E30&lt;=2.5,1,IF(E30&gt;=5.8,0,ROUND(E30*'Reference Standards'!H$65+'Reference Standards'!H$66,2))))))))</f>
        <v>0.8</v>
      </c>
      <c r="G30" s="307">
        <f>IFERROR(ROUND(AVERAGE(F30:F33),2),"")</f>
        <v>0.8</v>
      </c>
      <c r="H30" s="351"/>
      <c r="I30" s="352"/>
      <c r="J30" s="315"/>
      <c r="M30" s="5"/>
      <c r="N30" s="5"/>
    </row>
    <row r="31" spans="1:14" ht="15.6" x14ac:dyDescent="0.3">
      <c r="A31" s="316"/>
      <c r="B31" s="316"/>
      <c r="C31" s="13" t="s">
        <v>51</v>
      </c>
      <c r="D31" s="13"/>
      <c r="E31" s="42"/>
      <c r="F31" s="28">
        <f>IF(D5="Ephemeral","",IF(AND(D3="Bedrock",E31=""),"",IF(E31="",IF(G2="Yes",1,0.8),IF(E31&gt;=2.4,1,IF(E31&lt;=1,0,ROUND(IF(E31&lt;2.4,E31*'Reference Standards'!$H$70+'Reference Standards'!$H$71),2))))))</f>
        <v>0.8</v>
      </c>
      <c r="G31" s="308"/>
      <c r="H31" s="351"/>
      <c r="I31" s="352"/>
      <c r="J31" s="315"/>
      <c r="M31" s="5"/>
      <c r="N31" s="5"/>
    </row>
    <row r="32" spans="1:14" ht="15.6" x14ac:dyDescent="0.3">
      <c r="A32" s="316"/>
      <c r="B32" s="316"/>
      <c r="C32" s="13" t="s">
        <v>281</v>
      </c>
      <c r="D32" s="13"/>
      <c r="E32" s="42"/>
      <c r="F32" s="133">
        <f>IF(D5="Ephemeral","",IF(AND(D3="Bedrock",E30=""),"",IF(E32="",IF(G2="Yes",1,0.8),IF(LEFT($B5,2)="67",IF(AND(E32&gt;=45,E32&lt;=65),1,IF(OR(E32&lt;=20,E32&gt;=90),0,ROUND(IF(E32&lt;45,E32*'Reference Standards'!H$75+'Reference Standards'!H$76,E32*'Reference Standards'!I$75+'Reference Standards'!I$76),2))),IF(OR(LEFT($B5,2)="68",LEFT($B5,2)="69",LEFT($B5,2)="71"),IF(AND(E32&gt;=30,E32&lt;=50),1,IF(OR(E32&lt;=10,E32&gt;=70),0,ROUND(IF(E32&lt;30,E32*'Reference Standards'!H$80+'Reference Standards'!H$81,E32*'Reference Standards'!I$80+'Reference Standards'!I$81),2))),IF(LEFT($B5,2)="66",IF(AND(E32&gt;=20,E32&lt;=45),1,IF(OR(E32&lt;=0,E32&gt;=90),0,ROUND(IF(E32&lt;20,E32*'Reference Standards'!H$85+'Reference Standards'!H$86,E32*'Reference Standards'!I$85+'Reference Standards'!I$86),2))),IF(OR(LEFT($B5,2)="65",LEFT($B5,2)="74",LEFT($B5,2)="73"),IF(AND(E32&gt;=20,E32&lt;=30),1,IF(OR(E32&lt;=0,E32&gt;=50),0,ROUND(IF(E32&lt;20,E32*'Reference Standards'!H$90+'Reference Standards'!H$91,E32*'Reference Standards'!I$90+'Reference Standards'!I$91),2))))))))))</f>
        <v>0.8</v>
      </c>
      <c r="G32" s="308"/>
      <c r="H32" s="351"/>
      <c r="I32" s="352"/>
      <c r="J32" s="315"/>
      <c r="M32" s="5"/>
      <c r="N32" s="5"/>
    </row>
    <row r="33" spans="1:14" ht="15.6" x14ac:dyDescent="0.3">
      <c r="A33" s="316"/>
      <c r="B33" s="317"/>
      <c r="C33" s="17" t="s">
        <v>173</v>
      </c>
      <c r="D33" s="13"/>
      <c r="E33" s="44"/>
      <c r="F33" s="134" t="str">
        <f>IF(D5="Ephemeral","",IF(E33="","",IF(E33&gt;=1.6,0,IF(E33&lt;=1,1,ROUND('Reference Standards'!$H$94*E33^3+'Reference Standards'!$H$95*E33^2+'Reference Standards'!$H$96*E33+'Reference Standards'!$H$97,2)))))</f>
        <v/>
      </c>
      <c r="G33" s="309"/>
      <c r="H33" s="351"/>
      <c r="I33" s="352"/>
      <c r="J33" s="315"/>
      <c r="M33" s="5"/>
      <c r="N33" s="5"/>
    </row>
    <row r="34" spans="1:14" ht="15.6" x14ac:dyDescent="0.3">
      <c r="A34" s="317"/>
      <c r="B34" s="50" t="s">
        <v>53</v>
      </c>
      <c r="C34" s="69" t="s">
        <v>52</v>
      </c>
      <c r="D34" s="70"/>
      <c r="E34" s="68"/>
      <c r="F34" s="101">
        <f>IF(D5="Ephemeral","",IF(E34="",IF(G2="Yes",1,0.8),IF(AND(B4="E",$D3="Sand",G5="Unconfined Alluvial"),ROUND(IF(OR(E34&gt;1.8,E34&lt;1.3),0,IF(E34&lt;=1.6,1,E34*'Reference Standards'!H$100+'Reference Standards'!H$101)),2),    IF(G5="Unconfined Alluvial",ROUND(IF(OR(E34&lt;1.2, E34&gt;1.5),0,IF(E34&lt;=1.4,1,E34*'Reference Standards'!$H$104+'Reference Standards'!$H$105)),2), IF(G5="Confined Alluvial",ROUND(IF(E34&lt;1.15,0,IF(E34&lt;=1.4,E34*'Reference Standards'!$H$108+'Reference Standards'!$H$109,1)),2),  IF(G5="Colluvial",ROUND(IF(E34&gt;1.3,0,IF(E34&gt;1.2,E34*'Reference Standards'!$H$112+'Reference Standards'!$H$113,1)),2) ))))))</f>
        <v>0.8</v>
      </c>
      <c r="G34" s="28">
        <f>IFERROR(ROUND(AVERAGE(F34),2),"")</f>
        <v>0.8</v>
      </c>
      <c r="H34" s="351"/>
      <c r="I34" s="352"/>
      <c r="J34" s="315"/>
      <c r="M34" s="5"/>
      <c r="N34" s="5"/>
    </row>
    <row r="35" spans="1:14" ht="15.6" x14ac:dyDescent="0.3">
      <c r="A35" s="325" t="s">
        <v>55</v>
      </c>
      <c r="B35" s="22" t="s">
        <v>73</v>
      </c>
      <c r="C35" s="24" t="s">
        <v>285</v>
      </c>
      <c r="D35" s="24"/>
      <c r="E35" s="7"/>
      <c r="F35" s="103">
        <f>IF(D5="Ephemeral","",IF(E35="",IF(G2="Yes",1,0.8),ROUND(IF(E35&gt;=942,0,IF(E35&lt;=487,E35*'Reference Standards'!M$4+'Reference Standards'!M$5,E35*'Reference Standards'!$N$4+'Reference Standards'!$N$5)),2)))</f>
        <v>0.8</v>
      </c>
      <c r="G35" s="29">
        <f>IFERROR(ROUND(AVERAGE(F35),2),"")</f>
        <v>0.8</v>
      </c>
      <c r="H35" s="328">
        <f>IFERROR(ROUND(AVERAGE(G35:G38),2),"")</f>
        <v>0.8</v>
      </c>
      <c r="I35" s="357" t="str">
        <f>IF(H35="","",IF(H35&gt;0.69,"Functioning",IF(H35&gt;0.29,"Functioning At Risk",IF(H35&gt;-1,"Not Functioning"))))</f>
        <v>Functioning</v>
      </c>
      <c r="J35" s="315"/>
      <c r="N35" s="5"/>
    </row>
    <row r="36" spans="1:14" ht="15.6" x14ac:dyDescent="0.3">
      <c r="A36" s="326"/>
      <c r="B36" s="79" t="s">
        <v>289</v>
      </c>
      <c r="C36" s="21" t="s">
        <v>288</v>
      </c>
      <c r="D36" s="21"/>
      <c r="E36" s="41"/>
      <c r="F36" s="104" t="str">
        <f>IF(D5="Ephemeral","",IF(E36="","",IF(OR($B5="65abei",$B5="65j",$B5="66d",$B5="66e",$B5="66ik",$B5="66f",$B5="66g",$B5="66j",$B5="68a",$B5="69de",$B5="74b",AND(OR($B5="67fhi",$B5="67g"),$D2&lt;=2),AND(OR($B5="68c",$B5="68d"),$G3="January - June")),IF(E36&gt;93,0,IF(E36&lt;13,1,ROUND('Reference Standards'!$M$9*E36^2+'Reference Standards'!$M$10*E36+'Reference Standards'!$M$11,2))),IF(OR(AND(OR($B5="67fhi",$B5="67g",$B5="71f",$B5="71g",$B5="71h"),$D2&gt;2),AND(OR($B5="68c",$B5="68d"),$G3="July - December"),$B5="73a",$B5="73b"),IF(E36&gt;94,0,IF(E36&lt;17,1,ROUND('Reference Standards'!$N$9*E36^2+'Reference Standards'!$N$10*E36+'Reference Standards'!$N$11,2))),IF(OR(AND(OR($B5="68b",$B5="71i"),$D2&gt;2),$B5="71e"),IF(E36&gt;91,0,IF(E36&lt;24,1,ROUND('Reference Standards'!$O$9*E36^2+'Reference Standards'!$O$10*E36+'Reference Standards'!$O$11,2))),IF(OR(AND(OR($B5="71f",$B5="71g",$B5="71h",$B5="71i"),$D2&lt;=2),AND($B5="74a",$D2&gt;2)),IF(E36&gt;95,0,IF(E36&lt;=36,1,ROUND('Reference Standards'!$P$9*E36^2+'Reference Standards'!$P$10*E36+'Reference Standards'!$P$11,2)))))))))</f>
        <v/>
      </c>
      <c r="G36" s="48" t="str">
        <f>IFERROR(ROUND(AVERAGE(F36),2),"")</f>
        <v/>
      </c>
      <c r="H36" s="329"/>
      <c r="I36" s="358"/>
      <c r="J36" s="315"/>
      <c r="N36" s="5"/>
    </row>
    <row r="37" spans="1:14" ht="15.6" x14ac:dyDescent="0.3">
      <c r="A37" s="326"/>
      <c r="B37" s="22" t="s">
        <v>67</v>
      </c>
      <c r="C37" s="23" t="s">
        <v>240</v>
      </c>
      <c r="D37" s="23"/>
      <c r="E37" s="40"/>
      <c r="F37" s="104">
        <f>IF(ISNUMBER(E36),"",IF(D5="Ephemeral","",IF(E37="",IF(G2="Yes",1,0.8), IF(ISNUMBER($D2), IF(OR($B5="66e",$B5="66f",$B5="66g"),ROUND(IF(E37&gt;=0.61,0,IF(E37&lt;=0.01,1,IF(E37&lt;=0.06,E37*'Reference Standards'!$O$34+'Reference Standards'!$O$35,E37^2*'Reference Standards'!$M$33+E37*'Reference Standards'!$M$34+'Reference Standards'!$M$35))),2),IF($B5="68b",ROUND(IF(E37&gt;=1.1,0,IF(E37&lt;=0.17,1,IF(E37&lt;=0.22,E37*'Reference Standards'!$P$34+'Reference Standards'!$P$35,E37^2*'Reference Standards'!$N$33+E37*'Reference Standards'!$N$34+'Reference Standards'!$N$35))),2),IF($D2&lt;=2.5,IF($B5="69de",ROUND(IF(E37&gt;=0.22,0,IF(E37&lt;=0.01,1,E37^2*'Reference Standards'!$M$15+E37*'Reference Standards'!$M$16+'Reference Standards'!$M$17)),2),IF($B5="68c",ROUND(IF(E37&gt;=0.87,0,IF(E37&lt;=0.01,1,E37^2*'Reference Standards'!$N$15+E37*'Reference Standards'!$N$16+'Reference Standards'!$N$17)),2),IF($B5="68a",ROUND(IF(E37&gt;=0.81,0,IF(E37&lt;=0.01,1,E37^2*'Reference Standards'!$O$15+E37*'Reference Standards'!$O$16+'Reference Standards'!$O$17)),2),IF($B5="65abei",ROUND(IF(E37&gt;=0.67,0,IF(E37&lt;=0.01,1,IF(E37&lt;=0.18,E37*'Reference Standards'!$R$16+'Reference Standards'!$R$17,E37*'Reference Standards'!$P$16+'Reference Standards'!$P$17))),2),IF($B5="65j",ROUND(IF(E37&gt;=0.32,0,IF(E37&lt;=0.01,1,IF(E37&lt;=0.25,E37*'Reference Standards'!$S$16+'Reference Standards'!$S$17,E37*'Reference Standards'!$Q$16+'Reference Standards'!$Q$17))),2),IF($B5="71f",ROUND(IF(E37&gt;=3,0,IF(E37&lt;=0,1,IF(E37&lt;=0.01,0.7,E37^2*'Reference Standards'!$M$21+E37*'Reference Standards'!$M$22+'Reference Standards'!$M$23))),2),IF($B5="74a",ROUND(IF(E37&gt;=0.14,0,IF(E37&lt;=0.01,1,IF(E37&lt;=0.02,0.7,E37^2*'Reference Standards'!$N$21+E37*'Reference Standards'!$N$22+'Reference Standards'!$N$23))),2),IF(OR($B5="67fhi",$B5="67g"),ROUND(IF(E37&gt;=1.9,0,IF(E37&lt;=0.01,1,IF(E37&lt;=0.05,E37*'Reference Standards'!$Q$22+'Reference Standards'!$Q$23,E37^2*'Reference Standards'!$O$21+E37*'Reference Standards'!$O$22+'Reference Standards'!$O$23))),2),IF($B5="73a",ROUND(IF(E37&gt;=1.44,0,IF(E37&lt;=0.01,1,IF(E37&lt;=0.12,E37*'Reference Standards'!$R$22+'Reference Standards'!$R$23,E37^2*'Reference Standards'!$P$21+E37*'Reference Standards'!$P$22+'Reference Standards'!$P$23))),2),IF($B5="66d",ROUND(IF(E37&gt;=0.46,0,IF(E37&lt;=0.02,1,IF(E37&lt;=0.08,E37*'Reference Standards'!$Q$28+'Reference Standards'!$Q$29,E37^2*'Reference Standards'!$M$27+E37*'Reference Standards'!$M$28+'Reference Standards'!$M$29))),2),IF(OR($B5="71g",$B5="71h",$B5="71i"),ROUND(IF(E37&gt;=3,0,IF(E37&lt;=0.06,1,IF(E37&lt;=0.24,E37*'Reference Standards'!$R$28+'Reference Standards'!$R$29,E37^2*'Reference Standards'!$N$27+E37*'Reference Standards'!$N$28+'Reference Standards'!$N$29))),2),IF($B5="74b",ROUND(IF(E37&gt;=1.3,0,IF(E37&lt;=0.29,1,IF(E37&lt;=0.48,E37*'Reference Standards'!$S$28+'Reference Standards'!$S$29,E37^2*'Reference Standards'!$O$27+E37*'Reference Standards'!$O$28+'Reference Standards'!$O$29))),2),IF($B5="71e",ROUND(IF(E37&gt;=4.3,0,IF(E37&lt;=0.53,1,IF(E37&lt;=0.67,E37*'Reference Standards'!$T$28+'Reference Standards'!$T$29,E37^2*'Reference Standards'!$P$27+E37*'Reference Standards'!$P$28+'Reference Standards'!$P$29))),2)))))))))))))),IF($D2&gt;2.5,IF($B5="73a",ROUND(IF(E37&gt;=0.55,0,IF(E37&lt;=0,1,E37^2*'Reference Standards'!$M$39+E37*'Reference Standards'!$M$40+'Reference Standards'!$M$41)),2),IF($B5="68a",ROUND(IF(E37&gt;=0.54,0,IF(E37&lt;=0,1,IF(E37&lt;=0.01,0.85,E37^2*'Reference Standards'!$N$39+E37*'Reference Standards'!$N$40+'Reference Standards'!$N$41))),2),IF($B5="74a",ROUND(IF(E37&gt;=0.47,0,IF(E37&lt;=0.01,1,IF(E37&lt;=0.02,0.7,E37^2*'Reference Standards'!$O$39+E37*'Reference Standards'!$O$40+'Reference Standards'!$O$41))),2),IF($B5="69de",ROUND(IF(E37&gt;=0.26,0,IF(E37&lt;=0.01,1,IF(E37&lt;=0.02,0.85,E37^2*'Reference Standards'!$P$39+E37*'Reference Standards'!$P$40+'Reference Standards'!$P$41))),2),IF($B5="71f",ROUND(IF(E37&gt;=0.87,0,IF(E37&lt;=0.01,1,IF(E37&lt;=0.04,E37*'Reference Standards'!$Q$46+'Reference Standards'!$Q$47,E37^2*'Reference Standards'!$M$45+E37*'Reference Standards'!$M$46+'Reference Standards'!$M$47))),2),IF($B5="65abei",ROUND(IF(E37&gt;=0.82,0,IF(E37&lt;=0.01,1,IF(E37&lt;=0.06,E37*'Reference Standards'!$R$46+'Reference Standards'!$R$47,E37^2*'Reference Standards'!$N$45+E37*'Reference Standards'!$N$46+'Reference Standards'!$N$47))),2),IF($B5="65j",ROUND(IF(E37&gt;=0.33,0,IF(E37&lt;=0.03,1,IF(E37&lt;=0.09,E37*'Reference Standards'!$S$46+'Reference Standards'!$S$47,E37^2*'Reference Standards'!$O$45+E37*'Reference Standards'!$O$46+'Reference Standards'!$O$47))),2),IF($B5="68c",ROUND(IF(E37&gt;=0.7,0,IF(E37&lt;=0.07,1,IF(E37&lt;=0.12,E37*'Reference Standards'!$T$46+'Reference Standards'!$T$47,E37^2*'Reference Standards'!$P$45+E37*'Reference Standards'!$P$46+'Reference Standards'!$P$47))),2),IF(OR($B5="67fhi",$B5="67g"),ROUND(IF(E37&gt;=1.8,0,IF(E37&lt;=0.08,1,IF(E37&lt;=0.2,E37*'Reference Standards'!$Q$52+'Reference Standards'!$Q$53,E37^2*'Reference Standards'!$M$51+E37*'Reference Standards'!$M$52+'Reference Standards'!$M$53))),2),IF($B5="74b",ROUND(IF(E37&gt;=0.96,0,IF(E37&lt;=0.12,1,IF(E37&lt;=0.16,E37*'Reference Standards'!$R$52+'Reference Standards'!$R$53,E37^2*'Reference Standards'!$N$51+E37*'Reference Standards'!$N$52+'Reference Standards'!$N$53))),2),IF($B5="66d",ROUND(IF(E37&gt;=0.75,0,IF(E37&lt;=0.13,1,IF(E37&lt;=0.2,E37*'Reference Standards'!$S$52+'Reference Standards'!$S$53,E37^2*'Reference Standards'!$O$51+E37*'Reference Standards'!$O$52+'Reference Standards'!$O$53))),2),IF(OR($B5="71g",$B5="71h",$B5="71i"),ROUND(IF(E37&gt;=1.68,0,IF(E37&lt;=0.08,1,IF(E37&lt;=0.23,E37*'Reference Standards'!$T$52+'Reference Standards'!$T$53,E37^2*'Reference Standards'!$P$51+E37*'Reference Standards'!$P$52+'Reference Standards'!$P$53))),2),IF($B5="71e",ROUND(IF(E37&gt;=5.3,0,IF(E37&lt;=0.94,1,IF(E37&lt;=1.4,E37*'Reference Standards'!$Q$56+'Reference Standards'!$Q$57,E37^2*'Reference Standards'!$M$55+E37*'Reference Standards'!$M$56+'Reference Standards'!$M$57))),2))))))))))))))))))))))</f>
        <v>0.8</v>
      </c>
      <c r="G37" s="48">
        <f t="shared" ref="G37:G38" si="0">IFERROR(ROUND(AVERAGE(F37),2),"")</f>
        <v>0.8</v>
      </c>
      <c r="H37" s="329"/>
      <c r="I37" s="358"/>
      <c r="J37" s="315"/>
      <c r="N37" s="5"/>
    </row>
    <row r="38" spans="1:14" ht="15.6" x14ac:dyDescent="0.3">
      <c r="A38" s="327"/>
      <c r="B38" s="78" t="s">
        <v>68</v>
      </c>
      <c r="C38" s="21" t="s">
        <v>239</v>
      </c>
      <c r="D38" s="21"/>
      <c r="E38" s="36"/>
      <c r="F38" s="103">
        <f>IF(ISNUMBER(E36),"", IF(D5="Ephemeral","",IF(E38="",IF(G2="Yes",1,0.8), IF(ISNUMBER($D2), IF($D2&gt;2.5,IF(OR($B5="71h",$B5="71i",$B5="73a",$B5="74a"),IF(E38&lt;=0.01,1,IF(OR($B5="71h",$B5="71i"),IF(E38&gt;0.37,0,ROUND(IF(E38&gt;0.03,'Reference Standards'!$M$73*E38^2+'Reference Standards'!$M$74*E38+'Reference Standards'!$M$75,'Reference Standards'!$Q$74*E38+'Reference Standards'!$Q$75),2)),IF($B5="73a",IF(E38&gt;0.405,0,ROUND(IF(E38&gt;0.046,'Reference Standards'!$N$73*E38^2+'Reference Standards'!$N$74*E38+'Reference Standards'!$N$75,'Reference Standards'!$R$74*E38+'Reference Standards'!$R$75),2)),IF($B5="74a",IF(E38&gt;0.3,0,ROUND(IF(E38&gt;0.052,'Reference Standards'!$O$73*E38^2+'Reference Standards'!$O$74*E38+'Reference Standards'!$O$75,'Reference Standards'!$S$74*E38+'Reference Standards'!$S$75),2)))))),IF(E38&lt;=0.002,1,IF(OR($B5="66d",$B5="66e",$B5="66g"),IF(E38&gt;0.053,0,ROUND(E38^2*'Reference Standards'!$M$61+E38*'Reference Standards'!$M$62+'Reference Standards'!$M$63,2)),IF($B5="68b",IF(E38&gt;0.05,0,ROUND(E38^2*'Reference Standards'!$N$61+E38*'Reference Standards'!$N$62+'Reference Standards'!$N$63,2)),IF(OR($B5="68a",$B5="68c"),IF(E38&gt;0.07,0,ROUND(E38^2*'Reference Standards'!$O$61+E38*'Reference Standards'!$O$62+'Reference Standards'!$O$63,2)),IF(OR($B5="71f",$B5="71g"),IF(E38&gt;0.13,0,ROUND(IF(E38&gt;0.042,E38*'Reference Standards'!$P$62+'Reference Standards'!$P$63,E38*'Reference Standards'!$Q$62+'Reference Standards'!$Q$63),2)),IF($B5="67fhi",IF(E38&gt;0.16,0,ROUND(E38^2*'Reference Standards'!$R$61+E38*'Reference Standards'!$R$62+'Reference Standards'!$R$63,2)),IF($B5="65j",IF(E38&gt;0.035,0,ROUND(IF(E38&lt;=0.003,0.7,E38^2*'Reference Standards'!$M$67+E38*'Reference Standards'!$M$68+'Reference Standards'!$M$69),2)),IF($B5="69de",IF(E38&gt;0.037,0,ROUND(IF(E38&lt;=0.003,0.7,E38^2*'Reference Standards'!$N$67+E38*'Reference Standards'!$N$68+'Reference Standards'!$N$69),2)),IF($B5="71e",IF(E38&gt;0.23,0,ROUND(IF(E38&lt;=0.003,0.7,E38^2*'Reference Standards'!$O$67+E38*'Reference Standards'!$O$68+'Reference Standards'!$O$69),2)),IF($B5="66f",IF(E38&gt;0.06,0,ROUND(IF(E38&lt;=0.003,0.85,IF(E38&lt;=0.004,0.7,E38^2*'Reference Standards'!$P$67+E38*'Reference Standards'!$P$68+'Reference Standards'!$P$69)),2)),IF($B5="67g",IF(E38&gt;0.11,0,ROUND(IF(E38&lt;=0.01,E38*'Reference Standards'!$S$68+'Reference Standards'!$S$69,E38^2*'Reference Standards'!$Q$67+E38*'Reference Standards'!$Q$68+'Reference Standards'!$Q$69),2)),IF($B5="74b",IF(E38&gt;0.49,0,ROUND(IF(E38&lt;=0.01,E38*'Reference Standards'!$S$68+'Reference Standards'!$S$69,E38^2*'Reference Standards'!$R$67+E38*'Reference Standards'!$R$68+'Reference Standards'!$R$69),2)),IF($B5="65abei",IF(E38&gt;0.199,0,ROUND(IF(E38&lt;=0.01,E38*'Reference Standards'!$T$74+'Reference Standards'!$T$75,E38^2*'Reference Standards'!$P$73+E38*'Reference Standards'!$P$74+'Reference Standards'!$P$75),2)))))))))))))))),IF($D2&lt;=2.5,IF(OR($B5="66d",$B5="66e",$B5="66g"),IF(E38&gt;0.05,0,ROUND(IF(E38&lt;=0.002,1,IF(E38&lt;=0.005,E38*'Reference Standards'!$Q$80+'Reference Standards'!$Q$81,E38^2*'Reference Standards'!$M$79+E38*'Reference Standards'!$M$80+'Reference Standards'!$M$81)),2)),IF($B5="67fhi",IF(E38&gt;0.1,0,ROUND(IF(E38&lt;=0.002,1,IF(E38&lt;=0.006,E38*'Reference Standards'!$R$80+'Reference Standards'!$R$81,E38^2*'Reference Standards'!$N$79+E38*'Reference Standards'!$N$80+'Reference Standards'!$N$81)),2)),IF($B5="65abei",IF(E38&gt;0.13,0,ROUND(IF(E38&lt;=0.003,1,IF(E38&lt;=0.008,E38*'Reference Standards'!$S$80+'Reference Standards'!$S$81,E38^2*'Reference Standards'!$O$79+E38*'Reference Standards'!$O$80+'Reference Standards'!$O$81)),2)),IF($B5="68b",IF(E38&gt;0.043,0,ROUND(IF(E38&lt;=0.004,1,IF(E38&lt;=0.005,0.7,E38^2*'Reference Standards'!$P$79+E38*'Reference Standards'!$P$80+'Reference Standards'!$P$81)),2)),IF($B5="69de",IF(E38&gt;=0.034,0,ROUND(IF(E38&lt;=0.003,1,IF(E38&lt;=0.006,E38*'Reference Standards'!$R$85+'Reference Standards'!$R$86,E38*'Reference Standards'!$M$85+'Reference Standards'!$M$86)),2)),IF(OR($B5="68a",$B5="68c"),IF(E38&gt;0.202,0,ROUND(IF(E38&lt;=0.003,1,IF(E38&lt;=0.006,E38*'Reference Standards'!$R$85+'Reference Standards'!$R$86,IF(E38&gt;=0.04,E38*'Reference Standards'!$N$85+'Reference Standards'!$N$86,E38*'Reference Standards'!$P$85+'Reference Standards'!$P$86))),2)),IF(OR($B5="71f",$B5="71g"),IF(E38&gt;0.631,0,ROUND(IF(E38&lt;=0.003,1,IF(E38&lt;=0.006,E38*'Reference Standards'!$R$85+'Reference Standards'!$R$86,IF(E38&gt;=0.17,E38*'Reference Standards'!$O$85+'Reference Standards'!$O$86,E38*'Reference Standards'!$Q$85+'Reference Standards'!$Q$86))),2)),IF($B5="71e",IF(E38&gt;1.23,0,ROUND(IF(E38&lt;=0.004,1,IF(E38&lt;=0.006,E38*'Reference Standards'!$Q$91+'Reference Standards'!$Q$92,E38^2*'Reference Standards'!$M$90+E38*'Reference Standards'!$M$91+'Reference Standards'!$M$92)),2)),IF($B5="67g",IF(E38&gt;0.11,0,ROUND(IF(E38&lt;=0.006,1,IF(E38&lt;=0.011,E38*'Reference Standards'!$R$91+'Reference Standards'!$R$92,E38^2*'Reference Standards'!$N$90+E38*'Reference Standards'!$N$91+'Reference Standards'!$N$92)),2)),IF($B5="65j",IF(E38&gt;0.046,0,ROUND(IF(E38&lt;=0.007,1,IF(E38&lt;=0.012,E38*'Reference Standards'!$S$91+'Reference Standards'!$S$92,E38^2*'Reference Standards'!$O$90+E38*'Reference Standards'!$O$91+'Reference Standards'!$O$92)),2)),IF($B5="66f",IF(E38&gt;0.081,0,ROUND(IF(E38&lt;=0.008,1,IF(E38&lt;=0.011,E38*'Reference Standards'!$T$91+'Reference Standards'!$T$92,E38^2*'Reference Standards'!$P$90+E38*'Reference Standards'!$P$91+'Reference Standards'!$P$92)),2)),IF(OR($B5="71h",$B5="71i"),IF(E38&gt;0.37,0,ROUND(IF(E38&lt;=0.013,1,IF(E38&lt;=0.032,E38*'Reference Standards'!$S$98+'Reference Standards'!$S$99,IF(E38&lt;=0.3,E38*'Reference Standards'!$Q$98+'Reference Standards'!$Q$99,E38*'Reference Standards'!$M$98+'Reference Standards'!$M$99))),2)),IF($B5="73a",IF(E38&gt;0.448,0,ROUND(IF(E38&lt;=0.071,1,IF(E38&lt;=0.086,E38*'Reference Standards'!$U$98+'Reference Standards'!$U$99,IF(E38&lt;=0.165,E38*'Reference Standards'!$R$98+'Reference Standards'!$R$99,E38*'Reference Standards'!$P$98+'Reference Standards'!$P$99))),2)),IF($B5="74b",IF(E38&gt;0.43,0,ROUND(IF(E38&lt;=0.018,1,IF(E38&lt;=0.019,0.85,IF(E38&lt;=0.02,0.7,E38^2*'Reference Standards'!$N$97+E38*'Reference Standards'!$N$98+'Reference Standards'!$N$99))),2)),IF($B5="74a",IF(E38&gt;0.217,0,ROUND(IF(E38&lt;=0.02,1,IF(E38&lt;=0.033,E38*'Reference Standards'!$T$98+'Reference Standards'!$T$99,E38^2*'Reference Standards'!$O$97+E38*'Reference Standards'!$O$98+'Reference Standards'!$O$99)),2)))))))))))))))))))))))</f>
        <v>0.8</v>
      </c>
      <c r="G38" s="48">
        <f t="shared" si="0"/>
        <v>0.8</v>
      </c>
      <c r="H38" s="330"/>
      <c r="I38" s="359"/>
      <c r="J38" s="315"/>
      <c r="N38" s="5"/>
    </row>
    <row r="39" spans="1:14" ht="15.6" x14ac:dyDescent="0.3">
      <c r="A39" s="333" t="s">
        <v>56</v>
      </c>
      <c r="B39" s="341" t="s">
        <v>287</v>
      </c>
      <c r="C39" s="33" t="s">
        <v>278</v>
      </c>
      <c r="D39" s="34"/>
      <c r="E39" s="43"/>
      <c r="F39" s="105">
        <f>IF(OR(D5="Ephemeral",AND(E40&lt;&gt;"",E41&lt;&gt;"",E42&lt;&gt;"")),"",IF(E39="",IF(G2="Yes",1,0.8),IF(OR(B5="73a",B5="73b"),IF(E39&lt;1,0,IF(E39&gt;=30,1,ROUND(IF(E39&lt;22,'Reference Standards'!$W$4*E39+'Reference Standards'!$W$5,'Reference Standards'!$X$4*E39+'Reference Standards'!$X$5),2))), IF(E39&lt;1,0, IF(E39&gt;=42,1, ROUND(IF(E39&lt;32,'Reference Standards'!$Y$4*E39+'Reference Standards'!$Y$5,'Reference Standards'!$Z$4*E39+'Reference Standards'!$Z$5),2))))))</f>
        <v>0.8</v>
      </c>
      <c r="G39" s="356">
        <f>IFERROR(ROUND(AVERAGE(F39:F42),2),"")</f>
        <v>0.8</v>
      </c>
      <c r="H39" s="336">
        <f>IFERROR(ROUND(AVERAGE(G39:G44),2),"")</f>
        <v>0.8</v>
      </c>
      <c r="I39" s="314" t="str">
        <f>IF(H39="","",IF(H39&gt;0.69,"Functioning",IF(H39&gt;0.29,"Functioning At Risk",IF(H39&gt;-1,"Not Functioning"))))</f>
        <v>Functioning</v>
      </c>
      <c r="J39" s="315"/>
      <c r="N39" s="5"/>
    </row>
    <row r="40" spans="1:14" ht="15.6" x14ac:dyDescent="0.3">
      <c r="A40" s="334"/>
      <c r="B40" s="342"/>
      <c r="C40" s="45" t="s">
        <v>282</v>
      </c>
      <c r="D40" s="46"/>
      <c r="E40" s="42"/>
      <c r="F40" s="106" t="str">
        <f>IF(D5="Ephemeral","",IF(E40="","",IF(AND($B5="74b",$D2&lt;=2),IF(E40&lt;0,0,IF(E40&gt;15.6,0.69,ROUND('Reference Standards'!$W$9*E40^2+'Reference Standards'!$W$10*E40+'Reference Standards'!$W$11,2))),IF(AND($B5="65abei",$D2&lt;=2),IF(E40&lt;0,0,IF(E40&gt;=20,0.69,ROUND('Reference Standards'!$X$9*E40^2+'Reference Standards'!$X$10*E40+'Reference Standards'!$X$11,2))),IF(OR(AND($B5="74a",$D$2&gt;2,$G3="January - June"),AND($B5="71i",$D2&gt;2,$G4="SQBANK")),IF(E40&lt;0,0,IF(E40&gt;24.7,0.69,ROUND('Reference Standards'!$Y$9*E40^2+'Reference Standards'!$Y$10*E40+'Reference Standards'!$Y$11,2))),IF(OR($B5="74b",$B5="65abei"),IF(E40&lt;0,0,IF(E40&gt;32.7,0.69,ROUND('Reference Standards'!$Z$9*E40^2+'Reference Standards'!$Z$10*E40+'Reference Standards'!$Z$11,2))),IF(AND($B5="68b",$D2&gt;2),IF(E40&lt;0,0,IF(E40&gt;41.2,0.69,ROUND('Reference Standards'!$AA$9*E40^2+'Reference Standards'!$AA$10*E40+'Reference Standards'!$AA$11,2))),IF(OR(AND($B5="71i",$D2&lt;=2),AND(OR($B5="68c",$B5="68d"),$G3="January - June")),IF(E40&lt;0,0,IF(E40&gt;49.2,0.69,ROUND('Reference Standards'!$W$15*E40^2+'Reference Standards'!$W$16*E40+'Reference Standards'!$W$17,2))),IF(OR(AND($B5="68a",$G3="January - June"),AND(OR($B5="68c",$B5="68d"),$G3="July - December")),IF(E40&lt;0,0,IF(E40&gt;53.4,0.69,ROUND('Reference Standards'!$X$15*E40^2+'Reference Standards'!$X$16*E40+'Reference Standards'!$X$17,2))),IF(OR(AND($B5="71i",$D2&gt;2,$G4="SQKICK"),AND(OR($B5="67fhi",$B5="67g"),$D2&lt;=2),$B5="65j"),IF(E40&lt;0,0,IF(E40&gt;57.8,0.69,ROUND('Reference Standards'!$Y$15*E40^2+'Reference Standards'!$Y$16*E40+'Reference Standards'!$Y$17,2))),IF(OR(AND($B5="74a",$D2&gt;2,$G3="July - December"),AND(OR($B5="67fhi",$B5="67g"),$D2&gt;2),$B5="69de"),IF(E40&lt;0,0,IF(E40&gt;62.5,0.69,ROUND('Reference Standards'!$Z$15*E40^2+'Reference Standards'!$Z$16*E40+'Reference Standards'!$Z$17,2))),  IF(OR($B5="66d",$B5="66e",$B5="66ik",$B5="71e",$B5="71f",$B5="71g",$B5="71h"),IF(E40&lt;0,0,IF(E40&gt;66.5,0.69,ROUND('Reference Standards'!$AA$15*E40^2+'Reference Standards'!$AA$16*E40+'Reference Standards'!$AA$17,2))),IF(OR($B5="66f",$B5="66g",$B5="66j",AND($B5="68a",$G3="July - December")), IF(E40&lt;0,0,IF(E40&gt;69,0.69,ROUND('Reference Standards'!$AB$15*E40^2+'Reference Standards'!$AB$16*E40+'Reference Standards'!$AB$17,2))))   ))))))))))))</f>
        <v/>
      </c>
      <c r="G40" s="356"/>
      <c r="H40" s="336"/>
      <c r="I40" s="314"/>
      <c r="J40" s="315"/>
      <c r="N40" s="5"/>
    </row>
    <row r="41" spans="1:14" ht="15.6" x14ac:dyDescent="0.3">
      <c r="A41" s="334"/>
      <c r="B41" s="342"/>
      <c r="C41" s="45" t="s">
        <v>286</v>
      </c>
      <c r="D41" s="46"/>
      <c r="E41" s="42"/>
      <c r="F41" s="106" t="str">
        <f>IF(D5="Ephemeral","",IF(E41="","",IF(AND($B5="74b",$D2&lt;=2),IF(E41&lt;0,0,IF(E41&gt;8.1,0.69,ROUND('Reference Standards'!$W$21*E41^2+'Reference Standards'!$W$22*E41+'Reference Standards'!$W$23,2))),IF(OR($B5="73a",$B5="73b"),IF(E41&lt;0,0,IF(E41&gt;=28,0.69,ROUND('Reference Standards'!$X$21*E41^2+'Reference Standards'!$X$22*E41+'Reference Standards'!$X$23,2))),IF(AND($B5="74a",$D2&gt;2,$G3="January - June"),IF(E41&lt;0,0,IF(E41&gt;=32.5,0.69,ROUND('Reference Standards'!$Y$21*E41^2+'Reference Standards'!$Y$22*E41+'Reference Standards'!$Y$23,2))),IF(AND($B5="71i",$D2&gt;2,$G4="SQBANK"),IF(E41&lt;0,0,IF(E41&gt;=37,0.69,ROUND('Reference Standards'!$Z$21*E41^2+'Reference Standards'!$Z$22*E41+'Reference Standards'!$Z$23,2))),IF(OR(AND(OR($B5="65abei",$B5="74b"),$D2&gt;2),AND($B5="71i",$D2&gt;2,$G4="SQKICK")),IF(E41&lt;0,0,IF(E41&gt;42.6,0.69,ROUND('Reference Standards'!$AA$21*E41^2+'Reference Standards'!$AA$22*E41+'Reference Standards'!$AA$23,2))),     IF(OR(AND($B5="65abei",$D2&lt;=2),AND(OR($B5="68c",$B5="68d"),$G3="July - December"),$B5="71e"),IF(E41&lt;0,0,IF(E41&gt;=48,0.69,ROUND('Reference Standards'!$W$27*E41^2+'Reference Standards'!$W$28*E41+'Reference Standards'!$W$29,2))),IF(OR($B5="65j",$B5="67fhi",$B5="67g",AND($B5="74a",$G3="July - December",$D2&gt;2),AND($B5="71i",$D2&lt;=2)),IF(E41&lt;0,0,IF(E41&gt;=53,0.69,ROUND('Reference Standards'!$X$27*E41^2+'Reference Standards'!$X$28*E41+'Reference Standards'!$X$29,2))),IF(OR(AND(OR($B5="68b",$B5="71f",$B5="71g",$B5="71h"),$D2&gt;2),$B5="68a"),IF(E41&lt;0,0,IF(E41&gt;=57,0.69,ROUND('Reference Standards'!$Y$27*E41^2+'Reference Standards'!$Y$28*E41+'Reference Standards'!$Y$29,2))),IF(OR($B5="66f",$B5="66g",$B5="66j",AND(OR($B5="71f",$B5="71g",$B5="71h"),$D2&lt;=2)),IF(E41&lt;0,0,IF(E41&gt;=60,0.69,ROUND('Reference Standards'!$Z$27*E41^2+'Reference Standards'!$Z$28*E41+'Reference Standards'!$Z$29,2))),  IF(OR($B5="66d",$B5="66e",$B5="66ik", AND(OR($B5="68c",$B5="68d"),$G3="January - June"),AND($B5="69de",$G3="July - December")),IF(E41&lt;0,0,IF(E41&gt;=67.5,0.69,ROUND('Reference Standards'!$AA$27*E41^2+'Reference Standards'!$AA$28*E41+'Reference Standards'!$AA$29,2))),IF(AND($B5="69de",$G3="January - June"), IF(E41&lt;0,0,IF(E41&gt;=72,0.69,ROUND('Reference Standards'!$AB$27*E41^2+'Reference Standards'!$AB$28*E41+'Reference Standards'!$AB$29,2))))   ))))))))))))</f>
        <v/>
      </c>
      <c r="G41" s="356"/>
      <c r="H41" s="336"/>
      <c r="I41" s="314"/>
      <c r="J41" s="315"/>
      <c r="N41" s="5"/>
    </row>
    <row r="42" spans="1:14" ht="15.6" x14ac:dyDescent="0.3">
      <c r="A42" s="334"/>
      <c r="B42" s="343"/>
      <c r="C42" s="35" t="s">
        <v>283</v>
      </c>
      <c r="D42" s="25"/>
      <c r="E42" s="44"/>
      <c r="F42" s="106" t="str">
        <f>IF(D5="Ephemeral","",IF(E42="","",IF(OR($B5="67fhi",$B5="67g",$B5="71e",$B5="73a",$B5="73b",AND(OR($B5="71f",$B5="71g",$B5="71h"),$D2&gt;2)),IF(E42&gt;100,0,IF(E42&lt;15,0.69,ROUND('Reference Standards'!$W$33*E42^2+'Reference Standards'!$W$34*E42+'Reference Standards'!$W$35,2))),  IF(OR($B5="66d",$B5="66e",$B5="66ik",$B5="66f",$B5="66g",$B5="66j",$B5="68a",$B5="68c",$B5="68d",AND($B5="69de",$G3="July - December"), AND($B5="71i",$D2&lt;=2), AND($B5="71i",$D2&gt;2,$G4="SQBANK" ), AND($B5="74a",$D2&gt;2,$G3="July - December") ),IF(E42&gt;100,0,IF(E42&lt;19,0.69,ROUND('Reference Standards'!$X$33*E42^2+'Reference Standards'!$X$34*E42+'Reference Standards'!$X$35,2))),    IF(OR(AND($B5="69de",$G3="January - June"),AND($B5="71i",$D2&gt;2,$G4="SQKICK" )),IF(E42&gt;100,0,IF(E42&lt;22,0.69,ROUND('Reference Standards'!$Y$33*E42^2+'Reference Standards'!$Y$34*E42+'Reference Standards'!$Y$35,2))),    IF(OR($B5="65j",AND($B5="68b",$D2&gt;2)),IF(E42&gt;100,0,IF(E42&lt;24,0.69,ROUND('Reference Standards'!$Z$33*E42^2+'Reference Standards'!$Z$34*E42+'Reference Standards'!$Z$35,2))),    IF(AND(OR($B5="65abei",$B5="71f",$B5="71g",$B5="71h"),$D2&lt;=2),IF(E42&gt;95,0,IF(E42&lt;33,0.69,ROUND('Reference Standards'!$W$39*E42^2+'Reference Standards'!$W$40*E42+'Reference Standards'!$W$41,2))),   IF(AND(OR($B5="65abei",$B5="74b"),$D2&gt;2),IF(E42&gt;97,0,IF(E42&lt;36,0.69,ROUND('Reference Standards'!$X$39*E42^2+'Reference Standards'!$X$40*E42+'Reference Standards'!$X$41,2))),  IF(AND($B5="74a",$G3="January - June",$D2&gt;2),IF(E42&gt;93,0,IF(E42&lt;52,0.69,ROUND('Reference Standards'!$Y$39*E42^2+'Reference Standards'!$Y$40*E42+'Reference Standards'!$Y$41,2))),   IF(AND($B5="74b",$D2&lt;=2),IF(E42&gt;97,0,IF(E42&lt;62,0.69,ROUND('Reference Standards'!$Z$39*E42^2+'Reference Standards'!$Z$40*E42+'Reference Standards'!$Z$41,2)))  ))))))))))</f>
        <v/>
      </c>
      <c r="G42" s="356"/>
      <c r="H42" s="336"/>
      <c r="I42" s="314"/>
      <c r="J42" s="315"/>
      <c r="N42" s="5"/>
    </row>
    <row r="43" spans="1:14" ht="15.6" x14ac:dyDescent="0.3">
      <c r="A43" s="334"/>
      <c r="B43" s="337" t="s">
        <v>65</v>
      </c>
      <c r="C43" s="33" t="s">
        <v>174</v>
      </c>
      <c r="D43" s="34"/>
      <c r="E43" s="36"/>
      <c r="F43" s="105" t="str">
        <f>IF(D5="Ephemeral","",IF(E43="","",IF(E43=1,0.15,IF(E43=3,0.5,IF(E43=5,0.85,0)))))</f>
        <v/>
      </c>
      <c r="G43" s="338" t="str">
        <f>IFERROR(ROUND(AVERAGE(F43:F44),2),"")</f>
        <v/>
      </c>
      <c r="H43" s="336"/>
      <c r="I43" s="314"/>
      <c r="J43" s="315"/>
      <c r="N43" s="5"/>
    </row>
    <row r="44" spans="1:14" ht="15.6" x14ac:dyDescent="0.3">
      <c r="A44" s="335"/>
      <c r="B44" s="337"/>
      <c r="C44" s="35" t="s">
        <v>279</v>
      </c>
      <c r="D44" s="25"/>
      <c r="E44" s="41"/>
      <c r="F44" s="107" t="str">
        <f>IF(D5="Ephemeral","",IF(E44="","",IF(E44=1,0.15,IF(E44=3,0.5,IF(E44=5,0.85,0)))))</f>
        <v/>
      </c>
      <c r="G44" s="339"/>
      <c r="H44" s="336"/>
      <c r="I44" s="314"/>
      <c r="J44" s="315"/>
    </row>
    <row r="45" spans="1:14" ht="4.2" customHeight="1" x14ac:dyDescent="0.3"/>
    <row r="46" spans="1:14" ht="4.2" customHeight="1" x14ac:dyDescent="0.3"/>
    <row r="47" spans="1:14" ht="21" customHeight="1" x14ac:dyDescent="0.3">
      <c r="A47" s="296" t="s">
        <v>295</v>
      </c>
      <c r="B47" s="297"/>
      <c r="C47" s="297"/>
      <c r="D47" s="297"/>
      <c r="E47" s="297"/>
      <c r="F47" s="297"/>
      <c r="G47" s="297"/>
      <c r="H47" s="297"/>
      <c r="I47" s="297"/>
      <c r="J47" s="298"/>
    </row>
    <row r="48" spans="1:14" ht="15.6" customHeight="1" x14ac:dyDescent="0.3">
      <c r="A48" s="6" t="s">
        <v>85</v>
      </c>
      <c r="B48" s="7"/>
      <c r="C48" s="6" t="s">
        <v>15</v>
      </c>
      <c r="D48" s="7"/>
      <c r="E48" s="165" t="s">
        <v>387</v>
      </c>
      <c r="F48" s="168"/>
      <c r="G48" s="166" t="s">
        <v>58</v>
      </c>
      <c r="H48" s="299" t="s">
        <v>367</v>
      </c>
      <c r="I48" s="300"/>
      <c r="J48" s="7"/>
    </row>
    <row r="49" spans="1:10" ht="15.6" customHeight="1" x14ac:dyDescent="0.3">
      <c r="A49" s="6" t="s">
        <v>86</v>
      </c>
      <c r="B49" s="39"/>
      <c r="C49" s="6" t="s">
        <v>371</v>
      </c>
      <c r="D49" s="39"/>
      <c r="E49" s="6" t="s">
        <v>94</v>
      </c>
      <c r="F49" s="6"/>
      <c r="G49" s="39"/>
      <c r="H49" s="299" t="s">
        <v>368</v>
      </c>
      <c r="I49" s="300"/>
      <c r="J49" s="7"/>
    </row>
    <row r="50" spans="1:10" ht="15.6" x14ac:dyDescent="0.3">
      <c r="A50" s="6" t="s">
        <v>365</v>
      </c>
      <c r="B50" s="39"/>
      <c r="C50" s="6" t="s">
        <v>372</v>
      </c>
      <c r="D50" s="7"/>
      <c r="E50" s="331" t="s">
        <v>150</v>
      </c>
      <c r="F50" s="331"/>
      <c r="G50" s="39"/>
      <c r="H50" s="299" t="s">
        <v>369</v>
      </c>
      <c r="I50" s="300"/>
      <c r="J50" s="7"/>
    </row>
    <row r="51" spans="1:10" ht="15.6" x14ac:dyDescent="0.3">
      <c r="A51" s="6" t="s">
        <v>290</v>
      </c>
      <c r="B51" s="39" t="s">
        <v>236</v>
      </c>
      <c r="C51" s="6" t="s">
        <v>351</v>
      </c>
      <c r="D51" s="39"/>
      <c r="E51" s="332" t="s">
        <v>260</v>
      </c>
      <c r="F51" s="332"/>
      <c r="G51" s="39"/>
      <c r="H51" s="299" t="s">
        <v>370</v>
      </c>
      <c r="I51" s="300"/>
      <c r="J51" s="7"/>
    </row>
    <row r="52" spans="1:10" ht="7.95" customHeight="1" x14ac:dyDescent="0.3">
      <c r="H52" s="3"/>
      <c r="I52" s="110"/>
      <c r="J52" s="3"/>
    </row>
    <row r="53" spans="1:10" ht="21" x14ac:dyDescent="0.4">
      <c r="A53" s="301" t="s">
        <v>54</v>
      </c>
      <c r="B53" s="302"/>
      <c r="C53" s="302"/>
      <c r="D53" s="302"/>
      <c r="E53" s="302"/>
      <c r="F53" s="303"/>
      <c r="G53" s="304" t="s">
        <v>16</v>
      </c>
      <c r="H53" s="304"/>
      <c r="I53" s="304"/>
      <c r="J53" s="304"/>
    </row>
    <row r="54" spans="1:10" ht="15.6" x14ac:dyDescent="0.3">
      <c r="A54" s="8" t="s">
        <v>1</v>
      </c>
      <c r="B54" s="8" t="s">
        <v>2</v>
      </c>
      <c r="C54" s="305" t="s">
        <v>3</v>
      </c>
      <c r="D54" s="306"/>
      <c r="E54" s="8" t="s">
        <v>13</v>
      </c>
      <c r="F54" s="37" t="s">
        <v>14</v>
      </c>
      <c r="G54" s="8" t="s">
        <v>17</v>
      </c>
      <c r="H54" s="8" t="s">
        <v>18</v>
      </c>
      <c r="I54" s="111" t="s">
        <v>18</v>
      </c>
      <c r="J54" s="8" t="s">
        <v>296</v>
      </c>
    </row>
    <row r="55" spans="1:10" ht="15.75" customHeight="1" x14ac:dyDescent="0.3">
      <c r="A55" s="310" t="s">
        <v>57</v>
      </c>
      <c r="B55" s="94" t="s">
        <v>71</v>
      </c>
      <c r="C55" s="9" t="s">
        <v>313</v>
      </c>
      <c r="D55" s="9"/>
      <c r="E55" s="40"/>
      <c r="F55" s="138">
        <f>IF(E55="", IF(G48="Yes",1,0.8),IF(E55&lt;=0,0,IF(E55&gt;=0.95,1,ROUND('Reference Standards'!B$3*E55+'Reference Standards'!B$4,2))))</f>
        <v>1</v>
      </c>
      <c r="G55" s="135">
        <f>IFERROR(ROUND(AVERAGE(F55),2),"")</f>
        <v>1</v>
      </c>
      <c r="H55" s="312">
        <f>IFERROR(ROUND(AVERAGE(G55:G56),2),"")</f>
        <v>1</v>
      </c>
      <c r="I55" s="314" t="str">
        <f>IF(H55="","",IF(H55&gt;0.69,"Functioning",IF(H55&gt;0.29,"Functioning At Risk",IF(H55&gt;-1,"Not Functioning"))))</f>
        <v>Functioning</v>
      </c>
      <c r="J55" s="315">
        <f>IF(AND(H55="",H57="",H59="",H81="",H85=""),"",ROUND((IF(H55="",0,H55)*0.2),2)+ROUND((IF(H57="",0,H57)*0.2),2)+ROUND((IF(H59="",0,H59)*0.2),2)+ROUND((IF(H81="",0,H81)*0.2),2)+ROUND((IF(H85="",0,H85)*0.2),2))</f>
        <v>1</v>
      </c>
    </row>
    <row r="56" spans="1:10" ht="15.6" x14ac:dyDescent="0.3">
      <c r="A56" s="311"/>
      <c r="B56" s="140" t="s">
        <v>97</v>
      </c>
      <c r="C56" s="136" t="s">
        <v>125</v>
      </c>
      <c r="D56" s="137"/>
      <c r="E56" s="7"/>
      <c r="F56" s="138">
        <f>IF(E56="", IF(G48="Yes",1,0.8),IF(E56&gt;=1,1,IF(E56&lt;=0,0,ROUND(E56,2))))</f>
        <v>1</v>
      </c>
      <c r="G56" s="135">
        <f>IFERROR(ROUND(AVERAGE(F56),2),"")</f>
        <v>1</v>
      </c>
      <c r="H56" s="313"/>
      <c r="I56" s="314"/>
      <c r="J56" s="315"/>
    </row>
    <row r="57" spans="1:10" ht="15.6" x14ac:dyDescent="0.3">
      <c r="A57" s="322" t="s">
        <v>4</v>
      </c>
      <c r="B57" s="324" t="s">
        <v>5</v>
      </c>
      <c r="C57" s="11" t="s">
        <v>6</v>
      </c>
      <c r="D57" s="11"/>
      <c r="E57" s="40"/>
      <c r="F57" s="98">
        <f>IF(D51="Ephemeral","",IF(E57="",IF(G48="Yes",1,0.8),ROUND(IF(E57&gt;1.6,0,IF(E57&lt;=1,1,E57^2*'Reference Standards'!E$3+E57*'Reference Standards'!E$4+'Reference Standards'!E$5)),2)))</f>
        <v>1</v>
      </c>
      <c r="G57" s="353">
        <f>IFERROR(ROUND(AVERAGE(F57:F58),2),"")</f>
        <v>1</v>
      </c>
      <c r="H57" s="354">
        <f>IFERROR(ROUND(AVERAGE(G57),2),"")</f>
        <v>1</v>
      </c>
      <c r="I57" s="346" t="str">
        <f>IF(H57="","",IF(H57&gt;0.69,"Functioning",IF(H57&gt;0.29,"Functioning At Risk",IF(H57&gt;-1,"Not Functioning"))))</f>
        <v>Functioning</v>
      </c>
      <c r="J57" s="315"/>
    </row>
    <row r="58" spans="1:10" ht="15.6" x14ac:dyDescent="0.3">
      <c r="A58" s="323"/>
      <c r="B58" s="324"/>
      <c r="C58" s="11" t="s">
        <v>7</v>
      </c>
      <c r="D58" s="11"/>
      <c r="E58" s="40"/>
      <c r="F58" s="98">
        <f>IF(D51="Ephemeral","",IF(E58="",IF(G48="Yes",1,0.8),(IF(OR(B50="A",B50="B",$B50="Bc"),IF(E58&lt;1.2,0,IF(E58&gt;=2.2,1,ROUND(IF(E58&lt;1.4,E58*'Reference Standards'!$E$14+'Reference Standards'!$E$15,E58*'Reference Standards'!$F$14+'Reference Standards'!$F$15),2))),IF(OR(B50="C",B50="E"),IF(E58&lt;2,0,IF(E58&gt;=5,1,ROUND(IF(E58&lt;2.4,E58*'Reference Standards'!$F$9+'Reference Standards'!$F$10,E58*'Reference Standards'!$E$9+'Reference Standards'!$E$10),2))))))))</f>
        <v>1</v>
      </c>
      <c r="G58" s="353"/>
      <c r="H58" s="355"/>
      <c r="I58" s="347"/>
      <c r="J58" s="315"/>
    </row>
    <row r="59" spans="1:10" ht="15.6" x14ac:dyDescent="0.3">
      <c r="A59" s="321" t="s">
        <v>23</v>
      </c>
      <c r="B59" s="348" t="s">
        <v>24</v>
      </c>
      <c r="C59" s="15" t="s">
        <v>280</v>
      </c>
      <c r="D59" s="71"/>
      <c r="E59" s="16"/>
      <c r="F59" s="99" t="str">
        <f>IF(E59="","",IF(OR(LEFT($B51,2)="65",LEFT($B51,2)="66",LEFT($B51,2)="74",LEFT($B51,2)="73"),IF(E59&gt;=850,1,IF(E59&lt;250,ROUND('Reference Standards'!$H$5*(E59)+'Reference Standards'!$H$6,2),ROUND('Reference Standards'!$I$5*E59+'Reference Standards'!$I$6,2))),  IF(E59&gt;=345,1,IF(E59&lt;=180,ROUND('Reference Standards'!J$5*(E59)+'Reference Standards'!J$6,2),ROUND('Reference Standards'!K$5*E59+'Reference Standards'!K$6,2))))    )</f>
        <v/>
      </c>
      <c r="G59" s="318">
        <f>IFERROR(ROUND(AVERAGE(F59:F60),2),"")</f>
        <v>1</v>
      </c>
      <c r="H59" s="350">
        <f>IFERROR(ROUND(AVERAGE(G59:G80),2),"")</f>
        <v>1</v>
      </c>
      <c r="I59" s="352" t="str">
        <f>IF(H59="","",IF(H59&gt;0.69,"Functioning",IF(H59&gt;0.29,"Functioning At Risk",IF(H59&gt;-1,"Not Functioning"))))</f>
        <v>Functioning</v>
      </c>
      <c r="J59" s="315"/>
    </row>
    <row r="60" spans="1:10" ht="15.6" x14ac:dyDescent="0.3">
      <c r="A60" s="316"/>
      <c r="B60" s="349"/>
      <c r="C60" s="18" t="s">
        <v>267</v>
      </c>
      <c r="D60" s="72"/>
      <c r="E60" s="10"/>
      <c r="F60" s="100">
        <f>IF(ISNUMBER(E59),"",IF(E60="",IF(G48="Yes",1,0.8),IF(OR(LEFT($B51,2)="65",LEFT($B51,2)="66",LEFT($B51,2)="74",LEFT($B51,2)="73"),IF(E60&gt;=30,1,IF(E60&lt;13,ROUND('Reference Standards'!$H$11*(E60)+'Reference Standards'!$H$12,2),ROUND('Reference Standards'!$I$11*E60+'Reference Standards'!$I$12,2))),  IF(E60&gt;=16,1,IF(E60&lt;=9,ROUND('Reference Standards'!J$11*(E60)+'Reference Standards'!J$12,2),ROUND('Reference Standards'!K$11*E60+'Reference Standards'!K$12,2))))    ))</f>
        <v>1</v>
      </c>
      <c r="G60" s="320"/>
      <c r="H60" s="350"/>
      <c r="I60" s="352"/>
      <c r="J60" s="315"/>
    </row>
    <row r="61" spans="1:10" ht="15.6" x14ac:dyDescent="0.3">
      <c r="A61" s="316"/>
      <c r="B61" s="316" t="s">
        <v>350</v>
      </c>
      <c r="C61" s="13" t="s">
        <v>66</v>
      </c>
      <c r="D61" s="13"/>
      <c r="E61" s="42"/>
      <c r="F61" s="99" t="str">
        <f>IF(E61="","",ROUND(IF(E61&gt;0.7,0,IF(E61&lt;=0.1,1,E61^3*'Reference Standards'!H$15+E61^2*'Reference Standards'!H$16+E61*'Reference Standards'!H$17+'Reference Standards'!H$18)),2))</f>
        <v/>
      </c>
      <c r="G61" s="318">
        <f>IFERROR(ROUND(AVERAGE(F61:F64),2),"")</f>
        <v>1</v>
      </c>
      <c r="H61" s="351"/>
      <c r="I61" s="352"/>
      <c r="J61" s="315"/>
    </row>
    <row r="62" spans="1:10" ht="15.6" x14ac:dyDescent="0.3">
      <c r="A62" s="316"/>
      <c r="B62" s="316"/>
      <c r="C62" s="13" t="s">
        <v>47</v>
      </c>
      <c r="D62" s="13"/>
      <c r="E62" s="42"/>
      <c r="F62" s="28">
        <f>IF(ISNUMBER(E61),"", IF(AND(E61="",E62=""),IF(G48="Yes",1,0.8),IF(OR(E62="Ex/Ex",E62="Ex/VH"),0, IF(OR(E62="Ex/H",E62="VH/Ex",E62="VH/VH", E62="H/Ex",E62="H/VH",E62="M/Ex"),0.1,IF(OR(E62="Ex/M",E62="VH/H",E62="H/H", E62="M/VH"),0.2, IF(OR(E62="Ex/L",E62="VH/M",E62="H/M", E62="M/H",E62="L/Ex"),0.3, IF(OR(E62="Ex/VL",E62="VH/L",E62="H/L"),0.4, IF(OR(E62="VH/VL",E62="H/VL",E62="M/M", E62="L/VH"),0.5, IF(OR(E62="M/L",E62="L/H"),0.6, IF(OR(E62="M/VL",E62="L/M"),0.7, IF(OR(E62="L/L",E62="L/VL"),1)))))))))))</f>
        <v>1</v>
      </c>
      <c r="G62" s="319"/>
      <c r="H62" s="351"/>
      <c r="I62" s="352"/>
      <c r="J62" s="315"/>
    </row>
    <row r="63" spans="1:10" ht="15.6" x14ac:dyDescent="0.3">
      <c r="A63" s="316"/>
      <c r="B63" s="316"/>
      <c r="C63" s="14" t="s">
        <v>72</v>
      </c>
      <c r="D63" s="13"/>
      <c r="E63" s="42"/>
      <c r="F63" s="28">
        <f>IF(E63="",IF(G48="Yes",1,0.8),ROUND(IF(E63&gt;40,0,IF(E63&lt;5,1,E63^3*'Reference Standards'!H$21+E63^2*'Reference Standards'!H$22+E63*'Reference Standards'!H$23+'Reference Standards'!H$24)),2))</f>
        <v>1</v>
      </c>
      <c r="G63" s="319"/>
      <c r="H63" s="351"/>
      <c r="I63" s="352"/>
      <c r="J63" s="315"/>
    </row>
    <row r="64" spans="1:10" ht="15.6" x14ac:dyDescent="0.3">
      <c r="A64" s="316"/>
      <c r="B64" s="317"/>
      <c r="C64" s="14" t="s">
        <v>349</v>
      </c>
      <c r="D64" s="14"/>
      <c r="E64" s="44"/>
      <c r="F64" s="100">
        <f>IF(E64="",IF(G48="Yes",1,0.8),ROUND(IF(E64&gt;=30,0,IF(E64&lt;=0,1,E64*'Reference Standards'!H$27+'Reference Standards'!H$28)),2))</f>
        <v>1</v>
      </c>
      <c r="G64" s="320"/>
      <c r="H64" s="351"/>
      <c r="I64" s="352"/>
      <c r="J64" s="315"/>
    </row>
    <row r="65" spans="1:10" ht="15.6" x14ac:dyDescent="0.3">
      <c r="A65" s="316"/>
      <c r="B65" s="316" t="s">
        <v>48</v>
      </c>
      <c r="C65" s="15" t="s">
        <v>314</v>
      </c>
      <c r="D65" s="19"/>
      <c r="E65" s="36"/>
      <c r="F65" s="92">
        <f>IF(E65="",IF(G48="Yes",1,0.8),ROUND(IF(E65&gt;9.2,1,E65*'Reference Standards'!H$31+'Reference Standards'!H$32),2))</f>
        <v>1</v>
      </c>
      <c r="G65" s="307">
        <f>IFERROR(ROUND(AVERAGE(F65:F74),2),"")</f>
        <v>1</v>
      </c>
      <c r="H65" s="351"/>
      <c r="I65" s="352"/>
      <c r="J65" s="315"/>
    </row>
    <row r="66" spans="1:10" ht="15.6" x14ac:dyDescent="0.3">
      <c r="A66" s="316"/>
      <c r="B66" s="316"/>
      <c r="C66" s="17" t="s">
        <v>315</v>
      </c>
      <c r="D66" s="13"/>
      <c r="E66" s="40"/>
      <c r="F66" s="92">
        <f>IF(E66="",IF(G48="Yes",1,0.8),ROUND(IF(E66&gt;9.2,1,E66*'Reference Standards'!H$31+'Reference Standards'!H$32),2))</f>
        <v>1</v>
      </c>
      <c r="G66" s="308"/>
      <c r="H66" s="351"/>
      <c r="I66" s="352"/>
      <c r="J66" s="315"/>
    </row>
    <row r="67" spans="1:10" ht="15.6" x14ac:dyDescent="0.3">
      <c r="A67" s="316"/>
      <c r="B67" s="316"/>
      <c r="C67" s="17" t="s">
        <v>316</v>
      </c>
      <c r="D67" s="13"/>
      <c r="E67" s="40"/>
      <c r="F67" s="92">
        <f>IF(E67="",IF(G48="Yes",1,0.8),ROUND( IF(E67&gt;=200,1,IF(E67&lt;50, E67^2*'Reference Standards'!H$36+E67*'Reference Standards'!H$37+'Reference Standards'!H$38, E67*'Reference Standards'!I$37+'Reference Standards'!I$38)),2))</f>
        <v>1</v>
      </c>
      <c r="G67" s="308"/>
      <c r="H67" s="351"/>
      <c r="I67" s="352"/>
      <c r="J67" s="315"/>
    </row>
    <row r="68" spans="1:10" ht="15.6" x14ac:dyDescent="0.3">
      <c r="A68" s="316"/>
      <c r="B68" s="316"/>
      <c r="C68" s="17" t="s">
        <v>317</v>
      </c>
      <c r="D68" s="13"/>
      <c r="E68" s="40"/>
      <c r="F68" s="92">
        <f>IF(E68="",IF(G48="Yes",1,0.8),ROUND( IF(E68&gt;=200,1,IF(E68&lt;50, E68^2*'Reference Standards'!H$36+E68*'Reference Standards'!H$37+'Reference Standards'!H$38, E68*'Reference Standards'!I$37+'Reference Standards'!I$38)),2))</f>
        <v>1</v>
      </c>
      <c r="G68" s="308"/>
      <c r="H68" s="351"/>
      <c r="I68" s="352"/>
      <c r="J68" s="315"/>
    </row>
    <row r="69" spans="1:10" ht="15.6" x14ac:dyDescent="0.3">
      <c r="A69" s="316"/>
      <c r="B69" s="316"/>
      <c r="C69" s="13" t="s">
        <v>318</v>
      </c>
      <c r="D69" s="13"/>
      <c r="E69" s="40"/>
      <c r="F69" s="92">
        <f>IF(E69="",IF(G48="Yes",1,0.8),ROUND(IF(AND(E69&gt;=135,E69&lt;=262),1,IF(E69&gt;=366,0.5,IF(E69&lt;135,E69*'Reference Standards'!H$42+'Reference Standards'!H$43,E69*'Reference Standards'!I$42+'Reference Standards'!I$43))),2))</f>
        <v>1</v>
      </c>
      <c r="G69" s="308"/>
      <c r="H69" s="351"/>
      <c r="I69" s="352"/>
      <c r="J69" s="315"/>
    </row>
    <row r="70" spans="1:10" ht="15.6" x14ac:dyDescent="0.3">
      <c r="A70" s="316"/>
      <c r="B70" s="316"/>
      <c r="C70" s="13" t="s">
        <v>319</v>
      </c>
      <c r="D70" s="13"/>
      <c r="E70" s="40"/>
      <c r="F70" s="92">
        <f>IF(E70="",IF(G48="Yes",1,0.8),ROUND(IF(AND(E70&gt;=135,E70&lt;=262),1,IF(E70&gt;=366,0.5,IF(E70&lt;135,E70*'Reference Standards'!H$42+'Reference Standards'!H$43,E70*'Reference Standards'!I$42+'Reference Standards'!I$43))),2))</f>
        <v>1</v>
      </c>
      <c r="G70" s="308"/>
      <c r="H70" s="351"/>
      <c r="I70" s="352"/>
      <c r="J70" s="315"/>
    </row>
    <row r="71" spans="1:10" ht="15.6" x14ac:dyDescent="0.3">
      <c r="A71" s="316"/>
      <c r="B71" s="316"/>
      <c r="C71" s="13" t="s">
        <v>320</v>
      </c>
      <c r="D71" s="13"/>
      <c r="E71" s="40"/>
      <c r="F71" s="28">
        <f>IF(E71="",IF(G48="Yes",1,0.8),ROUND(IF(E71&gt;=75,1,IF(E71&lt;=0,0,E71*'Reference Standards'!H$46)),2))</f>
        <v>1</v>
      </c>
      <c r="G71" s="308"/>
      <c r="H71" s="351"/>
      <c r="I71" s="352"/>
      <c r="J71" s="315"/>
    </row>
    <row r="72" spans="1:10" ht="15.6" x14ac:dyDescent="0.3">
      <c r="A72" s="316"/>
      <c r="B72" s="316"/>
      <c r="C72" s="13" t="s">
        <v>321</v>
      </c>
      <c r="D72" s="13"/>
      <c r="E72" s="40"/>
      <c r="F72" s="28">
        <f>IF(E72="",IF(G48="Yes",1,0.8),ROUND(IF(E72&gt;=75,1,IF(E72&lt;=0,0,E72*'Reference Standards'!H$46)),2))</f>
        <v>1</v>
      </c>
      <c r="G72" s="308"/>
      <c r="H72" s="351"/>
      <c r="I72" s="352"/>
      <c r="J72" s="315"/>
    </row>
    <row r="73" spans="1:10" ht="15.6" x14ac:dyDescent="0.3">
      <c r="A73" s="316"/>
      <c r="B73" s="316"/>
      <c r="C73" s="13" t="s">
        <v>322</v>
      </c>
      <c r="D73" s="13"/>
      <c r="E73" s="40"/>
      <c r="F73" s="92">
        <f>IF(E73="",IF(G48="Yes",1,0.8),ROUND(IF(AND(E73&gt;=36.3,E73&lt;=68),1,IF(E73&gt;100,0,IF(E73&lt;36.3,(('Reference Standards'!H$51*(E73^2))+('Reference Standards'!H$52*E73)+'Reference Standards'!H$53),IF(E73&gt;68,(('Reference Standards'!I$51*(E73^2))+('Reference Standards'!I$52*E73)+'Reference Standards'!I$53))))),2))</f>
        <v>1</v>
      </c>
      <c r="G73" s="308"/>
      <c r="H73" s="351"/>
      <c r="I73" s="352"/>
      <c r="J73" s="315"/>
    </row>
    <row r="74" spans="1:10" ht="15.6" x14ac:dyDescent="0.3">
      <c r="A74" s="316"/>
      <c r="B74" s="317"/>
      <c r="C74" s="13" t="s">
        <v>323</v>
      </c>
      <c r="D74" s="20"/>
      <c r="E74" s="40"/>
      <c r="F74" s="92">
        <f>IF(E74="",IF(G48="Yes",1,0.8),ROUND(IF(AND(E74&gt;=36.3,E74&lt;=68),1,IF(E74&gt;100,0,IF(E74&lt;36.3,(('Reference Standards'!H$51*(E74^2))+('Reference Standards'!H$52*E74)+'Reference Standards'!H$53),IF(E74&gt;68,(('Reference Standards'!I$51*(E74^2))+('Reference Standards'!I$52*E74)+'Reference Standards'!I$53))))),2))</f>
        <v>1</v>
      </c>
      <c r="G74" s="309"/>
      <c r="H74" s="351"/>
      <c r="I74" s="352"/>
      <c r="J74" s="315"/>
    </row>
    <row r="75" spans="1:10" ht="15.6" x14ac:dyDescent="0.3">
      <c r="A75" s="316"/>
      <c r="B75" s="12" t="s">
        <v>87</v>
      </c>
      <c r="C75" s="26" t="s">
        <v>102</v>
      </c>
      <c r="D75" s="13"/>
      <c r="E75" s="7"/>
      <c r="F75" s="27" t="str">
        <f>IF(D51="Ephemeral","",IF(E75="","",IF(OR(D49="Cobble",D49="Gravel"),IF(E75&gt;0.1,1,IF(E75&lt;=0.01,0,ROUND(E75*'Reference Standards'!$H$56+'Reference Standards'!$H$57,2))))))</f>
        <v/>
      </c>
      <c r="G75" s="27" t="str">
        <f>IFERROR(ROUND(AVERAGE(F75),2),"")</f>
        <v/>
      </c>
      <c r="H75" s="351"/>
      <c r="I75" s="352"/>
      <c r="J75" s="315"/>
    </row>
    <row r="76" spans="1:10" ht="15.6" x14ac:dyDescent="0.3">
      <c r="A76" s="316"/>
      <c r="B76" s="321" t="s">
        <v>49</v>
      </c>
      <c r="C76" s="19" t="s">
        <v>50</v>
      </c>
      <c r="D76" s="19"/>
      <c r="E76" s="43"/>
      <c r="F76" s="102">
        <f>IF(D51="Ephemeral","",IF(AND(D49="Bedrock",E76=""),"",IF(E76="",IF(G48="Yes",1,0.8), IF(ISNUMBER($D50), IF($D50&lt;=2,IF(AND(E76&gt;=3,E76&lt;=5),1,IF(OR(E76&lt;=1,E76&gt;=7),0,ROUND(IF(E76&lt;3,E76*'Reference Standards'!H$61+'Reference Standards'!H$62,E76*'Reference Standards'!I$61+'Reference Standards'!I$62),2))),IF(E76&lt;=2.5,1,IF(E76&gt;=5.8,0,ROUND(E76*'Reference Standards'!H$65+'Reference Standards'!H$66,2))))))))</f>
        <v>1</v>
      </c>
      <c r="G76" s="307">
        <f>IFERROR(ROUND(AVERAGE(F76:F79),2),"")</f>
        <v>1</v>
      </c>
      <c r="H76" s="351"/>
      <c r="I76" s="352"/>
      <c r="J76" s="315"/>
    </row>
    <row r="77" spans="1:10" ht="15.6" x14ac:dyDescent="0.3">
      <c r="A77" s="316"/>
      <c r="B77" s="316"/>
      <c r="C77" s="13" t="s">
        <v>51</v>
      </c>
      <c r="D77" s="13"/>
      <c r="E77" s="42"/>
      <c r="F77" s="28">
        <f>IF(D51="Ephemeral","",IF(AND(D49="Bedrock",E77=""),"",IF(E77="",IF(G48="Yes",1,0.8),IF(E77&gt;=2.4,1,IF(E77&lt;=1,0,ROUND(IF(E77&lt;2.4,E77*'Reference Standards'!$H$70+'Reference Standards'!$H$71),2))))))</f>
        <v>1</v>
      </c>
      <c r="G77" s="308"/>
      <c r="H77" s="351"/>
      <c r="I77" s="352"/>
      <c r="J77" s="315"/>
    </row>
    <row r="78" spans="1:10" ht="15.6" x14ac:dyDescent="0.3">
      <c r="A78" s="316"/>
      <c r="B78" s="316"/>
      <c r="C78" s="13" t="s">
        <v>281</v>
      </c>
      <c r="D78" s="13"/>
      <c r="E78" s="42"/>
      <c r="F78" s="133">
        <f>IF(D51="Ephemeral","",IF(AND(D49="Bedrock",E76=""),"",IF(E78="",IF(G48="Yes",1,0.8),IF(LEFT($B51,2)="67",IF(AND(E78&gt;=45,E78&lt;=65),1,IF(OR(E78&lt;=20,E78&gt;=90),0,ROUND(IF(E78&lt;45,E78*'Reference Standards'!H$75+'Reference Standards'!H$76,E78*'Reference Standards'!I$75+'Reference Standards'!I$76),2))),IF(OR(LEFT($B51,2)="68",LEFT($B51,2)="69",LEFT($B51,2)="71"),IF(AND(E78&gt;=30,E78&lt;=50),1,IF(OR(E78&lt;=10,E78&gt;=70),0,ROUND(IF(E78&lt;30,E78*'Reference Standards'!H$80+'Reference Standards'!H$81,E78*'Reference Standards'!I$80+'Reference Standards'!I$81),2))),IF(LEFT($B51,2)="66",IF(AND(E78&gt;=20,E78&lt;=45),1,IF(OR(E78&lt;=0,E78&gt;=90),0,ROUND(IF(E78&lt;20,E78*'Reference Standards'!H$85+'Reference Standards'!H$86,E78*'Reference Standards'!I$85+'Reference Standards'!I$86),2))),IF(OR(LEFT($B51,2)="65",LEFT($B51,2)="74",LEFT($B51,2)="73"),IF(AND(E78&gt;=20,E78&lt;=30),1,IF(OR(E78&lt;=0,E78&gt;=50),0,ROUND(IF(E78&lt;20,E78*'Reference Standards'!H$90+'Reference Standards'!H$91,E78*'Reference Standards'!I$90+'Reference Standards'!I$91),2))))))))))</f>
        <v>1</v>
      </c>
      <c r="G78" s="308"/>
      <c r="H78" s="351"/>
      <c r="I78" s="352"/>
      <c r="J78" s="315"/>
    </row>
    <row r="79" spans="1:10" ht="15.6" x14ac:dyDescent="0.3">
      <c r="A79" s="316"/>
      <c r="B79" s="317"/>
      <c r="C79" s="17" t="s">
        <v>173</v>
      </c>
      <c r="D79" s="13"/>
      <c r="E79" s="44"/>
      <c r="F79" s="134" t="str">
        <f>IF(D51="Ephemeral","",IF(E79="","",IF(E79&gt;=1.6,0,IF(E79&lt;=1,1,ROUND('Reference Standards'!$H$94*E79^3+'Reference Standards'!$H$95*E79^2+'Reference Standards'!$H$96*E79+'Reference Standards'!$H$97,2)))))</f>
        <v/>
      </c>
      <c r="G79" s="309"/>
      <c r="H79" s="351"/>
      <c r="I79" s="352"/>
      <c r="J79" s="315"/>
    </row>
    <row r="80" spans="1:10" ht="15.6" x14ac:dyDescent="0.3">
      <c r="A80" s="317"/>
      <c r="B80" s="50" t="s">
        <v>53</v>
      </c>
      <c r="C80" s="69" t="s">
        <v>52</v>
      </c>
      <c r="D80" s="70"/>
      <c r="E80" s="68"/>
      <c r="F80" s="101">
        <f>IF(D51="Ephemeral","",IF(E80="",IF(G48="Yes",1,0.8),IF(AND(B50="E",$D49="Sand",G51="Unconfined Alluvial"),ROUND(IF(OR(E80&gt;1.8,E80&lt;1.3),0,IF(E80&lt;=1.6,1,E80*'Reference Standards'!H$100+'Reference Standards'!H$101)),2),    IF(G51="Unconfined Alluvial",ROUND(IF(OR(E80&lt;1.2, E80&gt;1.5),0,IF(E80&lt;=1.4,1,E80*'Reference Standards'!$H$104+'Reference Standards'!$H$105)),2), IF(G51="Confined Alluvial",ROUND(IF(E80&lt;1.15,0,IF(E80&lt;=1.4,E80*'Reference Standards'!$H$108+'Reference Standards'!$H$109,1)),2),  IF(G51="Colluvial",ROUND(IF(E80&gt;1.3,0,IF(E80&gt;1.2,E80*'Reference Standards'!$H$112+'Reference Standards'!$H$113,1)),2) ))))))</f>
        <v>1</v>
      </c>
      <c r="G80" s="28">
        <f>IFERROR(ROUND(AVERAGE(F80),2),"")</f>
        <v>1</v>
      </c>
      <c r="H80" s="351"/>
      <c r="I80" s="352"/>
      <c r="J80" s="315"/>
    </row>
    <row r="81" spans="1:10" ht="15.6" x14ac:dyDescent="0.3">
      <c r="A81" s="325" t="s">
        <v>55</v>
      </c>
      <c r="B81" s="22" t="s">
        <v>73</v>
      </c>
      <c r="C81" s="24" t="s">
        <v>285</v>
      </c>
      <c r="D81" s="24"/>
      <c r="E81" s="7"/>
      <c r="F81" s="103">
        <f>IF(D51="Ephemeral","",IF(E81="",IF(G48="Yes",1,0.8),ROUND(IF(E81&gt;=942,0,IF(E81&lt;=487,E81*'Reference Standards'!M$4+'Reference Standards'!M$5,E81*'Reference Standards'!$N$4+'Reference Standards'!$N$5)),2)))</f>
        <v>1</v>
      </c>
      <c r="G81" s="29">
        <f>IFERROR(ROUND(AVERAGE(F81),2),"")</f>
        <v>1</v>
      </c>
      <c r="H81" s="328">
        <f>IFERROR(ROUND(AVERAGE(G81:G84),2),"")</f>
        <v>1</v>
      </c>
      <c r="I81" s="357" t="str">
        <f>IF(H81="","",IF(H81&gt;0.69,"Functioning",IF(H81&gt;0.29,"Functioning At Risk",IF(H81&gt;-1,"Not Functioning"))))</f>
        <v>Functioning</v>
      </c>
      <c r="J81" s="315"/>
    </row>
    <row r="82" spans="1:10" ht="15.6" x14ac:dyDescent="0.3">
      <c r="A82" s="326"/>
      <c r="B82" s="79" t="s">
        <v>289</v>
      </c>
      <c r="C82" s="21" t="s">
        <v>288</v>
      </c>
      <c r="D82" s="21"/>
      <c r="E82" s="41"/>
      <c r="F82" s="104" t="str">
        <f>IF(D51="Ephemeral","",IF(E82="","",IF(OR($B51="65abei",$B51="65j",$B51="66d",$B51="66e",$B51="66ik",$B51="66f",$B51="66g",$B51="66j",$B51="68a",$B51="69de",$B51="74b",AND(OR($B51="67fhi",$B51="67g"),$D48&lt;=2),AND(OR($B51="68c",$B51="68d"),$G49="January - June")),IF(E82&gt;93,0,IF(E82&lt;13,1,ROUND('Reference Standards'!$M$9*E82^2+'Reference Standards'!$M$10*E82+'Reference Standards'!$M$11,2))),IF(OR(AND(OR($B51="67fhi",$B51="67g",$B51="71f",$B51="71g",$B51="71h"),$D48&gt;2),AND(OR($B51="68c",$B51="68d"),$G49="July - December"),$B51="73a",$B51="73b"),IF(E82&gt;94,0,IF(E82&lt;17,1,ROUND('Reference Standards'!$N$9*E82^2+'Reference Standards'!$N$10*E82+'Reference Standards'!$N$11,2))),IF(OR(AND(OR($B51="68b",$B51="71i"),$D48&gt;2),$B51="71e"),IF(E82&gt;91,0,IF(E82&lt;24,1,ROUND('Reference Standards'!$O$9*E82^2+'Reference Standards'!$O$10*E82+'Reference Standards'!$O$11,2))),IF(OR(AND(OR($B51="71f",$B51="71g",$B51="71h",$B51="71i"),$D48&lt;=2),AND($B51="74a",$D48&gt;2)),IF(E82&gt;95,0,IF(E82&lt;=36,1,ROUND('Reference Standards'!$P$9*E82^2+'Reference Standards'!$P$10*E82+'Reference Standards'!$P$11,2)))))))))</f>
        <v/>
      </c>
      <c r="G82" s="48" t="str">
        <f>IFERROR(ROUND(AVERAGE(F82),2),"")</f>
        <v/>
      </c>
      <c r="H82" s="329"/>
      <c r="I82" s="358"/>
      <c r="J82" s="315"/>
    </row>
    <row r="83" spans="1:10" ht="15.6" x14ac:dyDescent="0.3">
      <c r="A83" s="326"/>
      <c r="B83" s="22" t="s">
        <v>67</v>
      </c>
      <c r="C83" s="23" t="s">
        <v>240</v>
      </c>
      <c r="D83" s="23"/>
      <c r="E83" s="40"/>
      <c r="F83" s="104">
        <f>IF(ISNUMBER(E82),"",IF(D51="Ephemeral","",IF(E83="",IF(G48="Yes",1,0.8), IF(ISNUMBER($D48), IF(OR($B51="66e",$B51="66f",$B51="66g"),ROUND(IF(E83&gt;=0.61,0,IF(E83&lt;=0.01,1,IF(E83&lt;=0.06,E83*'Reference Standards'!$O$34+'Reference Standards'!$O$35,E83^2*'Reference Standards'!$M$33+E83*'Reference Standards'!$M$34+'Reference Standards'!$M$35))),2),IF($B51="68b",ROUND(IF(E83&gt;=1.1,0,IF(E83&lt;=0.17,1,IF(E83&lt;=0.22,E83*'Reference Standards'!$P$34+'Reference Standards'!$P$35,E83^2*'Reference Standards'!$N$33+E83*'Reference Standards'!$N$34+'Reference Standards'!$N$35))),2),IF($D48&lt;=2.5,IF($B51="69de",ROUND(IF(E83&gt;=0.22,0,IF(E83&lt;=0.01,1,E83^2*'Reference Standards'!$M$15+E83*'Reference Standards'!$M$16+'Reference Standards'!$M$17)),2),IF($B51="68c",ROUND(IF(E83&gt;=0.87,0,IF(E83&lt;=0.01,1,E83^2*'Reference Standards'!$N$15+E83*'Reference Standards'!$N$16+'Reference Standards'!$N$17)),2),IF($B51="68a",ROUND(IF(E83&gt;=0.81,0,IF(E83&lt;=0.01,1,E83^2*'Reference Standards'!$O$15+E83*'Reference Standards'!$O$16+'Reference Standards'!$O$17)),2),IF($B51="65abei",ROUND(IF(E83&gt;=0.67,0,IF(E83&lt;=0.01,1,IF(E83&lt;=0.18,E83*'Reference Standards'!$R$16+'Reference Standards'!$R$17,E83*'Reference Standards'!$P$16+'Reference Standards'!$P$17))),2),IF($B51="65j",ROUND(IF(E83&gt;=0.32,0,IF(E83&lt;=0.01,1,IF(E83&lt;=0.25,E83*'Reference Standards'!$S$16+'Reference Standards'!$S$17,E83*'Reference Standards'!$Q$16+'Reference Standards'!$Q$17))),2),IF($B51="71f",ROUND(IF(E83&gt;=3,0,IF(E83&lt;=0,1,IF(E83&lt;=0.01,0.7,E83^2*'Reference Standards'!$M$21+E83*'Reference Standards'!$M$22+'Reference Standards'!$M$23))),2),IF($B51="74a",ROUND(IF(E83&gt;=0.14,0,IF(E83&lt;=0.01,1,IF(E83&lt;=0.02,0.7,E83^2*'Reference Standards'!$N$21+E83*'Reference Standards'!$N$22+'Reference Standards'!$N$23))),2),IF(OR($B51="67fhi",$B51="67g"),ROUND(IF(E83&gt;=1.9,0,IF(E83&lt;=0.01,1,IF(E83&lt;=0.05,E83*'Reference Standards'!$Q$22+'Reference Standards'!$Q$23,E83^2*'Reference Standards'!$O$21+E83*'Reference Standards'!$O$22+'Reference Standards'!$O$23))),2),IF($B51="73a",ROUND(IF(E83&gt;=1.44,0,IF(E83&lt;=0.01,1,IF(E83&lt;=0.12,E83*'Reference Standards'!$R$22+'Reference Standards'!$R$23,E83^2*'Reference Standards'!$P$21+E83*'Reference Standards'!$P$22+'Reference Standards'!$P$23))),2),IF($B51="66d",ROUND(IF(E83&gt;=0.46,0,IF(E83&lt;=0.02,1,IF(E83&lt;=0.08,E83*'Reference Standards'!$Q$28+'Reference Standards'!$Q$29,E83^2*'Reference Standards'!$M$27+E83*'Reference Standards'!$M$28+'Reference Standards'!$M$29))),2),IF(OR($B51="71g",$B51="71h",$B51="71i"),ROUND(IF(E83&gt;=3,0,IF(E83&lt;=0.06,1,IF(E83&lt;=0.24,E83*'Reference Standards'!$R$28+'Reference Standards'!$R$29,E83^2*'Reference Standards'!$N$27+E83*'Reference Standards'!$N$28+'Reference Standards'!$N$29))),2),IF($B51="74b",ROUND(IF(E83&gt;=1.3,0,IF(E83&lt;=0.29,1,IF(E83&lt;=0.48,E83*'Reference Standards'!$S$28+'Reference Standards'!$S$29,E83^2*'Reference Standards'!$O$27+E83*'Reference Standards'!$O$28+'Reference Standards'!$O$29))),2),IF($B51="71e",ROUND(IF(E83&gt;=4.3,0,IF(E83&lt;=0.53,1,IF(E83&lt;=0.67,E83*'Reference Standards'!$T$28+'Reference Standards'!$T$29,E83^2*'Reference Standards'!$P$27+E83*'Reference Standards'!$P$28+'Reference Standards'!$P$29))),2)))))))))))))),IF($D48&gt;2.5,IF($B51="73a",ROUND(IF(E83&gt;=0.55,0,IF(E83&lt;=0,1,E83^2*'Reference Standards'!$M$39+E83*'Reference Standards'!$M$40+'Reference Standards'!$M$41)),2),IF($B51="68a",ROUND(IF(E83&gt;=0.54,0,IF(E83&lt;=0,1,IF(E83&lt;=0.01,0.85,E83^2*'Reference Standards'!$N$39+E83*'Reference Standards'!$N$40+'Reference Standards'!$N$41))),2),IF($B51="74a",ROUND(IF(E83&gt;=0.47,0,IF(E83&lt;=0.01,1,IF(E83&lt;=0.02,0.7,E83^2*'Reference Standards'!$O$39+E83*'Reference Standards'!$O$40+'Reference Standards'!$O$41))),2),IF($B51="69de",ROUND(IF(E83&gt;=0.26,0,IF(E83&lt;=0.01,1,IF(E83&lt;=0.02,0.85,E83^2*'Reference Standards'!$P$39+E83*'Reference Standards'!$P$40+'Reference Standards'!$P$41))),2),IF($B51="71f",ROUND(IF(E83&gt;=0.87,0,IF(E83&lt;=0.01,1,IF(E83&lt;=0.04,E83*'Reference Standards'!$Q$46+'Reference Standards'!$Q$47,E83^2*'Reference Standards'!$M$45+E83*'Reference Standards'!$M$46+'Reference Standards'!$M$47))),2),IF($B51="65abei",ROUND(IF(E83&gt;=0.82,0,IF(E83&lt;=0.01,1,IF(E83&lt;=0.06,E83*'Reference Standards'!$R$46+'Reference Standards'!$R$47,E83^2*'Reference Standards'!$N$45+E83*'Reference Standards'!$N$46+'Reference Standards'!$N$47))),2),IF($B51="65j",ROUND(IF(E83&gt;=0.33,0,IF(E83&lt;=0.03,1,IF(E83&lt;=0.09,E83*'Reference Standards'!$S$46+'Reference Standards'!$S$47,E83^2*'Reference Standards'!$O$45+E83*'Reference Standards'!$O$46+'Reference Standards'!$O$47))),2),IF($B51="68c",ROUND(IF(E83&gt;=0.7,0,IF(E83&lt;=0.07,1,IF(E83&lt;=0.12,E83*'Reference Standards'!$T$46+'Reference Standards'!$T$47,E83^2*'Reference Standards'!$P$45+E83*'Reference Standards'!$P$46+'Reference Standards'!$P$47))),2),IF(OR($B51="67fhi",$B51="67g"),ROUND(IF(E83&gt;=1.8,0,IF(E83&lt;=0.08,1,IF(E83&lt;=0.2,E83*'Reference Standards'!$Q$52+'Reference Standards'!$Q$53,E83^2*'Reference Standards'!$M$51+E83*'Reference Standards'!$M$52+'Reference Standards'!$M$53))),2),IF($B51="74b",ROUND(IF(E83&gt;=0.96,0,IF(E83&lt;=0.12,1,IF(E83&lt;=0.16,E83*'Reference Standards'!$R$52+'Reference Standards'!$R$53,E83^2*'Reference Standards'!$N$51+E83*'Reference Standards'!$N$52+'Reference Standards'!$N$53))),2),IF($B51="66d",ROUND(IF(E83&gt;=0.75,0,IF(E83&lt;=0.13,1,IF(E83&lt;=0.2,E83*'Reference Standards'!$S$52+'Reference Standards'!$S$53,E83^2*'Reference Standards'!$O$51+E83*'Reference Standards'!$O$52+'Reference Standards'!$O$53))),2),IF(OR($B51="71g",$B51="71h",$B51="71i"),ROUND(IF(E83&gt;=1.68,0,IF(E83&lt;=0.08,1,IF(E83&lt;=0.23,E83*'Reference Standards'!$T$52+'Reference Standards'!$T$53,E83^2*'Reference Standards'!$P$51+E83*'Reference Standards'!$P$52+'Reference Standards'!$P$53))),2),IF($B51="71e",ROUND(IF(E83&gt;=5.3,0,IF(E83&lt;=0.94,1,IF(E83&lt;=1.4,E83*'Reference Standards'!$Q$56+'Reference Standards'!$Q$57,E83^2*'Reference Standards'!$M$55+E83*'Reference Standards'!$M$56+'Reference Standards'!$M$57))),2))))))))))))))))))))))</f>
        <v>1</v>
      </c>
      <c r="G83" s="48">
        <f t="shared" ref="G83:G84" si="1">IFERROR(ROUND(AVERAGE(F83),2),"")</f>
        <v>1</v>
      </c>
      <c r="H83" s="329"/>
      <c r="I83" s="358"/>
      <c r="J83" s="315"/>
    </row>
    <row r="84" spans="1:10" ht="15.6" x14ac:dyDescent="0.3">
      <c r="A84" s="327"/>
      <c r="B84" s="78" t="s">
        <v>68</v>
      </c>
      <c r="C84" s="21" t="s">
        <v>239</v>
      </c>
      <c r="D84" s="21"/>
      <c r="E84" s="36"/>
      <c r="F84" s="103">
        <f>IF(ISNUMBER(E82),"", IF(D51="Ephemeral","",IF(E84="",IF(G48="Yes",1,0.8), IF(ISNUMBER($D48), IF($D48&gt;2.5,IF(OR($B51="71h",$B51="71i",$B51="73a",$B51="74a"),IF(E84&lt;=0.01,1,IF(OR($B51="71h",$B51="71i"),IF(E84&gt;0.37,0,ROUND(IF(E84&gt;0.03,'Reference Standards'!$M$73*E84^2+'Reference Standards'!$M$74*E84+'Reference Standards'!$M$75,'Reference Standards'!$Q$74*E84+'Reference Standards'!$Q$75),2)),IF($B51="73a",IF(E84&gt;0.405,0,ROUND(IF(E84&gt;0.046,'Reference Standards'!$N$73*E84^2+'Reference Standards'!$N$74*E84+'Reference Standards'!$N$75,'Reference Standards'!$R$74*E84+'Reference Standards'!$R$75),2)),IF($B51="74a",IF(E84&gt;0.3,0,ROUND(IF(E84&gt;0.052,'Reference Standards'!$O$73*E84^2+'Reference Standards'!$O$74*E84+'Reference Standards'!$O$75,'Reference Standards'!$S$74*E84+'Reference Standards'!$S$75),2)))))),IF(E84&lt;=0.002,1,IF(OR($B51="66d",$B51="66e",$B51="66g"),IF(E84&gt;0.053,0,ROUND(E84^2*'Reference Standards'!$M$61+E84*'Reference Standards'!$M$62+'Reference Standards'!$M$63,2)),IF($B51="68b",IF(E84&gt;0.05,0,ROUND(E84^2*'Reference Standards'!$N$61+E84*'Reference Standards'!$N$62+'Reference Standards'!$N$63,2)),IF(OR($B51="68a",$B51="68c"),IF(E84&gt;0.07,0,ROUND(E84^2*'Reference Standards'!$O$61+E84*'Reference Standards'!$O$62+'Reference Standards'!$O$63,2)),IF(OR($B51="71f",$B51="71g"),IF(E84&gt;0.13,0,ROUND(IF(E84&gt;0.042,E84*'Reference Standards'!$P$62+'Reference Standards'!$P$63,E84*'Reference Standards'!$Q$62+'Reference Standards'!$Q$63),2)),IF($B51="67fhi",IF(E84&gt;0.16,0,ROUND(E84^2*'Reference Standards'!$R$61+E84*'Reference Standards'!$R$62+'Reference Standards'!$R$63,2)),IF($B51="65j",IF(E84&gt;0.035,0,ROUND(IF(E84&lt;=0.003,0.7,E84^2*'Reference Standards'!$M$67+E84*'Reference Standards'!$M$68+'Reference Standards'!$M$69),2)),IF($B51="69de",IF(E84&gt;0.037,0,ROUND(IF(E84&lt;=0.003,0.7,E84^2*'Reference Standards'!$N$67+E84*'Reference Standards'!$N$68+'Reference Standards'!$N$69),2)),IF($B51="71e",IF(E84&gt;0.23,0,ROUND(IF(E84&lt;=0.003,0.7,E84^2*'Reference Standards'!$O$67+E84*'Reference Standards'!$O$68+'Reference Standards'!$O$69),2)),IF($B51="66f",IF(E84&gt;0.06,0,ROUND(IF(E84&lt;=0.003,0.85,IF(E84&lt;=0.004,0.7,E84^2*'Reference Standards'!$P$67+E84*'Reference Standards'!$P$68+'Reference Standards'!$P$69)),2)),IF($B51="67g",IF(E84&gt;0.11,0,ROUND(IF(E84&lt;=0.01,E84*'Reference Standards'!$S$68+'Reference Standards'!$S$69,E84^2*'Reference Standards'!$Q$67+E84*'Reference Standards'!$Q$68+'Reference Standards'!$Q$69),2)),IF($B51="74b",IF(E84&gt;0.49,0,ROUND(IF(E84&lt;=0.01,E84*'Reference Standards'!$S$68+'Reference Standards'!$S$69,E84^2*'Reference Standards'!$R$67+E84*'Reference Standards'!$R$68+'Reference Standards'!$R$69),2)),IF($B51="65abei",IF(E84&gt;0.199,0,ROUND(IF(E84&lt;=0.01,E84*'Reference Standards'!$T$74+'Reference Standards'!$T$75,E84^2*'Reference Standards'!$P$73+E84*'Reference Standards'!$P$74+'Reference Standards'!$P$75),2)))))))))))))))),IF($D48&lt;=2.5,IF(OR($B51="66d",$B51="66e",$B51="66g"),IF(E84&gt;0.05,0,ROUND(IF(E84&lt;=0.002,1,IF(E84&lt;=0.005,E84*'Reference Standards'!$Q$80+'Reference Standards'!$Q$81,E84^2*'Reference Standards'!$M$79+E84*'Reference Standards'!$M$80+'Reference Standards'!$M$81)),2)),IF($B51="67fhi",IF(E84&gt;0.1,0,ROUND(IF(E84&lt;=0.002,1,IF(E84&lt;=0.006,E84*'Reference Standards'!$R$80+'Reference Standards'!$R$81,E84^2*'Reference Standards'!$N$79+E84*'Reference Standards'!$N$80+'Reference Standards'!$N$81)),2)),IF($B51="65abei",IF(E84&gt;0.13,0,ROUND(IF(E84&lt;=0.003,1,IF(E84&lt;=0.008,E84*'Reference Standards'!$S$80+'Reference Standards'!$S$81,E84^2*'Reference Standards'!$O$79+E84*'Reference Standards'!$O$80+'Reference Standards'!$O$81)),2)),IF($B51="68b",IF(E84&gt;0.043,0,ROUND(IF(E84&lt;=0.004,1,IF(E84&lt;=0.005,0.7,E84^2*'Reference Standards'!$P$79+E84*'Reference Standards'!$P$80+'Reference Standards'!$P$81)),2)),IF($B51="69de",IF(E84&gt;=0.034,0,ROUND(IF(E84&lt;=0.003,1,IF(E84&lt;=0.006,E84*'Reference Standards'!$R$85+'Reference Standards'!$R$86,E84*'Reference Standards'!$M$85+'Reference Standards'!$M$86)),2)),IF(OR($B51="68a",$B51="68c"),IF(E84&gt;0.202,0,ROUND(IF(E84&lt;=0.003,1,IF(E84&lt;=0.006,E84*'Reference Standards'!$R$85+'Reference Standards'!$R$86,IF(E84&gt;=0.04,E84*'Reference Standards'!$N$85+'Reference Standards'!$N$86,E84*'Reference Standards'!$P$85+'Reference Standards'!$P$86))),2)),IF(OR($B51="71f",$B51="71g"),IF(E84&gt;0.631,0,ROUND(IF(E84&lt;=0.003,1,IF(E84&lt;=0.006,E84*'Reference Standards'!$R$85+'Reference Standards'!$R$86,IF(E84&gt;=0.17,E84*'Reference Standards'!$O$85+'Reference Standards'!$O$86,E84*'Reference Standards'!$Q$85+'Reference Standards'!$Q$86))),2)),IF($B51="71e",IF(E84&gt;1.23,0,ROUND(IF(E84&lt;=0.004,1,IF(E84&lt;=0.006,E84*'Reference Standards'!$Q$91+'Reference Standards'!$Q$92,E84^2*'Reference Standards'!$M$90+E84*'Reference Standards'!$M$91+'Reference Standards'!$M$92)),2)),IF($B51="67g",IF(E84&gt;0.11,0,ROUND(IF(E84&lt;=0.006,1,IF(E84&lt;=0.011,E84*'Reference Standards'!$R$91+'Reference Standards'!$R$92,E84^2*'Reference Standards'!$N$90+E84*'Reference Standards'!$N$91+'Reference Standards'!$N$92)),2)),IF($B51="65j",IF(E84&gt;0.046,0,ROUND(IF(E84&lt;=0.007,1,IF(E84&lt;=0.012,E84*'Reference Standards'!$S$91+'Reference Standards'!$S$92,E84^2*'Reference Standards'!$O$90+E84*'Reference Standards'!$O$91+'Reference Standards'!$O$92)),2)),IF($B51="66f",IF(E84&gt;0.081,0,ROUND(IF(E84&lt;=0.008,1,IF(E84&lt;=0.011,E84*'Reference Standards'!$T$91+'Reference Standards'!$T$92,E84^2*'Reference Standards'!$P$90+E84*'Reference Standards'!$P$91+'Reference Standards'!$P$92)),2)),IF(OR($B51="71h",$B51="71i"),IF(E84&gt;0.37,0,ROUND(IF(E84&lt;=0.013,1,IF(E84&lt;=0.032,E84*'Reference Standards'!$S$98+'Reference Standards'!$S$99,IF(E84&lt;=0.3,E84*'Reference Standards'!$Q$98+'Reference Standards'!$Q$99,E84*'Reference Standards'!$M$98+'Reference Standards'!$M$99))),2)),IF($B51="73a",IF(E84&gt;0.448,0,ROUND(IF(E84&lt;=0.071,1,IF(E84&lt;=0.086,E84*'Reference Standards'!$U$98+'Reference Standards'!$U$99,IF(E84&lt;=0.165,E84*'Reference Standards'!$R$98+'Reference Standards'!$R$99,E84*'Reference Standards'!$P$98+'Reference Standards'!$P$99))),2)),IF($B51="74b",IF(E84&gt;0.43,0,ROUND(IF(E84&lt;=0.018,1,IF(E84&lt;=0.019,0.85,IF(E84&lt;=0.02,0.7,E84^2*'Reference Standards'!$N$97+E84*'Reference Standards'!$N$98+'Reference Standards'!$N$99))),2)),IF($B51="74a",IF(E84&gt;0.217,0,ROUND(IF(E84&lt;=0.02,1,IF(E84&lt;=0.033,E84*'Reference Standards'!$T$98+'Reference Standards'!$T$99,E84^2*'Reference Standards'!$O$97+E84*'Reference Standards'!$O$98+'Reference Standards'!$O$99)),2)))))))))))))))))))))))</f>
        <v>1</v>
      </c>
      <c r="G84" s="48">
        <f t="shared" si="1"/>
        <v>1</v>
      </c>
      <c r="H84" s="330"/>
      <c r="I84" s="359"/>
      <c r="J84" s="315"/>
    </row>
    <row r="85" spans="1:10" ht="15.6" x14ac:dyDescent="0.3">
      <c r="A85" s="333" t="s">
        <v>56</v>
      </c>
      <c r="B85" s="341" t="s">
        <v>287</v>
      </c>
      <c r="C85" s="33" t="s">
        <v>278</v>
      </c>
      <c r="D85" s="34"/>
      <c r="E85" s="43"/>
      <c r="F85" s="105">
        <f>IF(OR(D51="Ephemeral",AND(E86&lt;&gt;"",E87&lt;&gt;"",E88&lt;&gt;"")),"",IF(E85="",IF(G48="Yes",1,0.8),IF(OR(B51="73a",B51="73b"),IF(E85&lt;1,0,IF(E85&gt;=30,1,ROUND(IF(E85&lt;22,'Reference Standards'!$W$4*E85+'Reference Standards'!$W$5,'Reference Standards'!$X$4*E85+'Reference Standards'!$X$5),2))), IF(E85&lt;1,0, IF(E85&gt;=42,1, ROUND(IF(E85&lt;32,'Reference Standards'!$Y$4*E85+'Reference Standards'!$Y$5,'Reference Standards'!$Z$4*E85+'Reference Standards'!$Z$5),2))))))</f>
        <v>1</v>
      </c>
      <c r="G85" s="356">
        <f>IFERROR(ROUND(AVERAGE(F85:F88),2),"")</f>
        <v>1</v>
      </c>
      <c r="H85" s="336">
        <f>IFERROR(ROUND(AVERAGE(G85:G90),2),"")</f>
        <v>1</v>
      </c>
      <c r="I85" s="314" t="str">
        <f>IF(H85="","",IF(H85&gt;0.69,"Functioning",IF(H85&gt;0.29,"Functioning At Risk",IF(H85&gt;-1,"Not Functioning"))))</f>
        <v>Functioning</v>
      </c>
      <c r="J85" s="315"/>
    </row>
    <row r="86" spans="1:10" ht="15.6" x14ac:dyDescent="0.3">
      <c r="A86" s="334"/>
      <c r="B86" s="342"/>
      <c r="C86" s="45" t="s">
        <v>282</v>
      </c>
      <c r="D86" s="46"/>
      <c r="E86" s="42"/>
      <c r="F86" s="106" t="str">
        <f>IF(D51="Ephemeral","",IF(E86="","",IF(AND($B51="74b",$D48&lt;=2),IF(E86&lt;0,0,IF(E86&gt;15.6,0.69,ROUND('Reference Standards'!$W$9*E86^2+'Reference Standards'!$W$10*E86+'Reference Standards'!$W$11,2))),IF(AND($B51="65abei",$D48&lt;=2),IF(E86&lt;0,0,IF(E86&gt;=20,0.69,ROUND('Reference Standards'!$X$9*E86^2+'Reference Standards'!$X$10*E86+'Reference Standards'!$X$11,2))),IF(OR(AND($B51="74a",$D$2&gt;2,$G49="January - June"),AND($B51="71i",$D48&gt;2,$G50="SQBANK")),IF(E86&lt;0,0,IF(E86&gt;24.7,0.69,ROUND('Reference Standards'!$Y$9*E86^2+'Reference Standards'!$Y$10*E86+'Reference Standards'!$Y$11,2))),IF(OR($B51="74b",$B51="65abei"),IF(E86&lt;0,0,IF(E86&gt;32.7,0.69,ROUND('Reference Standards'!$Z$9*E86^2+'Reference Standards'!$Z$10*E86+'Reference Standards'!$Z$11,2))),IF(AND($B51="68b",$D48&gt;2),IF(E86&lt;0,0,IF(E86&gt;41.2,0.69,ROUND('Reference Standards'!$AA$9*E86^2+'Reference Standards'!$AA$10*E86+'Reference Standards'!$AA$11,2))),IF(OR(AND($B51="71i",$D48&lt;=2),AND(OR($B51="68c",$B51="68d"),$G49="January - June")),IF(E86&lt;0,0,IF(E86&gt;49.2,0.69,ROUND('Reference Standards'!$W$15*E86^2+'Reference Standards'!$W$16*E86+'Reference Standards'!$W$17,2))),IF(OR(AND($B51="68a",$G49="January - June"),AND(OR($B51="68c",$B51="68d"),$G49="July - December")),IF(E86&lt;0,0,IF(E86&gt;53.4,0.69,ROUND('Reference Standards'!$X$15*E86^2+'Reference Standards'!$X$16*E86+'Reference Standards'!$X$17,2))),IF(OR(AND($B51="71i",$D48&gt;2,$G50="SQKICK"),AND(OR($B51="67fhi",$B51="67g"),$D48&lt;=2),$B51="65j"),IF(E86&lt;0,0,IF(E86&gt;57.8,0.69,ROUND('Reference Standards'!$Y$15*E86^2+'Reference Standards'!$Y$16*E86+'Reference Standards'!$Y$17,2))),IF(OR(AND($B51="74a",$D48&gt;2,$G49="July - December"),AND(OR($B51="67fhi",$B51="67g"),$D48&gt;2),$B51="69de"),IF(E86&lt;0,0,IF(E86&gt;62.5,0.69,ROUND('Reference Standards'!$Z$15*E86^2+'Reference Standards'!$Z$16*E86+'Reference Standards'!$Z$17,2))),  IF(OR($B51="66d",$B51="66e",$B51="66ik",$B51="71e",$B51="71f",$B51="71g",$B51="71h"),IF(E86&lt;0,0,IF(E86&gt;66.5,0.69,ROUND('Reference Standards'!$AA$15*E86^2+'Reference Standards'!$AA$16*E86+'Reference Standards'!$AA$17,2))),IF(OR($B51="66f",$B51="66g",$B51="66j",AND($B51="68a",$G49="July - December")), IF(E86&lt;0,0,IF(E86&gt;69,0.69,ROUND('Reference Standards'!$AB$15*E86^2+'Reference Standards'!$AB$16*E86+'Reference Standards'!$AB$17,2))))   ))))))))))))</f>
        <v/>
      </c>
      <c r="G86" s="356"/>
      <c r="H86" s="336"/>
      <c r="I86" s="314"/>
      <c r="J86" s="315"/>
    </row>
    <row r="87" spans="1:10" ht="15.6" x14ac:dyDescent="0.3">
      <c r="A87" s="334"/>
      <c r="B87" s="342"/>
      <c r="C87" s="45" t="s">
        <v>286</v>
      </c>
      <c r="D87" s="46"/>
      <c r="E87" s="42"/>
      <c r="F87" s="106" t="str">
        <f>IF(D51="Ephemeral","",IF(E87="","",IF(AND($B51="74b",$D48&lt;=2),IF(E87&lt;0,0,IF(E87&gt;8.1,0.69,ROUND('Reference Standards'!$W$21*E87^2+'Reference Standards'!$W$22*E87+'Reference Standards'!$W$23,2))),IF(OR($B51="73a",$B51="73b"),IF(E87&lt;0,0,IF(E87&gt;=28,0.69,ROUND('Reference Standards'!$X$21*E87^2+'Reference Standards'!$X$22*E87+'Reference Standards'!$X$23,2))),IF(AND($B51="74a",$D48&gt;2,$G49="January - June"),IF(E87&lt;0,0,IF(E87&gt;=32.5,0.69,ROUND('Reference Standards'!$Y$21*E87^2+'Reference Standards'!$Y$22*E87+'Reference Standards'!$Y$23,2))),IF(AND($B51="71i",$D48&gt;2,$G50="SQBANK"),IF(E87&lt;0,0,IF(E87&gt;=37,0.69,ROUND('Reference Standards'!$Z$21*E87^2+'Reference Standards'!$Z$22*E87+'Reference Standards'!$Z$23,2))),IF(OR(AND(OR($B51="65abei",$B51="74b"),$D48&gt;2),AND($B51="71i",$D48&gt;2,$G50="SQKICK")),IF(E87&lt;0,0,IF(E87&gt;42.6,0.69,ROUND('Reference Standards'!$AA$21*E87^2+'Reference Standards'!$AA$22*E87+'Reference Standards'!$AA$23,2))),     IF(OR(AND($B51="65abei",$D48&lt;=2),AND(OR($B51="68c",$B51="68d"),$G49="July - December"),$B51="71e"),IF(E87&lt;0,0,IF(E87&gt;=48,0.69,ROUND('Reference Standards'!$W$27*E87^2+'Reference Standards'!$W$28*E87+'Reference Standards'!$W$29,2))),IF(OR($B51="65j",$B51="67fhi",$B51="67g",AND($B51="74a",$G49="July - December",$D48&gt;2),AND($B51="71i",$D48&lt;=2)),IF(E87&lt;0,0,IF(E87&gt;=53,0.69,ROUND('Reference Standards'!$X$27*E87^2+'Reference Standards'!$X$28*E87+'Reference Standards'!$X$29,2))),IF(OR(AND(OR($B51="68b",$B51="71f",$B51="71g",$B51="71h"),$D48&gt;2),$B51="68a"),IF(E87&lt;0,0,IF(E87&gt;=57,0.69,ROUND('Reference Standards'!$Y$27*E87^2+'Reference Standards'!$Y$28*E87+'Reference Standards'!$Y$29,2))),IF(OR($B51="66f",$B51="66g",$B51="66j",AND(OR($B51="71f",$B51="71g",$B51="71h"),$D48&lt;=2)),IF(E87&lt;0,0,IF(E87&gt;=60,0.69,ROUND('Reference Standards'!$Z$27*E87^2+'Reference Standards'!$Z$28*E87+'Reference Standards'!$Z$29,2))),  IF(OR($B51="66d",$B51="66e",$B51="66ik", AND(OR($B51="68c",$B51="68d"),$G49="January - June"),AND($B51="69de",$G49="July - December")),IF(E87&lt;0,0,IF(E87&gt;=67.5,0.69,ROUND('Reference Standards'!$AA$27*E87^2+'Reference Standards'!$AA$28*E87+'Reference Standards'!$AA$29,2))),IF(AND($B51="69de",$G49="January - June"), IF(E87&lt;0,0,IF(E87&gt;=72,0.69,ROUND('Reference Standards'!$AB$27*E87^2+'Reference Standards'!$AB$28*E87+'Reference Standards'!$AB$29,2))))   ))))))))))))</f>
        <v/>
      </c>
      <c r="G87" s="356"/>
      <c r="H87" s="336"/>
      <c r="I87" s="314"/>
      <c r="J87" s="315"/>
    </row>
    <row r="88" spans="1:10" ht="15.6" x14ac:dyDescent="0.3">
      <c r="A88" s="334"/>
      <c r="B88" s="343"/>
      <c r="C88" s="35" t="s">
        <v>283</v>
      </c>
      <c r="D88" s="25"/>
      <c r="E88" s="44"/>
      <c r="F88" s="106" t="str">
        <f>IF(D51="Ephemeral","",IF(E88="","",IF(OR($B51="67fhi",$B51="67g",$B51="71e",$B51="73a",$B51="73b",AND(OR($B51="71f",$B51="71g",$B51="71h"),$D48&gt;2)),IF(E88&gt;100,0,IF(E88&lt;15,0.69,ROUND('Reference Standards'!$W$33*E88^2+'Reference Standards'!$W$34*E88+'Reference Standards'!$W$35,2))),  IF(OR($B51="66d",$B51="66e",$B51="66ik",$B51="66f",$B51="66g",$B51="66j",$B51="68a",$B51="68c",$B51="68d",AND($B51="69de",$G49="July - December"), AND($B51="71i",$D48&lt;=2), AND($B51="71i",$D48&gt;2,$G50="SQBANK" ), AND($B51="74a",$D48&gt;2,$G49="July - December") ),IF(E88&gt;100,0,IF(E88&lt;19,0.69,ROUND('Reference Standards'!$X$33*E88^2+'Reference Standards'!$X$34*E88+'Reference Standards'!$X$35,2))),    IF(OR(AND($B51="69de",$G49="January - June"),AND($B51="71i",$D48&gt;2,$G50="SQKICK" )),IF(E88&gt;100,0,IF(E88&lt;22,0.69,ROUND('Reference Standards'!$Y$33*E88^2+'Reference Standards'!$Y$34*E88+'Reference Standards'!$Y$35,2))),    IF(OR($B51="65j",AND($B51="68b",$D48&gt;2)),IF(E88&gt;100,0,IF(E88&lt;24,0.69,ROUND('Reference Standards'!$Z$33*E88^2+'Reference Standards'!$Z$34*E88+'Reference Standards'!$Z$35,2))),    IF(AND(OR($B51="65abei",$B51="71f",$B51="71g",$B51="71h"),$D48&lt;=2),IF(E88&gt;95,0,IF(E88&lt;33,0.69,ROUND('Reference Standards'!$W$39*E88^2+'Reference Standards'!$W$40*E88+'Reference Standards'!$W$41,2))),   IF(AND(OR($B51="65abei",$B51="74b"),$D48&gt;2),IF(E88&gt;97,0,IF(E88&lt;36,0.69,ROUND('Reference Standards'!$X$39*E88^2+'Reference Standards'!$X$40*E88+'Reference Standards'!$X$41,2))),  IF(AND($B51="74a",$G49="January - June",$D48&gt;2),IF(E88&gt;93,0,IF(E88&lt;52,0.69,ROUND('Reference Standards'!$Y$39*E88^2+'Reference Standards'!$Y$40*E88+'Reference Standards'!$Y$41,2))),   IF(AND($B51="74b",$D48&lt;=2),IF(E88&gt;97,0,IF(E88&lt;62,0.69,ROUND('Reference Standards'!$Z$39*E88^2+'Reference Standards'!$Z$40*E88+'Reference Standards'!$Z$41,2)))  ))))))))))</f>
        <v/>
      </c>
      <c r="G88" s="356"/>
      <c r="H88" s="336"/>
      <c r="I88" s="314"/>
      <c r="J88" s="315"/>
    </row>
    <row r="89" spans="1:10" ht="15.6" x14ac:dyDescent="0.3">
      <c r="A89" s="334"/>
      <c r="B89" s="337" t="s">
        <v>65</v>
      </c>
      <c r="C89" s="33" t="s">
        <v>174</v>
      </c>
      <c r="D89" s="34"/>
      <c r="E89" s="36"/>
      <c r="F89" s="105" t="str">
        <f>IF(D51="Ephemeral","",IF(E89="","",IF(E89=1,0.15,IF(E89=3,0.5,IF(E89=5,0.85,0)))))</f>
        <v/>
      </c>
      <c r="G89" s="338" t="str">
        <f>IFERROR(ROUND(AVERAGE(F89:F90),2),"")</f>
        <v/>
      </c>
      <c r="H89" s="336"/>
      <c r="I89" s="314"/>
      <c r="J89" s="315"/>
    </row>
    <row r="90" spans="1:10" ht="15.6" x14ac:dyDescent="0.3">
      <c r="A90" s="335"/>
      <c r="B90" s="337"/>
      <c r="C90" s="35" t="s">
        <v>279</v>
      </c>
      <c r="D90" s="25"/>
      <c r="E90" s="41"/>
      <c r="F90" s="107" t="str">
        <f>IF(D51="Ephemeral","",IF(E90="","",IF(E90=1,0.15,IF(E90=3,0.5,IF(E90=5,0.85,0)))))</f>
        <v/>
      </c>
      <c r="G90" s="339"/>
      <c r="H90" s="336"/>
      <c r="I90" s="314"/>
      <c r="J90" s="315"/>
    </row>
    <row r="91" spans="1:10" ht="6.6" customHeight="1" x14ac:dyDescent="0.3"/>
    <row r="92" spans="1:10" ht="6.6" customHeight="1" x14ac:dyDescent="0.3"/>
    <row r="93" spans="1:10" ht="21" customHeight="1" x14ac:dyDescent="0.3">
      <c r="A93" s="296" t="s">
        <v>295</v>
      </c>
      <c r="B93" s="297"/>
      <c r="C93" s="297"/>
      <c r="D93" s="297"/>
      <c r="E93" s="297"/>
      <c r="F93" s="297"/>
      <c r="G93" s="297"/>
      <c r="H93" s="297"/>
      <c r="I93" s="297"/>
      <c r="J93" s="298"/>
    </row>
    <row r="94" spans="1:10" ht="15.6" customHeight="1" x14ac:dyDescent="0.3">
      <c r="A94" s="6" t="s">
        <v>85</v>
      </c>
      <c r="B94" s="7"/>
      <c r="C94" s="6" t="s">
        <v>15</v>
      </c>
      <c r="D94" s="7"/>
      <c r="E94" s="165" t="s">
        <v>387</v>
      </c>
      <c r="F94" s="168"/>
      <c r="G94" s="166"/>
      <c r="H94" s="299" t="s">
        <v>367</v>
      </c>
      <c r="I94" s="300"/>
      <c r="J94" s="7"/>
    </row>
    <row r="95" spans="1:10" ht="15.6" customHeight="1" x14ac:dyDescent="0.3">
      <c r="A95" s="6" t="s">
        <v>86</v>
      </c>
      <c r="B95" s="39"/>
      <c r="C95" s="6" t="s">
        <v>371</v>
      </c>
      <c r="D95" s="39"/>
      <c r="E95" s="6" t="s">
        <v>94</v>
      </c>
      <c r="F95" s="6"/>
      <c r="G95" s="39"/>
      <c r="H95" s="299" t="s">
        <v>368</v>
      </c>
      <c r="I95" s="300"/>
      <c r="J95" s="7"/>
    </row>
    <row r="96" spans="1:10" ht="15.6" customHeight="1" x14ac:dyDescent="0.3">
      <c r="A96" s="6" t="s">
        <v>365</v>
      </c>
      <c r="B96" s="39"/>
      <c r="C96" s="6" t="s">
        <v>372</v>
      </c>
      <c r="D96" s="7"/>
      <c r="E96" s="331" t="s">
        <v>150</v>
      </c>
      <c r="F96" s="331"/>
      <c r="G96" s="39"/>
      <c r="H96" s="299" t="s">
        <v>369</v>
      </c>
      <c r="I96" s="300"/>
      <c r="J96" s="7"/>
    </row>
    <row r="97" spans="1:10" ht="15.6" customHeight="1" x14ac:dyDescent="0.3">
      <c r="A97" s="6" t="s">
        <v>290</v>
      </c>
      <c r="B97" s="39"/>
      <c r="C97" s="6" t="s">
        <v>351</v>
      </c>
      <c r="D97" s="39"/>
      <c r="E97" s="332" t="s">
        <v>260</v>
      </c>
      <c r="F97" s="332"/>
      <c r="G97" s="39"/>
      <c r="H97" s="299" t="s">
        <v>370</v>
      </c>
      <c r="I97" s="300"/>
      <c r="J97" s="7"/>
    </row>
    <row r="98" spans="1:10" ht="9.6" customHeight="1" x14ac:dyDescent="0.3">
      <c r="H98" s="3"/>
      <c r="I98" s="110"/>
      <c r="J98" s="3"/>
    </row>
    <row r="99" spans="1:10" ht="21" x14ac:dyDescent="0.4">
      <c r="A99" s="301" t="s">
        <v>54</v>
      </c>
      <c r="B99" s="302"/>
      <c r="C99" s="302"/>
      <c r="D99" s="302"/>
      <c r="E99" s="302"/>
      <c r="F99" s="303"/>
      <c r="G99" s="304" t="s">
        <v>16</v>
      </c>
      <c r="H99" s="304"/>
      <c r="I99" s="304"/>
      <c r="J99" s="304"/>
    </row>
    <row r="100" spans="1:10" ht="15.6" x14ac:dyDescent="0.3">
      <c r="A100" s="8" t="s">
        <v>1</v>
      </c>
      <c r="B100" s="8" t="s">
        <v>2</v>
      </c>
      <c r="C100" s="305" t="s">
        <v>3</v>
      </c>
      <c r="D100" s="306"/>
      <c r="E100" s="8" t="s">
        <v>13</v>
      </c>
      <c r="F100" s="37" t="s">
        <v>14</v>
      </c>
      <c r="G100" s="8" t="s">
        <v>17</v>
      </c>
      <c r="H100" s="8" t="s">
        <v>18</v>
      </c>
      <c r="I100" s="111" t="s">
        <v>18</v>
      </c>
      <c r="J100" s="8" t="s">
        <v>296</v>
      </c>
    </row>
    <row r="101" spans="1:10" ht="15.75" customHeight="1" x14ac:dyDescent="0.3">
      <c r="A101" s="310" t="s">
        <v>57</v>
      </c>
      <c r="B101" s="94" t="s">
        <v>71</v>
      </c>
      <c r="C101" s="9" t="s">
        <v>313</v>
      </c>
      <c r="D101" s="9"/>
      <c r="E101" s="40"/>
      <c r="F101" s="138">
        <f>IF(E101="", IF(G94="Yes",1,0.8),IF(E101&lt;=0,0,IF(E101&gt;=0.95,1,ROUND('Reference Standards'!B$3*E101+'Reference Standards'!B$4,2))))</f>
        <v>0.8</v>
      </c>
      <c r="G101" s="135">
        <f>IFERROR(ROUND(AVERAGE(F101),2),"")</f>
        <v>0.8</v>
      </c>
      <c r="H101" s="312">
        <f>IFERROR(ROUND(AVERAGE(G101:G102),2),"")</f>
        <v>0.8</v>
      </c>
      <c r="I101" s="314" t="str">
        <f>IF(H101="","",IF(H101&gt;0.69,"Functioning",IF(H101&gt;0.29,"Functioning At Risk",IF(H101&gt;-1,"Not Functioning"))))</f>
        <v>Functioning</v>
      </c>
      <c r="J101" s="315">
        <f>IF(AND(H101="",H103="",H105="",H127="",H131=""),"",ROUND((IF(H101="",0,H101)*0.2),2)+ROUND((IF(H103="",0,H103)*0.2),2)+ROUND((IF(H105="",0,H105)*0.2),2)+ROUND((IF(H127="",0,H127)*0.2),2)+ROUND((IF(H131="",0,H131)*0.2),2))</f>
        <v>0.8</v>
      </c>
    </row>
    <row r="102" spans="1:10" ht="15.6" x14ac:dyDescent="0.3">
      <c r="A102" s="311"/>
      <c r="B102" s="140" t="s">
        <v>97</v>
      </c>
      <c r="C102" s="136" t="s">
        <v>125</v>
      </c>
      <c r="D102" s="137"/>
      <c r="E102" s="7"/>
      <c r="F102" s="138">
        <f>IF(E102="", IF(G94="Yes",1,0.8),IF(E102&gt;=1,1,IF(E102&lt;=0,0,ROUND(E102,2))))</f>
        <v>0.8</v>
      </c>
      <c r="G102" s="135">
        <f>IFERROR(ROUND(AVERAGE(F102),2),"")</f>
        <v>0.8</v>
      </c>
      <c r="H102" s="313"/>
      <c r="I102" s="314"/>
      <c r="J102" s="315"/>
    </row>
    <row r="103" spans="1:10" ht="15.6" x14ac:dyDescent="0.3">
      <c r="A103" s="322" t="s">
        <v>4</v>
      </c>
      <c r="B103" s="324" t="s">
        <v>5</v>
      </c>
      <c r="C103" s="11" t="s">
        <v>6</v>
      </c>
      <c r="D103" s="11"/>
      <c r="E103" s="40"/>
      <c r="F103" s="98">
        <f>IF(D97="Ephemeral","",IF(E103="",IF(G94="Yes",1,0.8),ROUND(IF(E103&gt;1.6,0,IF(E103&lt;=1,1,E103^2*'Reference Standards'!E$3+E103*'Reference Standards'!E$4+'Reference Standards'!E$5)),2)))</f>
        <v>0.8</v>
      </c>
      <c r="G103" s="353">
        <f>IFERROR(ROUND(AVERAGE(F103:F104),2),"")</f>
        <v>0.8</v>
      </c>
      <c r="H103" s="354">
        <f>IFERROR(ROUND(AVERAGE(G103),2),"")</f>
        <v>0.8</v>
      </c>
      <c r="I103" s="346" t="str">
        <f>IF(H103="","",IF(H103&gt;0.69,"Functioning",IF(H103&gt;0.29,"Functioning At Risk",IF(H103&gt;-1,"Not Functioning"))))</f>
        <v>Functioning</v>
      </c>
      <c r="J103" s="315"/>
    </row>
    <row r="104" spans="1:10" ht="15.6" x14ac:dyDescent="0.3">
      <c r="A104" s="323"/>
      <c r="B104" s="324"/>
      <c r="C104" s="11" t="s">
        <v>7</v>
      </c>
      <c r="D104" s="11"/>
      <c r="E104" s="40"/>
      <c r="F104" s="98">
        <f>IF(D97="Ephemeral","",IF(E104="",IF(G94="Yes",1,0.8),(IF(OR(B96="A",B96="B",$B96="Bc"),IF(E104&lt;1.2,0,IF(E104&gt;=2.2,1,ROUND(IF(E104&lt;1.4,E104*'Reference Standards'!$E$14+'Reference Standards'!$E$15,E104*'Reference Standards'!$F$14+'Reference Standards'!$F$15),2))),IF(OR(B96="C",B96="E"),IF(E104&lt;2,0,IF(E104&gt;=5,1,ROUND(IF(E104&lt;2.4,E104*'Reference Standards'!$F$9+'Reference Standards'!$F$10,E104*'Reference Standards'!$E$9+'Reference Standards'!$E$10),2))))))))</f>
        <v>0.8</v>
      </c>
      <c r="G104" s="353"/>
      <c r="H104" s="355"/>
      <c r="I104" s="347"/>
      <c r="J104" s="315"/>
    </row>
    <row r="105" spans="1:10" ht="15.6" x14ac:dyDescent="0.3">
      <c r="A105" s="321" t="s">
        <v>23</v>
      </c>
      <c r="B105" s="348" t="s">
        <v>24</v>
      </c>
      <c r="C105" s="15" t="s">
        <v>280</v>
      </c>
      <c r="D105" s="71"/>
      <c r="E105" s="16"/>
      <c r="F105" s="99" t="str">
        <f>IF(E105="","",IF(OR(LEFT($B97,2)="65",LEFT($B97,2)="66",LEFT($B97,2)="74",LEFT($B97,2)="73"),IF(E105&gt;=850,1,IF(E105&lt;250,ROUND('Reference Standards'!$H$5*(E105)+'Reference Standards'!$H$6,2),ROUND('Reference Standards'!$I$5*E105+'Reference Standards'!$I$6,2))),  IF(E105&gt;=345,1,IF(E105&lt;=180,ROUND('Reference Standards'!J$5*(E105)+'Reference Standards'!J$6,2),ROUND('Reference Standards'!K$5*E105+'Reference Standards'!K$6,2))))    )</f>
        <v/>
      </c>
      <c r="G105" s="318">
        <f>IFERROR(ROUND(AVERAGE(F105:F106),2),"")</f>
        <v>0.8</v>
      </c>
      <c r="H105" s="350">
        <f>IFERROR(ROUND(AVERAGE(G105:G126),2),"")</f>
        <v>0.8</v>
      </c>
      <c r="I105" s="352" t="str">
        <f>IF(H105="","",IF(H105&gt;0.69,"Functioning",IF(H105&gt;0.29,"Functioning At Risk",IF(H105&gt;-1,"Not Functioning"))))</f>
        <v>Functioning</v>
      </c>
      <c r="J105" s="315"/>
    </row>
    <row r="106" spans="1:10" ht="15.6" x14ac:dyDescent="0.3">
      <c r="A106" s="316"/>
      <c r="B106" s="349"/>
      <c r="C106" s="18" t="s">
        <v>267</v>
      </c>
      <c r="D106" s="72"/>
      <c r="E106" s="10"/>
      <c r="F106" s="100">
        <f>IF(ISNUMBER(E105),"",IF(E106="",IF(G94="Yes",1,0.8),IF(OR(LEFT($B97,2)="65",LEFT($B97,2)="66",LEFT($B97,2)="74",LEFT($B97,2)="73"),IF(E106&gt;=30,1,IF(E106&lt;13,ROUND('Reference Standards'!$H$11*(E106)+'Reference Standards'!$H$12,2),ROUND('Reference Standards'!$I$11*E106+'Reference Standards'!$I$12,2))),  IF(E106&gt;=16,1,IF(E106&lt;=9,ROUND('Reference Standards'!J$11*(E106)+'Reference Standards'!J$12,2),ROUND('Reference Standards'!K$11*E106+'Reference Standards'!K$12,2))))    ))</f>
        <v>0.8</v>
      </c>
      <c r="G106" s="320"/>
      <c r="H106" s="350"/>
      <c r="I106" s="352"/>
      <c r="J106" s="315"/>
    </row>
    <row r="107" spans="1:10" ht="15.6" x14ac:dyDescent="0.3">
      <c r="A107" s="316"/>
      <c r="B107" s="316" t="s">
        <v>350</v>
      </c>
      <c r="C107" s="13" t="s">
        <v>66</v>
      </c>
      <c r="D107" s="13"/>
      <c r="E107" s="42"/>
      <c r="F107" s="99" t="str">
        <f>IF(E107="","",ROUND(IF(E107&gt;0.7,0,IF(E107&lt;=0.1,1,E107^3*'Reference Standards'!H$15+E107^2*'Reference Standards'!H$16+E107*'Reference Standards'!H$17+'Reference Standards'!H$18)),2))</f>
        <v/>
      </c>
      <c r="G107" s="318">
        <f>IFERROR(ROUND(AVERAGE(F107:F110),2),"")</f>
        <v>0.8</v>
      </c>
      <c r="H107" s="351"/>
      <c r="I107" s="352"/>
      <c r="J107" s="315"/>
    </row>
    <row r="108" spans="1:10" ht="15.6" x14ac:dyDescent="0.3">
      <c r="A108" s="316"/>
      <c r="B108" s="316"/>
      <c r="C108" s="13" t="s">
        <v>47</v>
      </c>
      <c r="D108" s="13"/>
      <c r="E108" s="42"/>
      <c r="F108" s="28">
        <f>IF(ISNUMBER(E107),"", IF(AND(E107="",E108=""),IF(G94="Yes",1,0.8),IF(OR(E108="Ex/Ex",E108="Ex/VH"),0, IF(OR(E108="Ex/H",E108="VH/Ex",E108="VH/VH", E108="H/Ex",E108="H/VH",E108="M/Ex"),0.1,IF(OR(E108="Ex/M",E108="VH/H",E108="H/H", E108="M/VH"),0.2, IF(OR(E108="Ex/L",E108="VH/M",E108="H/M", E108="M/H",E108="L/Ex"),0.3, IF(OR(E108="Ex/VL",E108="VH/L",E108="H/L"),0.4, IF(OR(E108="VH/VL",E108="H/VL",E108="M/M", E108="L/VH"),0.5, IF(OR(E108="M/L",E108="L/H"),0.6, IF(OR(E108="M/VL",E108="L/M"),0.7, IF(OR(E108="L/L",E108="L/VL"),1)))))))))))</f>
        <v>0.8</v>
      </c>
      <c r="G108" s="319"/>
      <c r="H108" s="351"/>
      <c r="I108" s="352"/>
      <c r="J108" s="315"/>
    </row>
    <row r="109" spans="1:10" ht="15.6" x14ac:dyDescent="0.3">
      <c r="A109" s="316"/>
      <c r="B109" s="316"/>
      <c r="C109" s="14" t="s">
        <v>72</v>
      </c>
      <c r="D109" s="13"/>
      <c r="E109" s="42"/>
      <c r="F109" s="28">
        <f>IF(E109="",IF(G94="Yes",1,0.8),ROUND(IF(E109&gt;40,0,IF(E109&lt;5,1,E109^3*'Reference Standards'!H$21+E109^2*'Reference Standards'!H$22+E109*'Reference Standards'!H$23+'Reference Standards'!H$24)),2))</f>
        <v>0.8</v>
      </c>
      <c r="G109" s="319"/>
      <c r="H109" s="351"/>
      <c r="I109" s="352"/>
      <c r="J109" s="315"/>
    </row>
    <row r="110" spans="1:10" ht="15.6" x14ac:dyDescent="0.3">
      <c r="A110" s="316"/>
      <c r="B110" s="317"/>
      <c r="C110" s="14" t="s">
        <v>349</v>
      </c>
      <c r="D110" s="14"/>
      <c r="E110" s="44"/>
      <c r="F110" s="100">
        <f>IF(E110="",IF(G94="Yes",1,0.8),ROUND(IF(E110&gt;=30,0,IF(E110&lt;=0,1,E110*'Reference Standards'!H$27+'Reference Standards'!H$28)),2))</f>
        <v>0.8</v>
      </c>
      <c r="G110" s="320"/>
      <c r="H110" s="351"/>
      <c r="I110" s="352"/>
      <c r="J110" s="315"/>
    </row>
    <row r="111" spans="1:10" ht="15.6" x14ac:dyDescent="0.3">
      <c r="A111" s="316"/>
      <c r="B111" s="316" t="s">
        <v>48</v>
      </c>
      <c r="C111" s="15" t="s">
        <v>314</v>
      </c>
      <c r="D111" s="19"/>
      <c r="E111" s="36"/>
      <c r="F111" s="92">
        <f>IF(E111="",IF(G94="Yes",1,0.8),ROUND(IF(E111&gt;9.2,1,E111*'Reference Standards'!H$31+'Reference Standards'!H$32),2))</f>
        <v>0.8</v>
      </c>
      <c r="G111" s="307">
        <f>IFERROR(ROUND(AVERAGE(F111:F120),2),"")</f>
        <v>0.8</v>
      </c>
      <c r="H111" s="351"/>
      <c r="I111" s="352"/>
      <c r="J111" s="315"/>
    </row>
    <row r="112" spans="1:10" ht="15.6" x14ac:dyDescent="0.3">
      <c r="A112" s="316"/>
      <c r="B112" s="316"/>
      <c r="C112" s="17" t="s">
        <v>315</v>
      </c>
      <c r="D112" s="13"/>
      <c r="E112" s="40"/>
      <c r="F112" s="92">
        <f>IF(E112="",IF(G94="Yes",1,0.8),ROUND(IF(E112&gt;9.2,1,E112*'Reference Standards'!H$31+'Reference Standards'!H$32),2))</f>
        <v>0.8</v>
      </c>
      <c r="G112" s="308"/>
      <c r="H112" s="351"/>
      <c r="I112" s="352"/>
      <c r="J112" s="315"/>
    </row>
    <row r="113" spans="1:10" ht="15.6" x14ac:dyDescent="0.3">
      <c r="A113" s="316"/>
      <c r="B113" s="316"/>
      <c r="C113" s="17" t="s">
        <v>316</v>
      </c>
      <c r="D113" s="13"/>
      <c r="E113" s="40"/>
      <c r="F113" s="92">
        <f>IF(E113="",IF(G94="Yes",1,0.8),ROUND( IF(E113&gt;=200,1,IF(E113&lt;50, E113^2*'Reference Standards'!H$36+E113*'Reference Standards'!H$37+'Reference Standards'!H$38, E113*'Reference Standards'!I$37+'Reference Standards'!I$38)),2))</f>
        <v>0.8</v>
      </c>
      <c r="G113" s="308"/>
      <c r="H113" s="351"/>
      <c r="I113" s="352"/>
      <c r="J113" s="315"/>
    </row>
    <row r="114" spans="1:10" ht="15.6" x14ac:dyDescent="0.3">
      <c r="A114" s="316"/>
      <c r="B114" s="316"/>
      <c r="C114" s="17" t="s">
        <v>317</v>
      </c>
      <c r="D114" s="13"/>
      <c r="E114" s="40"/>
      <c r="F114" s="92">
        <f>IF(E114="",IF(G94="Yes",1,0.8),ROUND( IF(E114&gt;=200,1,IF(E114&lt;50, E114^2*'Reference Standards'!H$36+E114*'Reference Standards'!H$37+'Reference Standards'!H$38, E114*'Reference Standards'!I$37+'Reference Standards'!I$38)),2))</f>
        <v>0.8</v>
      </c>
      <c r="G114" s="308"/>
      <c r="H114" s="351"/>
      <c r="I114" s="352"/>
      <c r="J114" s="315"/>
    </row>
    <row r="115" spans="1:10" ht="15.6" x14ac:dyDescent="0.3">
      <c r="A115" s="316"/>
      <c r="B115" s="316"/>
      <c r="C115" s="13" t="s">
        <v>318</v>
      </c>
      <c r="D115" s="13"/>
      <c r="E115" s="40"/>
      <c r="F115" s="92">
        <f>IF(E115="",IF(G94="Yes",1,0.8),ROUND(IF(AND(E115&gt;=135,E115&lt;=262),1,IF(E115&gt;=366,0.5,IF(E115&lt;135,E115*'Reference Standards'!H$42+'Reference Standards'!H$43,E115*'Reference Standards'!I$42+'Reference Standards'!I$43))),2))</f>
        <v>0.8</v>
      </c>
      <c r="G115" s="308"/>
      <c r="H115" s="351"/>
      <c r="I115" s="352"/>
      <c r="J115" s="315"/>
    </row>
    <row r="116" spans="1:10" ht="15.6" x14ac:dyDescent="0.3">
      <c r="A116" s="316"/>
      <c r="B116" s="316"/>
      <c r="C116" s="13" t="s">
        <v>319</v>
      </c>
      <c r="D116" s="13"/>
      <c r="E116" s="40"/>
      <c r="F116" s="92">
        <f>IF(E116="",IF(G94="Yes",1,0.8),ROUND(IF(AND(E116&gt;=135,E116&lt;=262),1,IF(E116&gt;=366,0.5,IF(E116&lt;135,E116*'Reference Standards'!H$42+'Reference Standards'!H$43,E116*'Reference Standards'!I$42+'Reference Standards'!I$43))),2))</f>
        <v>0.8</v>
      </c>
      <c r="G116" s="308"/>
      <c r="H116" s="351"/>
      <c r="I116" s="352"/>
      <c r="J116" s="315"/>
    </row>
    <row r="117" spans="1:10" ht="15.6" x14ac:dyDescent="0.3">
      <c r="A117" s="316"/>
      <c r="B117" s="316"/>
      <c r="C117" s="13" t="s">
        <v>320</v>
      </c>
      <c r="D117" s="13"/>
      <c r="E117" s="40"/>
      <c r="F117" s="28">
        <f>IF(E117="",IF(G94="Yes",1,0.8),ROUND(IF(E117&gt;=75,1,IF(E117&lt;=0,0,E117*'Reference Standards'!H$46)),2))</f>
        <v>0.8</v>
      </c>
      <c r="G117" s="308"/>
      <c r="H117" s="351"/>
      <c r="I117" s="352"/>
      <c r="J117" s="315"/>
    </row>
    <row r="118" spans="1:10" ht="15.6" x14ac:dyDescent="0.3">
      <c r="A118" s="316"/>
      <c r="B118" s="316"/>
      <c r="C118" s="13" t="s">
        <v>321</v>
      </c>
      <c r="D118" s="13"/>
      <c r="E118" s="40"/>
      <c r="F118" s="28">
        <f>IF(E118="",IF(G94="Yes",1,0.8),ROUND(IF(E118&gt;=75,1,IF(E118&lt;=0,0,E118*'Reference Standards'!H$46)),2))</f>
        <v>0.8</v>
      </c>
      <c r="G118" s="308"/>
      <c r="H118" s="351"/>
      <c r="I118" s="352"/>
      <c r="J118" s="315"/>
    </row>
    <row r="119" spans="1:10" ht="15.6" x14ac:dyDescent="0.3">
      <c r="A119" s="316"/>
      <c r="B119" s="316"/>
      <c r="C119" s="13" t="s">
        <v>322</v>
      </c>
      <c r="D119" s="13"/>
      <c r="E119" s="40"/>
      <c r="F119" s="92">
        <f>IF(E119="",IF(G94="Yes",1,0.8),ROUND(IF(AND(E119&gt;=36.3,E119&lt;=68),1,IF(E119&gt;100,0,IF(E119&lt;36.3,(('Reference Standards'!H$51*(E119^2))+('Reference Standards'!H$52*E119)+'Reference Standards'!H$53),IF(E119&gt;68,(('Reference Standards'!I$51*(E119^2))+('Reference Standards'!I$52*E119)+'Reference Standards'!I$53))))),2))</f>
        <v>0.8</v>
      </c>
      <c r="G119" s="308"/>
      <c r="H119" s="351"/>
      <c r="I119" s="352"/>
      <c r="J119" s="315"/>
    </row>
    <row r="120" spans="1:10" ht="15.6" x14ac:dyDescent="0.3">
      <c r="A120" s="316"/>
      <c r="B120" s="317"/>
      <c r="C120" s="13" t="s">
        <v>323</v>
      </c>
      <c r="D120" s="20"/>
      <c r="E120" s="40"/>
      <c r="F120" s="92">
        <f>IF(E120="",IF(G94="Yes",1,0.8),ROUND(IF(AND(E120&gt;=36.3,E120&lt;=68),1,IF(E120&gt;100,0,IF(E120&lt;36.3,(('Reference Standards'!H$51*(E120^2))+('Reference Standards'!H$52*E120)+'Reference Standards'!H$53),IF(E120&gt;68,(('Reference Standards'!I$51*(E120^2))+('Reference Standards'!I$52*E120)+'Reference Standards'!I$53))))),2))</f>
        <v>0.8</v>
      </c>
      <c r="G120" s="309"/>
      <c r="H120" s="351"/>
      <c r="I120" s="352"/>
      <c r="J120" s="315"/>
    </row>
    <row r="121" spans="1:10" ht="15.6" x14ac:dyDescent="0.3">
      <c r="A121" s="316"/>
      <c r="B121" s="12" t="s">
        <v>87</v>
      </c>
      <c r="C121" s="26" t="s">
        <v>102</v>
      </c>
      <c r="D121" s="13"/>
      <c r="E121" s="7"/>
      <c r="F121" s="27" t="str">
        <f>IF(D97="Ephemeral","",IF(E121="","",IF(OR(D95="Cobble",D95="Gravel"),IF(E121&gt;0.1,1,IF(E121&lt;=0.01,0,ROUND(E121*'Reference Standards'!$H$56+'Reference Standards'!$H$57,2))))))</f>
        <v/>
      </c>
      <c r="G121" s="27" t="str">
        <f>IFERROR(ROUND(AVERAGE(F121),2),"")</f>
        <v/>
      </c>
      <c r="H121" s="351"/>
      <c r="I121" s="352"/>
      <c r="J121" s="315"/>
    </row>
    <row r="122" spans="1:10" ht="15.6" x14ac:dyDescent="0.3">
      <c r="A122" s="316"/>
      <c r="B122" s="321" t="s">
        <v>49</v>
      </c>
      <c r="C122" s="19" t="s">
        <v>50</v>
      </c>
      <c r="D122" s="19"/>
      <c r="E122" s="43"/>
      <c r="F122" s="102">
        <f>IF(D97="Ephemeral","",IF(AND(D95="Bedrock",E122=""),"",IF(E122="",IF(G94="Yes",1,0.8), IF(ISNUMBER($D96), IF($D96&lt;=2,IF(AND(E122&gt;=3,E122&lt;=5),1,IF(OR(E122&lt;=1,E122&gt;=7),0,ROUND(IF(E122&lt;3,E122*'Reference Standards'!H$61+'Reference Standards'!H$62,E122*'Reference Standards'!I$61+'Reference Standards'!I$62),2))),IF(E122&lt;=2.5,1,IF(E122&gt;=5.8,0,ROUND(E122*'Reference Standards'!H$65+'Reference Standards'!H$66,2))))))))</f>
        <v>0.8</v>
      </c>
      <c r="G122" s="307">
        <f>IFERROR(ROUND(AVERAGE(F122:F125),2),"")</f>
        <v>0.8</v>
      </c>
      <c r="H122" s="351"/>
      <c r="I122" s="352"/>
      <c r="J122" s="315"/>
    </row>
    <row r="123" spans="1:10" ht="15.6" x14ac:dyDescent="0.3">
      <c r="A123" s="316"/>
      <c r="B123" s="316"/>
      <c r="C123" s="13" t="s">
        <v>51</v>
      </c>
      <c r="D123" s="13"/>
      <c r="E123" s="42"/>
      <c r="F123" s="28">
        <f>IF(D97="Ephemeral","",IF(AND(D95="Bedrock",E123=""),"",IF(E123="",IF(G94="Yes",1,0.8),IF(E123&gt;=2.4,1,IF(E123&lt;=1,0,ROUND(IF(E123&lt;2.4,E123*'Reference Standards'!$H$70+'Reference Standards'!$H$71),2))))))</f>
        <v>0.8</v>
      </c>
      <c r="G123" s="308"/>
      <c r="H123" s="351"/>
      <c r="I123" s="352"/>
      <c r="J123" s="315"/>
    </row>
    <row r="124" spans="1:10" ht="15.6" x14ac:dyDescent="0.3">
      <c r="A124" s="316"/>
      <c r="B124" s="316"/>
      <c r="C124" s="13" t="s">
        <v>281</v>
      </c>
      <c r="D124" s="13"/>
      <c r="E124" s="42"/>
      <c r="F124" s="133">
        <f>IF(D97="Ephemeral","",IF(AND(D95="Bedrock",E122=""),"",IF(E124="",IF(G94="Yes",1,0.8),IF(LEFT($B97,2)="67",IF(AND(E124&gt;=45,E124&lt;=65),1,IF(OR(E124&lt;=20,E124&gt;=90),0,ROUND(IF(E124&lt;45,E124*'Reference Standards'!H$75+'Reference Standards'!H$76,E124*'Reference Standards'!I$75+'Reference Standards'!I$76),2))),IF(OR(LEFT($B97,2)="68",LEFT($B97,2)="69",LEFT($B97,2)="71"),IF(AND(E124&gt;=30,E124&lt;=50),1,IF(OR(E124&lt;=10,E124&gt;=70),0,ROUND(IF(E124&lt;30,E124*'Reference Standards'!H$80+'Reference Standards'!H$81,E124*'Reference Standards'!I$80+'Reference Standards'!I$81),2))),IF(LEFT($B97,2)="66",IF(AND(E124&gt;=20,E124&lt;=45),1,IF(OR(E124&lt;=0,E124&gt;=90),0,ROUND(IF(E124&lt;20,E124*'Reference Standards'!H$85+'Reference Standards'!H$86,E124*'Reference Standards'!I$85+'Reference Standards'!I$86),2))),IF(OR(LEFT($B97,2)="65",LEFT($B97,2)="74",LEFT($B97,2)="73"),IF(AND(E124&gt;=20,E124&lt;=30),1,IF(OR(E124&lt;=0,E124&gt;=50),0,ROUND(IF(E124&lt;20,E124*'Reference Standards'!H$90+'Reference Standards'!H$91,E124*'Reference Standards'!I$90+'Reference Standards'!I$91),2))))))))))</f>
        <v>0.8</v>
      </c>
      <c r="G124" s="308"/>
      <c r="H124" s="351"/>
      <c r="I124" s="352"/>
      <c r="J124" s="315"/>
    </row>
    <row r="125" spans="1:10" ht="15.6" x14ac:dyDescent="0.3">
      <c r="A125" s="316"/>
      <c r="B125" s="317"/>
      <c r="C125" s="17" t="s">
        <v>173</v>
      </c>
      <c r="D125" s="13"/>
      <c r="E125" s="44"/>
      <c r="F125" s="134" t="str">
        <f>IF(D97="Ephemeral","",IF(E125="","",IF(E125&gt;=1.6,0,IF(E125&lt;=1,1,ROUND('Reference Standards'!$H$94*E125^3+'Reference Standards'!$H$95*E125^2+'Reference Standards'!$H$96*E125+'Reference Standards'!$H$97,2)))))</f>
        <v/>
      </c>
      <c r="G125" s="309"/>
      <c r="H125" s="351"/>
      <c r="I125" s="352"/>
      <c r="J125" s="315"/>
    </row>
    <row r="126" spans="1:10" ht="15.6" x14ac:dyDescent="0.3">
      <c r="A126" s="317"/>
      <c r="B126" s="50" t="s">
        <v>53</v>
      </c>
      <c r="C126" s="69" t="s">
        <v>52</v>
      </c>
      <c r="D126" s="70"/>
      <c r="E126" s="68"/>
      <c r="F126" s="101">
        <f>IF(D97="Ephemeral","",IF(E126="",IF(G94="Yes",1,0.8),IF(AND(B96="E",$D95="Sand",G97="Unconfined Alluvial"),ROUND(IF(OR(E126&gt;1.8,E126&lt;1.3),0,IF(E126&lt;=1.6,1,E126*'Reference Standards'!H$100+'Reference Standards'!H$101)),2),    IF(G97="Unconfined Alluvial",ROUND(IF(OR(E126&lt;1.2, E126&gt;1.5),0,IF(E126&lt;=1.4,1,E126*'Reference Standards'!$H$104+'Reference Standards'!$H$105)),2), IF(G97="Confined Alluvial",ROUND(IF(E126&lt;1.15,0,IF(E126&lt;=1.4,E126*'Reference Standards'!$H$108+'Reference Standards'!$H$109,1)),2),  IF(G97="Colluvial",ROUND(IF(E126&gt;1.3,0,IF(E126&gt;1.2,E126*'Reference Standards'!$H$112+'Reference Standards'!$H$113,1)),2) ))))))</f>
        <v>0.8</v>
      </c>
      <c r="G126" s="28">
        <f>IFERROR(ROUND(AVERAGE(F126),2),"")</f>
        <v>0.8</v>
      </c>
      <c r="H126" s="351"/>
      <c r="I126" s="352"/>
      <c r="J126" s="315"/>
    </row>
    <row r="127" spans="1:10" ht="15.6" x14ac:dyDescent="0.3">
      <c r="A127" s="325" t="s">
        <v>55</v>
      </c>
      <c r="B127" s="22" t="s">
        <v>73</v>
      </c>
      <c r="C127" s="24" t="s">
        <v>285</v>
      </c>
      <c r="D127" s="24"/>
      <c r="E127" s="7"/>
      <c r="F127" s="103">
        <f>IF(D97="Ephemeral","",IF(E127="",IF(G94="Yes",1,0.8),ROUND(IF(E127&gt;=942,0,IF(E127&lt;=487,E127*'Reference Standards'!M$4+'Reference Standards'!M$5,E127*'Reference Standards'!$N$4+'Reference Standards'!$N$5)),2)))</f>
        <v>0.8</v>
      </c>
      <c r="G127" s="29">
        <f>IFERROR(ROUND(AVERAGE(F127),2),"")</f>
        <v>0.8</v>
      </c>
      <c r="H127" s="328">
        <f>IFERROR(ROUND(AVERAGE(G127:G130),2),"")</f>
        <v>0.8</v>
      </c>
      <c r="I127" s="357" t="str">
        <f>IF(H127="","",IF(H127&gt;0.69,"Functioning",IF(H127&gt;0.29,"Functioning At Risk",IF(H127&gt;-1,"Not Functioning"))))</f>
        <v>Functioning</v>
      </c>
      <c r="J127" s="315"/>
    </row>
    <row r="128" spans="1:10" ht="15.6" x14ac:dyDescent="0.3">
      <c r="A128" s="326"/>
      <c r="B128" s="79" t="s">
        <v>289</v>
      </c>
      <c r="C128" s="21" t="s">
        <v>288</v>
      </c>
      <c r="D128" s="21"/>
      <c r="E128" s="41"/>
      <c r="F128" s="104" t="str">
        <f>IF(D97="Ephemeral","",IF(E128="","",IF(OR($B97="65abei",$B97="65j",$B97="66d",$B97="66e",$B97="66ik",$B97="66f",$B97="66g",$B97="66j",$B97="68a",$B97="69de",$B97="74b",AND(OR($B97="67fhi",$B97="67g"),$D94&lt;=2),AND(OR($B97="68c",$B97="68d"),$G95="January - June")),IF(E128&gt;93,0,IF(E128&lt;13,1,ROUND('Reference Standards'!$M$9*E128^2+'Reference Standards'!$M$10*E128+'Reference Standards'!$M$11,2))),IF(OR(AND(OR($B97="67fhi",$B97="67g",$B97="71f",$B97="71g",$B97="71h"),$D94&gt;2),AND(OR($B97="68c",$B97="68d"),$G95="July - December"),$B97="73a",$B97="73b"),IF(E128&gt;94,0,IF(E128&lt;17,1,ROUND('Reference Standards'!$N$9*E128^2+'Reference Standards'!$N$10*E128+'Reference Standards'!$N$11,2))),IF(OR(AND(OR($B97="68b",$B97="71i"),$D94&gt;2),$B97="71e"),IF(E128&gt;91,0,IF(E128&lt;24,1,ROUND('Reference Standards'!$O$9*E128^2+'Reference Standards'!$O$10*E128+'Reference Standards'!$O$11,2))),IF(OR(AND(OR($B97="71f",$B97="71g",$B97="71h",$B97="71i"),$D94&lt;=2),AND($B97="74a",$D94&gt;2)),IF(E128&gt;95,0,IF(E128&lt;=36,1,ROUND('Reference Standards'!$P$9*E128^2+'Reference Standards'!$P$10*E128+'Reference Standards'!$P$11,2)))))))))</f>
        <v/>
      </c>
      <c r="G128" s="48" t="str">
        <f>IFERROR(ROUND(AVERAGE(F128),2),"")</f>
        <v/>
      </c>
      <c r="H128" s="329"/>
      <c r="I128" s="358"/>
      <c r="J128" s="315"/>
    </row>
    <row r="129" spans="1:10" ht="15.6" x14ac:dyDescent="0.3">
      <c r="A129" s="326"/>
      <c r="B129" s="22" t="s">
        <v>67</v>
      </c>
      <c r="C129" s="23" t="s">
        <v>240</v>
      </c>
      <c r="D129" s="23"/>
      <c r="E129" s="40"/>
      <c r="F129" s="104">
        <f>IF(ISNUMBER(E128),"",IF(D97="Ephemeral","",IF(E129="",IF(G94="Yes",1,0.8), IF(ISNUMBER($D94), IF(OR($B97="66e",$B97="66f",$B97="66g"),ROUND(IF(E129&gt;=0.61,0,IF(E129&lt;=0.01,1,IF(E129&lt;=0.06,E129*'Reference Standards'!$O$34+'Reference Standards'!$O$35,E129^2*'Reference Standards'!$M$33+E129*'Reference Standards'!$M$34+'Reference Standards'!$M$35))),2),IF($B97="68b",ROUND(IF(E129&gt;=1.1,0,IF(E129&lt;=0.17,1,IF(E129&lt;=0.22,E129*'Reference Standards'!$P$34+'Reference Standards'!$P$35,E129^2*'Reference Standards'!$N$33+E129*'Reference Standards'!$N$34+'Reference Standards'!$N$35))),2),IF($D94&lt;=2.5,IF($B97="69de",ROUND(IF(E129&gt;=0.22,0,IF(E129&lt;=0.01,1,E129^2*'Reference Standards'!$M$15+E129*'Reference Standards'!$M$16+'Reference Standards'!$M$17)),2),IF($B97="68c",ROUND(IF(E129&gt;=0.87,0,IF(E129&lt;=0.01,1,E129^2*'Reference Standards'!$N$15+E129*'Reference Standards'!$N$16+'Reference Standards'!$N$17)),2),IF($B97="68a",ROUND(IF(E129&gt;=0.81,0,IF(E129&lt;=0.01,1,E129^2*'Reference Standards'!$O$15+E129*'Reference Standards'!$O$16+'Reference Standards'!$O$17)),2),IF($B97="65abei",ROUND(IF(E129&gt;=0.67,0,IF(E129&lt;=0.01,1,IF(E129&lt;=0.18,E129*'Reference Standards'!$R$16+'Reference Standards'!$R$17,E129*'Reference Standards'!$P$16+'Reference Standards'!$P$17))),2),IF($B97="65j",ROUND(IF(E129&gt;=0.32,0,IF(E129&lt;=0.01,1,IF(E129&lt;=0.25,E129*'Reference Standards'!$S$16+'Reference Standards'!$S$17,E129*'Reference Standards'!$Q$16+'Reference Standards'!$Q$17))),2),IF($B97="71f",ROUND(IF(E129&gt;=3,0,IF(E129&lt;=0,1,IF(E129&lt;=0.01,0.7,E129^2*'Reference Standards'!$M$21+E129*'Reference Standards'!$M$22+'Reference Standards'!$M$23))),2),IF($B97="74a",ROUND(IF(E129&gt;=0.14,0,IF(E129&lt;=0.01,1,IF(E129&lt;=0.02,0.7,E129^2*'Reference Standards'!$N$21+E129*'Reference Standards'!$N$22+'Reference Standards'!$N$23))),2),IF(OR($B97="67fhi",$B97="67g"),ROUND(IF(E129&gt;=1.9,0,IF(E129&lt;=0.01,1,IF(E129&lt;=0.05,E129*'Reference Standards'!$Q$22+'Reference Standards'!$Q$23,E129^2*'Reference Standards'!$O$21+E129*'Reference Standards'!$O$22+'Reference Standards'!$O$23))),2),IF($B97="73a",ROUND(IF(E129&gt;=1.44,0,IF(E129&lt;=0.01,1,IF(E129&lt;=0.12,E129*'Reference Standards'!$R$22+'Reference Standards'!$R$23,E129^2*'Reference Standards'!$P$21+E129*'Reference Standards'!$P$22+'Reference Standards'!$P$23))),2),IF($B97="66d",ROUND(IF(E129&gt;=0.46,0,IF(E129&lt;=0.02,1,IF(E129&lt;=0.08,E129*'Reference Standards'!$Q$28+'Reference Standards'!$Q$29,E129^2*'Reference Standards'!$M$27+E129*'Reference Standards'!$M$28+'Reference Standards'!$M$29))),2),IF(OR($B97="71g",$B97="71h",$B97="71i"),ROUND(IF(E129&gt;=3,0,IF(E129&lt;=0.06,1,IF(E129&lt;=0.24,E129*'Reference Standards'!$R$28+'Reference Standards'!$R$29,E129^2*'Reference Standards'!$N$27+E129*'Reference Standards'!$N$28+'Reference Standards'!$N$29))),2),IF($B97="74b",ROUND(IF(E129&gt;=1.3,0,IF(E129&lt;=0.29,1,IF(E129&lt;=0.48,E129*'Reference Standards'!$S$28+'Reference Standards'!$S$29,E129^2*'Reference Standards'!$O$27+E129*'Reference Standards'!$O$28+'Reference Standards'!$O$29))),2),IF($B97="71e",ROUND(IF(E129&gt;=4.3,0,IF(E129&lt;=0.53,1,IF(E129&lt;=0.67,E129*'Reference Standards'!$T$28+'Reference Standards'!$T$29,E129^2*'Reference Standards'!$P$27+E129*'Reference Standards'!$P$28+'Reference Standards'!$P$29))),2)))))))))))))),IF($D94&gt;2.5,IF($B97="73a",ROUND(IF(E129&gt;=0.55,0,IF(E129&lt;=0,1,E129^2*'Reference Standards'!$M$39+E129*'Reference Standards'!$M$40+'Reference Standards'!$M$41)),2),IF($B97="68a",ROUND(IF(E129&gt;=0.54,0,IF(E129&lt;=0,1,IF(E129&lt;=0.01,0.85,E129^2*'Reference Standards'!$N$39+E129*'Reference Standards'!$N$40+'Reference Standards'!$N$41))),2),IF($B97="74a",ROUND(IF(E129&gt;=0.47,0,IF(E129&lt;=0.01,1,IF(E129&lt;=0.02,0.7,E129^2*'Reference Standards'!$O$39+E129*'Reference Standards'!$O$40+'Reference Standards'!$O$41))),2),IF($B97="69de",ROUND(IF(E129&gt;=0.26,0,IF(E129&lt;=0.01,1,IF(E129&lt;=0.02,0.85,E129^2*'Reference Standards'!$P$39+E129*'Reference Standards'!$P$40+'Reference Standards'!$P$41))),2),IF($B97="71f",ROUND(IF(E129&gt;=0.87,0,IF(E129&lt;=0.01,1,IF(E129&lt;=0.04,E129*'Reference Standards'!$Q$46+'Reference Standards'!$Q$47,E129^2*'Reference Standards'!$M$45+E129*'Reference Standards'!$M$46+'Reference Standards'!$M$47))),2),IF($B97="65abei",ROUND(IF(E129&gt;=0.82,0,IF(E129&lt;=0.01,1,IF(E129&lt;=0.06,E129*'Reference Standards'!$R$46+'Reference Standards'!$R$47,E129^2*'Reference Standards'!$N$45+E129*'Reference Standards'!$N$46+'Reference Standards'!$N$47))),2),IF($B97="65j",ROUND(IF(E129&gt;=0.33,0,IF(E129&lt;=0.03,1,IF(E129&lt;=0.09,E129*'Reference Standards'!$S$46+'Reference Standards'!$S$47,E129^2*'Reference Standards'!$O$45+E129*'Reference Standards'!$O$46+'Reference Standards'!$O$47))),2),IF($B97="68c",ROUND(IF(E129&gt;=0.7,0,IF(E129&lt;=0.07,1,IF(E129&lt;=0.12,E129*'Reference Standards'!$T$46+'Reference Standards'!$T$47,E129^2*'Reference Standards'!$P$45+E129*'Reference Standards'!$P$46+'Reference Standards'!$P$47))),2),IF(OR($B97="67fhi",$B97="67g"),ROUND(IF(E129&gt;=1.8,0,IF(E129&lt;=0.08,1,IF(E129&lt;=0.2,E129*'Reference Standards'!$Q$52+'Reference Standards'!$Q$53,E129^2*'Reference Standards'!$M$51+E129*'Reference Standards'!$M$52+'Reference Standards'!$M$53))),2),IF($B97="74b",ROUND(IF(E129&gt;=0.96,0,IF(E129&lt;=0.12,1,IF(E129&lt;=0.16,E129*'Reference Standards'!$R$52+'Reference Standards'!$R$53,E129^2*'Reference Standards'!$N$51+E129*'Reference Standards'!$N$52+'Reference Standards'!$N$53))),2),IF($B97="66d",ROUND(IF(E129&gt;=0.75,0,IF(E129&lt;=0.13,1,IF(E129&lt;=0.2,E129*'Reference Standards'!$S$52+'Reference Standards'!$S$53,E129^2*'Reference Standards'!$O$51+E129*'Reference Standards'!$O$52+'Reference Standards'!$O$53))),2),IF(OR($B97="71g",$B97="71h",$B97="71i"),ROUND(IF(E129&gt;=1.68,0,IF(E129&lt;=0.08,1,IF(E129&lt;=0.23,E129*'Reference Standards'!$T$52+'Reference Standards'!$T$53,E129^2*'Reference Standards'!$P$51+E129*'Reference Standards'!$P$52+'Reference Standards'!$P$53))),2),IF($B97="71e",ROUND(IF(E129&gt;=5.3,0,IF(E129&lt;=0.94,1,IF(E129&lt;=1.4,E129*'Reference Standards'!$Q$56+'Reference Standards'!$Q$57,E129^2*'Reference Standards'!$M$55+E129*'Reference Standards'!$M$56+'Reference Standards'!$M$57))),2))))))))))))))))))))))</f>
        <v>0.8</v>
      </c>
      <c r="G129" s="48">
        <f t="shared" ref="G129:G130" si="2">IFERROR(ROUND(AVERAGE(F129),2),"")</f>
        <v>0.8</v>
      </c>
      <c r="H129" s="329"/>
      <c r="I129" s="358"/>
      <c r="J129" s="315"/>
    </row>
    <row r="130" spans="1:10" ht="15.6" x14ac:dyDescent="0.3">
      <c r="A130" s="327"/>
      <c r="B130" s="78" t="s">
        <v>68</v>
      </c>
      <c r="C130" s="21" t="s">
        <v>239</v>
      </c>
      <c r="D130" s="21"/>
      <c r="E130" s="36"/>
      <c r="F130" s="103">
        <f>IF(ISNUMBER(E128),"", IF(D97="Ephemeral","",IF(E130="",IF(G94="Yes",1,0.8), IF(ISNUMBER($D94), IF($D94&gt;2.5,IF(OR($B97="71h",$B97="71i",$B97="73a",$B97="74a"),IF(E130&lt;=0.01,1,IF(OR($B97="71h",$B97="71i"),IF(E130&gt;0.37,0,ROUND(IF(E130&gt;0.03,'Reference Standards'!$M$73*E130^2+'Reference Standards'!$M$74*E130+'Reference Standards'!$M$75,'Reference Standards'!$Q$74*E130+'Reference Standards'!$Q$75),2)),IF($B97="73a",IF(E130&gt;0.405,0,ROUND(IF(E130&gt;0.046,'Reference Standards'!$N$73*E130^2+'Reference Standards'!$N$74*E130+'Reference Standards'!$N$75,'Reference Standards'!$R$74*E130+'Reference Standards'!$R$75),2)),IF($B97="74a",IF(E130&gt;0.3,0,ROUND(IF(E130&gt;0.052,'Reference Standards'!$O$73*E130^2+'Reference Standards'!$O$74*E130+'Reference Standards'!$O$75,'Reference Standards'!$S$74*E130+'Reference Standards'!$S$75),2)))))),IF(E130&lt;=0.002,1,IF(OR($B97="66d",$B97="66e",$B97="66g"),IF(E130&gt;0.053,0,ROUND(E130^2*'Reference Standards'!$M$61+E130*'Reference Standards'!$M$62+'Reference Standards'!$M$63,2)),IF($B97="68b",IF(E130&gt;0.05,0,ROUND(E130^2*'Reference Standards'!$N$61+E130*'Reference Standards'!$N$62+'Reference Standards'!$N$63,2)),IF(OR($B97="68a",$B97="68c"),IF(E130&gt;0.07,0,ROUND(E130^2*'Reference Standards'!$O$61+E130*'Reference Standards'!$O$62+'Reference Standards'!$O$63,2)),IF(OR($B97="71f",$B97="71g"),IF(E130&gt;0.13,0,ROUND(IF(E130&gt;0.042,E130*'Reference Standards'!$P$62+'Reference Standards'!$P$63,E130*'Reference Standards'!$Q$62+'Reference Standards'!$Q$63),2)),IF($B97="67fhi",IF(E130&gt;0.16,0,ROUND(E130^2*'Reference Standards'!$R$61+E130*'Reference Standards'!$R$62+'Reference Standards'!$R$63,2)),IF($B97="65j",IF(E130&gt;0.035,0,ROUND(IF(E130&lt;=0.003,0.7,E130^2*'Reference Standards'!$M$67+E130*'Reference Standards'!$M$68+'Reference Standards'!$M$69),2)),IF($B97="69de",IF(E130&gt;0.037,0,ROUND(IF(E130&lt;=0.003,0.7,E130^2*'Reference Standards'!$N$67+E130*'Reference Standards'!$N$68+'Reference Standards'!$N$69),2)),IF($B97="71e",IF(E130&gt;0.23,0,ROUND(IF(E130&lt;=0.003,0.7,E130^2*'Reference Standards'!$O$67+E130*'Reference Standards'!$O$68+'Reference Standards'!$O$69),2)),IF($B97="66f",IF(E130&gt;0.06,0,ROUND(IF(E130&lt;=0.003,0.85,IF(E130&lt;=0.004,0.7,E130^2*'Reference Standards'!$P$67+E130*'Reference Standards'!$P$68+'Reference Standards'!$P$69)),2)),IF($B97="67g",IF(E130&gt;0.11,0,ROUND(IF(E130&lt;=0.01,E130*'Reference Standards'!$S$68+'Reference Standards'!$S$69,E130^2*'Reference Standards'!$Q$67+E130*'Reference Standards'!$Q$68+'Reference Standards'!$Q$69),2)),IF($B97="74b",IF(E130&gt;0.49,0,ROUND(IF(E130&lt;=0.01,E130*'Reference Standards'!$S$68+'Reference Standards'!$S$69,E130^2*'Reference Standards'!$R$67+E130*'Reference Standards'!$R$68+'Reference Standards'!$R$69),2)),IF($B97="65abei",IF(E130&gt;0.199,0,ROUND(IF(E130&lt;=0.01,E130*'Reference Standards'!$T$74+'Reference Standards'!$T$75,E130^2*'Reference Standards'!$P$73+E130*'Reference Standards'!$P$74+'Reference Standards'!$P$75),2)))))))))))))))),IF($D94&lt;=2.5,IF(OR($B97="66d",$B97="66e",$B97="66g"),IF(E130&gt;0.05,0,ROUND(IF(E130&lt;=0.002,1,IF(E130&lt;=0.005,E130*'Reference Standards'!$Q$80+'Reference Standards'!$Q$81,E130^2*'Reference Standards'!$M$79+E130*'Reference Standards'!$M$80+'Reference Standards'!$M$81)),2)),IF($B97="67fhi",IF(E130&gt;0.1,0,ROUND(IF(E130&lt;=0.002,1,IF(E130&lt;=0.006,E130*'Reference Standards'!$R$80+'Reference Standards'!$R$81,E130^2*'Reference Standards'!$N$79+E130*'Reference Standards'!$N$80+'Reference Standards'!$N$81)),2)),IF($B97="65abei",IF(E130&gt;0.13,0,ROUND(IF(E130&lt;=0.003,1,IF(E130&lt;=0.008,E130*'Reference Standards'!$S$80+'Reference Standards'!$S$81,E130^2*'Reference Standards'!$O$79+E130*'Reference Standards'!$O$80+'Reference Standards'!$O$81)),2)),IF($B97="68b",IF(E130&gt;0.043,0,ROUND(IF(E130&lt;=0.004,1,IF(E130&lt;=0.005,0.7,E130^2*'Reference Standards'!$P$79+E130*'Reference Standards'!$P$80+'Reference Standards'!$P$81)),2)),IF($B97="69de",IF(E130&gt;=0.034,0,ROUND(IF(E130&lt;=0.003,1,IF(E130&lt;=0.006,E130*'Reference Standards'!$R$85+'Reference Standards'!$R$86,E130*'Reference Standards'!$M$85+'Reference Standards'!$M$86)),2)),IF(OR($B97="68a",$B97="68c"),IF(E130&gt;0.202,0,ROUND(IF(E130&lt;=0.003,1,IF(E130&lt;=0.006,E130*'Reference Standards'!$R$85+'Reference Standards'!$R$86,IF(E130&gt;=0.04,E130*'Reference Standards'!$N$85+'Reference Standards'!$N$86,E130*'Reference Standards'!$P$85+'Reference Standards'!$P$86))),2)),IF(OR($B97="71f",$B97="71g"),IF(E130&gt;0.631,0,ROUND(IF(E130&lt;=0.003,1,IF(E130&lt;=0.006,E130*'Reference Standards'!$R$85+'Reference Standards'!$R$86,IF(E130&gt;=0.17,E130*'Reference Standards'!$O$85+'Reference Standards'!$O$86,E130*'Reference Standards'!$Q$85+'Reference Standards'!$Q$86))),2)),IF($B97="71e",IF(E130&gt;1.23,0,ROUND(IF(E130&lt;=0.004,1,IF(E130&lt;=0.006,E130*'Reference Standards'!$Q$91+'Reference Standards'!$Q$92,E130^2*'Reference Standards'!$M$90+E130*'Reference Standards'!$M$91+'Reference Standards'!$M$92)),2)),IF($B97="67g",IF(E130&gt;0.11,0,ROUND(IF(E130&lt;=0.006,1,IF(E130&lt;=0.011,E130*'Reference Standards'!$R$91+'Reference Standards'!$R$92,E130^2*'Reference Standards'!$N$90+E130*'Reference Standards'!$N$91+'Reference Standards'!$N$92)),2)),IF($B97="65j",IF(E130&gt;0.046,0,ROUND(IF(E130&lt;=0.007,1,IF(E130&lt;=0.012,E130*'Reference Standards'!$S$91+'Reference Standards'!$S$92,E130^2*'Reference Standards'!$O$90+E130*'Reference Standards'!$O$91+'Reference Standards'!$O$92)),2)),IF($B97="66f",IF(E130&gt;0.081,0,ROUND(IF(E130&lt;=0.008,1,IF(E130&lt;=0.011,E130*'Reference Standards'!$T$91+'Reference Standards'!$T$92,E130^2*'Reference Standards'!$P$90+E130*'Reference Standards'!$P$91+'Reference Standards'!$P$92)),2)),IF(OR($B97="71h",$B97="71i"),IF(E130&gt;0.37,0,ROUND(IF(E130&lt;=0.013,1,IF(E130&lt;=0.032,E130*'Reference Standards'!$S$98+'Reference Standards'!$S$99,IF(E130&lt;=0.3,E130*'Reference Standards'!$Q$98+'Reference Standards'!$Q$99,E130*'Reference Standards'!$M$98+'Reference Standards'!$M$99))),2)),IF($B97="73a",IF(E130&gt;0.448,0,ROUND(IF(E130&lt;=0.071,1,IF(E130&lt;=0.086,E130*'Reference Standards'!$U$98+'Reference Standards'!$U$99,IF(E130&lt;=0.165,E130*'Reference Standards'!$R$98+'Reference Standards'!$R$99,E130*'Reference Standards'!$P$98+'Reference Standards'!$P$99))),2)),IF($B97="74b",IF(E130&gt;0.43,0,ROUND(IF(E130&lt;=0.018,1,IF(E130&lt;=0.019,0.85,IF(E130&lt;=0.02,0.7,E130^2*'Reference Standards'!$N$97+E130*'Reference Standards'!$N$98+'Reference Standards'!$N$99))),2)),IF($B97="74a",IF(E130&gt;0.217,0,ROUND(IF(E130&lt;=0.02,1,IF(E130&lt;=0.033,E130*'Reference Standards'!$T$98+'Reference Standards'!$T$99,E130^2*'Reference Standards'!$O$97+E130*'Reference Standards'!$O$98+'Reference Standards'!$O$99)),2)))))))))))))))))))))))</f>
        <v>0.8</v>
      </c>
      <c r="G130" s="48">
        <f t="shared" si="2"/>
        <v>0.8</v>
      </c>
      <c r="H130" s="330"/>
      <c r="I130" s="359"/>
      <c r="J130" s="315"/>
    </row>
    <row r="131" spans="1:10" ht="15.6" x14ac:dyDescent="0.3">
      <c r="A131" s="333" t="s">
        <v>56</v>
      </c>
      <c r="B131" s="341" t="s">
        <v>287</v>
      </c>
      <c r="C131" s="33" t="s">
        <v>278</v>
      </c>
      <c r="D131" s="34"/>
      <c r="E131" s="43"/>
      <c r="F131" s="105">
        <f>IF(OR(D97="Ephemeral",AND(E132&lt;&gt;"",E133&lt;&gt;"",E134&lt;&gt;"")),"",IF(E131="",IF(G94="Yes",1,0.8),IF(OR(B97="73a",B97="73b"),IF(E131&lt;1,0,IF(E131&gt;=30,1,ROUND(IF(E131&lt;22,'Reference Standards'!$W$4*E131+'Reference Standards'!$W$5,'Reference Standards'!$X$4*E131+'Reference Standards'!$X$5),2))), IF(E131&lt;1,0, IF(E131&gt;=42,1, ROUND(IF(E131&lt;32,'Reference Standards'!$Y$4*E131+'Reference Standards'!$Y$5,'Reference Standards'!$Z$4*E131+'Reference Standards'!$Z$5),2))))))</f>
        <v>0.8</v>
      </c>
      <c r="G131" s="356">
        <f>IFERROR(ROUND(AVERAGE(F131:F134),2),"")</f>
        <v>0.8</v>
      </c>
      <c r="H131" s="336">
        <f>IFERROR(ROUND(AVERAGE(G131:G136),2),"")</f>
        <v>0.8</v>
      </c>
      <c r="I131" s="314" t="str">
        <f>IF(H131="","",IF(H131&gt;0.69,"Functioning",IF(H131&gt;0.29,"Functioning At Risk",IF(H131&gt;-1,"Not Functioning"))))</f>
        <v>Functioning</v>
      </c>
      <c r="J131" s="315"/>
    </row>
    <row r="132" spans="1:10" ht="15.6" x14ac:dyDescent="0.3">
      <c r="A132" s="334"/>
      <c r="B132" s="342"/>
      <c r="C132" s="45" t="s">
        <v>282</v>
      </c>
      <c r="D132" s="46"/>
      <c r="E132" s="42"/>
      <c r="F132" s="106" t="str">
        <f>IF(D97="Ephemeral","",IF(E132="","",IF(AND($B97="74b",$D94&lt;=2),IF(E132&lt;0,0,IF(E132&gt;15.6,0.69,ROUND('Reference Standards'!$W$9*E132^2+'Reference Standards'!$W$10*E132+'Reference Standards'!$W$11,2))),IF(AND($B97="65abei",$D94&lt;=2),IF(E132&lt;0,0,IF(E132&gt;=20,0.69,ROUND('Reference Standards'!$X$9*E132^2+'Reference Standards'!$X$10*E132+'Reference Standards'!$X$11,2))),IF(OR(AND($B97="74a",$D$2&gt;2,$G95="January - June"),AND($B97="71i",$D94&gt;2,$G96="SQBANK")),IF(E132&lt;0,0,IF(E132&gt;24.7,0.69,ROUND('Reference Standards'!$Y$9*E132^2+'Reference Standards'!$Y$10*E132+'Reference Standards'!$Y$11,2))),IF(OR($B97="74b",$B97="65abei"),IF(E132&lt;0,0,IF(E132&gt;32.7,0.69,ROUND('Reference Standards'!$Z$9*E132^2+'Reference Standards'!$Z$10*E132+'Reference Standards'!$Z$11,2))),IF(AND($B97="68b",$D94&gt;2),IF(E132&lt;0,0,IF(E132&gt;41.2,0.69,ROUND('Reference Standards'!$AA$9*E132^2+'Reference Standards'!$AA$10*E132+'Reference Standards'!$AA$11,2))),IF(OR(AND($B97="71i",$D94&lt;=2),AND(OR($B97="68c",$B97="68d"),$G95="January - June")),IF(E132&lt;0,0,IF(E132&gt;49.2,0.69,ROUND('Reference Standards'!$W$15*E132^2+'Reference Standards'!$W$16*E132+'Reference Standards'!$W$17,2))),IF(OR(AND($B97="68a",$G95="January - June"),AND(OR($B97="68c",$B97="68d"),$G95="July - December")),IF(E132&lt;0,0,IF(E132&gt;53.4,0.69,ROUND('Reference Standards'!$X$15*E132^2+'Reference Standards'!$X$16*E132+'Reference Standards'!$X$17,2))),IF(OR(AND($B97="71i",$D94&gt;2,$G96="SQKICK"),AND(OR($B97="67fhi",$B97="67g"),$D94&lt;=2),$B97="65j"),IF(E132&lt;0,0,IF(E132&gt;57.8,0.69,ROUND('Reference Standards'!$Y$15*E132^2+'Reference Standards'!$Y$16*E132+'Reference Standards'!$Y$17,2))),IF(OR(AND($B97="74a",$D94&gt;2,$G95="July - December"),AND(OR($B97="67fhi",$B97="67g"),$D94&gt;2),$B97="69de"),IF(E132&lt;0,0,IF(E132&gt;62.5,0.69,ROUND('Reference Standards'!$Z$15*E132^2+'Reference Standards'!$Z$16*E132+'Reference Standards'!$Z$17,2))),  IF(OR($B97="66d",$B97="66e",$B97="66ik",$B97="71e",$B97="71f",$B97="71g",$B97="71h"),IF(E132&lt;0,0,IF(E132&gt;66.5,0.69,ROUND('Reference Standards'!$AA$15*E132^2+'Reference Standards'!$AA$16*E132+'Reference Standards'!$AA$17,2))),IF(OR($B97="66f",$B97="66g",$B97="66j",AND($B97="68a",$G95="July - December")), IF(E132&lt;0,0,IF(E132&gt;69,0.69,ROUND('Reference Standards'!$AB$15*E132^2+'Reference Standards'!$AB$16*E132+'Reference Standards'!$AB$17,2))))   ))))))))))))</f>
        <v/>
      </c>
      <c r="G132" s="356"/>
      <c r="H132" s="336"/>
      <c r="I132" s="314"/>
      <c r="J132" s="315"/>
    </row>
    <row r="133" spans="1:10" ht="15.6" x14ac:dyDescent="0.3">
      <c r="A133" s="334"/>
      <c r="B133" s="342"/>
      <c r="C133" s="45" t="s">
        <v>286</v>
      </c>
      <c r="D133" s="46"/>
      <c r="E133" s="42"/>
      <c r="F133" s="106" t="str">
        <f>IF(D97="Ephemeral","",IF(E133="","",IF(AND($B97="74b",$D94&lt;=2),IF(E133&lt;0,0,IF(E133&gt;8.1,0.69,ROUND('Reference Standards'!$W$21*E133^2+'Reference Standards'!$W$22*E133+'Reference Standards'!$W$23,2))),IF(OR($B97="73a",$B97="73b"),IF(E133&lt;0,0,IF(E133&gt;=28,0.69,ROUND('Reference Standards'!$X$21*E133^2+'Reference Standards'!$X$22*E133+'Reference Standards'!$X$23,2))),IF(AND($B97="74a",$D94&gt;2,$G95="January - June"),IF(E133&lt;0,0,IF(E133&gt;=32.5,0.69,ROUND('Reference Standards'!$Y$21*E133^2+'Reference Standards'!$Y$22*E133+'Reference Standards'!$Y$23,2))),IF(AND($B97="71i",$D94&gt;2,$G96="SQBANK"),IF(E133&lt;0,0,IF(E133&gt;=37,0.69,ROUND('Reference Standards'!$Z$21*E133^2+'Reference Standards'!$Z$22*E133+'Reference Standards'!$Z$23,2))),IF(OR(AND(OR($B97="65abei",$B97="74b"),$D94&gt;2),AND($B97="71i",$D94&gt;2,$G96="SQKICK")),IF(E133&lt;0,0,IF(E133&gt;42.6,0.69,ROUND('Reference Standards'!$AA$21*E133^2+'Reference Standards'!$AA$22*E133+'Reference Standards'!$AA$23,2))),     IF(OR(AND($B97="65abei",$D94&lt;=2),AND(OR($B97="68c",$B97="68d"),$G95="July - December"),$B97="71e"),IF(E133&lt;0,0,IF(E133&gt;=48,0.69,ROUND('Reference Standards'!$W$27*E133^2+'Reference Standards'!$W$28*E133+'Reference Standards'!$W$29,2))),IF(OR($B97="65j",$B97="67fhi",$B97="67g",AND($B97="74a",$G95="July - December",$D94&gt;2),AND($B97="71i",$D94&lt;=2)),IF(E133&lt;0,0,IF(E133&gt;=53,0.69,ROUND('Reference Standards'!$X$27*E133^2+'Reference Standards'!$X$28*E133+'Reference Standards'!$X$29,2))),IF(OR(AND(OR($B97="68b",$B97="71f",$B97="71g",$B97="71h"),$D94&gt;2),$B97="68a"),IF(E133&lt;0,0,IF(E133&gt;=57,0.69,ROUND('Reference Standards'!$Y$27*E133^2+'Reference Standards'!$Y$28*E133+'Reference Standards'!$Y$29,2))),IF(OR($B97="66f",$B97="66g",$B97="66j",AND(OR($B97="71f",$B97="71g",$B97="71h"),$D94&lt;=2)),IF(E133&lt;0,0,IF(E133&gt;=60,0.69,ROUND('Reference Standards'!$Z$27*E133^2+'Reference Standards'!$Z$28*E133+'Reference Standards'!$Z$29,2))),  IF(OR($B97="66d",$B97="66e",$B97="66ik", AND(OR($B97="68c",$B97="68d"),$G95="January - June"),AND($B97="69de",$G95="July - December")),IF(E133&lt;0,0,IF(E133&gt;=67.5,0.69,ROUND('Reference Standards'!$AA$27*E133^2+'Reference Standards'!$AA$28*E133+'Reference Standards'!$AA$29,2))),IF(AND($B97="69de",$G95="January - June"), IF(E133&lt;0,0,IF(E133&gt;=72,0.69,ROUND('Reference Standards'!$AB$27*E133^2+'Reference Standards'!$AB$28*E133+'Reference Standards'!$AB$29,2))))   ))))))))))))</f>
        <v/>
      </c>
      <c r="G133" s="356"/>
      <c r="H133" s="336"/>
      <c r="I133" s="314"/>
      <c r="J133" s="315"/>
    </row>
    <row r="134" spans="1:10" ht="15.6" x14ac:dyDescent="0.3">
      <c r="A134" s="334"/>
      <c r="B134" s="343"/>
      <c r="C134" s="35" t="s">
        <v>283</v>
      </c>
      <c r="D134" s="25"/>
      <c r="E134" s="44"/>
      <c r="F134" s="106" t="str">
        <f>IF(D97="Ephemeral","",IF(E134="","",IF(OR($B97="67fhi",$B97="67g",$B97="71e",$B97="73a",$B97="73b",AND(OR($B97="71f",$B97="71g",$B97="71h"),$D94&gt;2)),IF(E134&gt;100,0,IF(E134&lt;15,0.69,ROUND('Reference Standards'!$W$33*E134^2+'Reference Standards'!$W$34*E134+'Reference Standards'!$W$35,2))),  IF(OR($B97="66d",$B97="66e",$B97="66ik",$B97="66f",$B97="66g",$B97="66j",$B97="68a",$B97="68c",$B97="68d",AND($B97="69de",$G95="July - December"), AND($B97="71i",$D94&lt;=2), AND($B97="71i",$D94&gt;2,$G96="SQBANK" ), AND($B97="74a",$D94&gt;2,$G95="July - December") ),IF(E134&gt;100,0,IF(E134&lt;19,0.69,ROUND('Reference Standards'!$X$33*E134^2+'Reference Standards'!$X$34*E134+'Reference Standards'!$X$35,2))),    IF(OR(AND($B97="69de",$G95="January - June"),AND($B97="71i",$D94&gt;2,$G96="SQKICK" )),IF(E134&gt;100,0,IF(E134&lt;22,0.69,ROUND('Reference Standards'!$Y$33*E134^2+'Reference Standards'!$Y$34*E134+'Reference Standards'!$Y$35,2))),    IF(OR($B97="65j",AND($B97="68b",$D94&gt;2)),IF(E134&gt;100,0,IF(E134&lt;24,0.69,ROUND('Reference Standards'!$Z$33*E134^2+'Reference Standards'!$Z$34*E134+'Reference Standards'!$Z$35,2))),    IF(AND(OR($B97="65abei",$B97="71f",$B97="71g",$B97="71h"),$D94&lt;=2),IF(E134&gt;95,0,IF(E134&lt;33,0.69,ROUND('Reference Standards'!$W$39*E134^2+'Reference Standards'!$W$40*E134+'Reference Standards'!$W$41,2))),   IF(AND(OR($B97="65abei",$B97="74b"),$D94&gt;2),IF(E134&gt;97,0,IF(E134&lt;36,0.69,ROUND('Reference Standards'!$X$39*E134^2+'Reference Standards'!$X$40*E134+'Reference Standards'!$X$41,2))),  IF(AND($B97="74a",$G95="January - June",$D94&gt;2),IF(E134&gt;93,0,IF(E134&lt;52,0.69,ROUND('Reference Standards'!$Y$39*E134^2+'Reference Standards'!$Y$40*E134+'Reference Standards'!$Y$41,2))),   IF(AND($B97="74b",$D94&lt;=2),IF(E134&gt;97,0,IF(E134&lt;62,0.69,ROUND('Reference Standards'!$Z$39*E134^2+'Reference Standards'!$Z$40*E134+'Reference Standards'!$Z$41,2)))  ))))))))))</f>
        <v/>
      </c>
      <c r="G134" s="356"/>
      <c r="H134" s="336"/>
      <c r="I134" s="314"/>
      <c r="J134" s="315"/>
    </row>
    <row r="135" spans="1:10" ht="15.6" x14ac:dyDescent="0.3">
      <c r="A135" s="334"/>
      <c r="B135" s="337" t="s">
        <v>65</v>
      </c>
      <c r="C135" s="33" t="s">
        <v>174</v>
      </c>
      <c r="D135" s="34"/>
      <c r="E135" s="36"/>
      <c r="F135" s="105" t="str">
        <f>IF(D97="Ephemeral","",IF(E135="","",IF(E135=1,0.15,IF(E135=3,0.5,IF(E135=5,0.85,0)))))</f>
        <v/>
      </c>
      <c r="G135" s="338" t="str">
        <f>IFERROR(ROUND(AVERAGE(F135:F136),2),"")</f>
        <v/>
      </c>
      <c r="H135" s="336"/>
      <c r="I135" s="314"/>
      <c r="J135" s="315"/>
    </row>
    <row r="136" spans="1:10" ht="15.6" x14ac:dyDescent="0.3">
      <c r="A136" s="335"/>
      <c r="B136" s="337"/>
      <c r="C136" s="35" t="s">
        <v>279</v>
      </c>
      <c r="D136" s="25"/>
      <c r="E136" s="41"/>
      <c r="F136" s="107" t="str">
        <f>IF(D97="Ephemeral","",IF(E136="","",IF(E136=1,0.15,IF(E136=3,0.5,IF(E136=5,0.85,0)))))</f>
        <v/>
      </c>
      <c r="G136" s="339"/>
      <c r="H136" s="336"/>
      <c r="I136" s="314"/>
      <c r="J136" s="315"/>
    </row>
    <row r="137" spans="1:10" ht="8.4" customHeight="1" x14ac:dyDescent="0.3"/>
    <row r="138" spans="1:10" ht="8.4" customHeight="1" x14ac:dyDescent="0.3"/>
    <row r="139" spans="1:10" ht="21" customHeight="1" x14ac:dyDescent="0.3">
      <c r="A139" s="296" t="s">
        <v>295</v>
      </c>
      <c r="B139" s="297"/>
      <c r="C139" s="297"/>
      <c r="D139" s="297"/>
      <c r="E139" s="297"/>
      <c r="F139" s="297"/>
      <c r="G139" s="297"/>
      <c r="H139" s="297"/>
      <c r="I139" s="297"/>
      <c r="J139" s="298"/>
    </row>
    <row r="140" spans="1:10" ht="18" customHeight="1" x14ac:dyDescent="0.3">
      <c r="A140" s="6" t="s">
        <v>85</v>
      </c>
      <c r="B140" s="7"/>
      <c r="C140" s="6" t="s">
        <v>15</v>
      </c>
      <c r="D140" s="7"/>
      <c r="E140" s="165" t="s">
        <v>387</v>
      </c>
      <c r="F140" s="168"/>
      <c r="G140" s="166"/>
      <c r="H140" s="299" t="s">
        <v>367</v>
      </c>
      <c r="I140" s="300"/>
      <c r="J140" s="7"/>
    </row>
    <row r="141" spans="1:10" ht="18" customHeight="1" x14ac:dyDescent="0.3">
      <c r="A141" s="6" t="s">
        <v>86</v>
      </c>
      <c r="B141" s="39"/>
      <c r="C141" s="6" t="s">
        <v>371</v>
      </c>
      <c r="D141" s="39"/>
      <c r="E141" s="6" t="s">
        <v>94</v>
      </c>
      <c r="F141" s="6"/>
      <c r="G141" s="39"/>
      <c r="H141" s="299" t="s">
        <v>368</v>
      </c>
      <c r="I141" s="300"/>
      <c r="J141" s="7"/>
    </row>
    <row r="142" spans="1:10" ht="18" customHeight="1" x14ac:dyDescent="0.3">
      <c r="A142" s="6" t="s">
        <v>365</v>
      </c>
      <c r="B142" s="39" t="s">
        <v>8</v>
      </c>
      <c r="C142" s="6" t="s">
        <v>372</v>
      </c>
      <c r="D142" s="7"/>
      <c r="E142" s="331" t="s">
        <v>150</v>
      </c>
      <c r="F142" s="331"/>
      <c r="G142" s="39"/>
      <c r="H142" s="299" t="s">
        <v>369</v>
      </c>
      <c r="I142" s="300"/>
      <c r="J142" s="7"/>
    </row>
    <row r="143" spans="1:10" ht="18" customHeight="1" x14ac:dyDescent="0.3">
      <c r="A143" s="6" t="s">
        <v>290</v>
      </c>
      <c r="B143" s="39"/>
      <c r="C143" s="6" t="s">
        <v>351</v>
      </c>
      <c r="D143" s="39"/>
      <c r="E143" s="332" t="s">
        <v>260</v>
      </c>
      <c r="F143" s="332"/>
      <c r="G143" s="39"/>
      <c r="H143" s="299" t="s">
        <v>370</v>
      </c>
      <c r="I143" s="300"/>
      <c r="J143" s="7"/>
    </row>
    <row r="144" spans="1:10" ht="6.6" customHeight="1" x14ac:dyDescent="0.3">
      <c r="H144" s="3"/>
      <c r="I144" s="110"/>
      <c r="J144" s="3"/>
    </row>
    <row r="145" spans="1:10" ht="21" x14ac:dyDescent="0.4">
      <c r="A145" s="301" t="s">
        <v>54</v>
      </c>
      <c r="B145" s="302"/>
      <c r="C145" s="302"/>
      <c r="D145" s="302"/>
      <c r="E145" s="302"/>
      <c r="F145" s="303"/>
      <c r="G145" s="304" t="s">
        <v>16</v>
      </c>
      <c r="H145" s="304"/>
      <c r="I145" s="304"/>
      <c r="J145" s="304"/>
    </row>
    <row r="146" spans="1:10" ht="15.6" x14ac:dyDescent="0.3">
      <c r="A146" s="8" t="s">
        <v>1</v>
      </c>
      <c r="B146" s="8" t="s">
        <v>2</v>
      </c>
      <c r="C146" s="305" t="s">
        <v>3</v>
      </c>
      <c r="D146" s="306"/>
      <c r="E146" s="8" t="s">
        <v>13</v>
      </c>
      <c r="F146" s="37" t="s">
        <v>14</v>
      </c>
      <c r="G146" s="8" t="s">
        <v>17</v>
      </c>
      <c r="H146" s="8" t="s">
        <v>18</v>
      </c>
      <c r="I146" s="111" t="s">
        <v>18</v>
      </c>
      <c r="J146" s="8" t="s">
        <v>296</v>
      </c>
    </row>
    <row r="147" spans="1:10" ht="15.75" customHeight="1" x14ac:dyDescent="0.3">
      <c r="A147" s="310" t="s">
        <v>57</v>
      </c>
      <c r="B147" s="94" t="s">
        <v>71</v>
      </c>
      <c r="C147" s="9" t="s">
        <v>313</v>
      </c>
      <c r="D147" s="9"/>
      <c r="E147" s="40"/>
      <c r="F147" s="138">
        <f>IF(E147="", IF(G140="Yes",1,0.8),IF(E147&lt;=0,0,IF(E147&gt;=0.95,1,ROUND('Reference Standards'!B$3*E147+'Reference Standards'!B$4,2))))</f>
        <v>0.8</v>
      </c>
      <c r="G147" s="135">
        <f>IFERROR(ROUND(AVERAGE(F147),2),"")</f>
        <v>0.8</v>
      </c>
      <c r="H147" s="312">
        <f>IFERROR(ROUND(AVERAGE(G147:G148),2),"")</f>
        <v>0.8</v>
      </c>
      <c r="I147" s="314" t="str">
        <f>IF(H147="","",IF(H147&gt;0.69,"Functioning",IF(H147&gt;0.29,"Functioning At Risk",IF(H147&gt;-1,"Not Functioning"))))</f>
        <v>Functioning</v>
      </c>
      <c r="J147" s="315">
        <f>IF(AND(H147="",H149="",H151="",H173="",H177=""),"",ROUND((IF(H147="",0,H147)*0.2),2)+ROUND((IF(H149="",0,H149)*0.2),2)+ROUND((IF(H151="",0,H151)*0.2),2)+ROUND((IF(H173="",0,H173)*0.2),2)+ROUND((IF(H177="",0,H177)*0.2),2))</f>
        <v>0.8</v>
      </c>
    </row>
    <row r="148" spans="1:10" ht="15.6" x14ac:dyDescent="0.3">
      <c r="A148" s="311"/>
      <c r="B148" s="140" t="s">
        <v>97</v>
      </c>
      <c r="C148" s="136" t="s">
        <v>125</v>
      </c>
      <c r="D148" s="137"/>
      <c r="E148" s="7"/>
      <c r="F148" s="138">
        <f>IF(E148="", IF(G140="Yes",1,0.8),IF(E148&gt;=1,1,IF(E148&lt;=0,0,ROUND(E148,2))))</f>
        <v>0.8</v>
      </c>
      <c r="G148" s="135">
        <f>IFERROR(ROUND(AVERAGE(F148),2),"")</f>
        <v>0.8</v>
      </c>
      <c r="H148" s="313"/>
      <c r="I148" s="314"/>
      <c r="J148" s="315"/>
    </row>
    <row r="149" spans="1:10" ht="15.6" x14ac:dyDescent="0.3">
      <c r="A149" s="322" t="s">
        <v>4</v>
      </c>
      <c r="B149" s="324" t="s">
        <v>5</v>
      </c>
      <c r="C149" s="11" t="s">
        <v>6</v>
      </c>
      <c r="D149" s="11"/>
      <c r="E149" s="40"/>
      <c r="F149" s="98">
        <f>IF(D143="Ephemeral","",IF(E149="",IF(G140="Yes",1,0.8),ROUND(IF(E149&gt;1.6,0,IF(E149&lt;=1,1,E149^2*'Reference Standards'!E$3+E149*'Reference Standards'!E$4+'Reference Standards'!E$5)),2)))</f>
        <v>0.8</v>
      </c>
      <c r="G149" s="353">
        <f>IFERROR(ROUND(AVERAGE(F149:F150),2),"")</f>
        <v>0.8</v>
      </c>
      <c r="H149" s="354">
        <f>IFERROR(ROUND(AVERAGE(G149),2),"")</f>
        <v>0.8</v>
      </c>
      <c r="I149" s="346" t="str">
        <f>IF(H149="","",IF(H149&gt;0.69,"Functioning",IF(H149&gt;0.29,"Functioning At Risk",IF(H149&gt;-1,"Not Functioning"))))</f>
        <v>Functioning</v>
      </c>
      <c r="J149" s="315"/>
    </row>
    <row r="150" spans="1:10" ht="15.6" x14ac:dyDescent="0.3">
      <c r="A150" s="323"/>
      <c r="B150" s="324"/>
      <c r="C150" s="11" t="s">
        <v>7</v>
      </c>
      <c r="D150" s="11"/>
      <c r="E150" s="40"/>
      <c r="F150" s="98">
        <f>IF(D143="Ephemeral","",IF(E150="",IF(G140="Yes",1,0.8),(IF(OR(B142="A",B142="B",$B142="Bc"),IF(E150&lt;1.2,0,IF(E150&gt;=2.2,1,ROUND(IF(E150&lt;1.4,E150*'Reference Standards'!$E$14+'Reference Standards'!$E$15,E150*'Reference Standards'!$F$14+'Reference Standards'!$F$15),2))),IF(OR(B142="C",B142="E"),IF(E150&lt;2,0,IF(E150&gt;=5,1,ROUND(IF(E150&lt;2.4,E150*'Reference Standards'!$F$9+'Reference Standards'!$F$10,E150*'Reference Standards'!$E$9+'Reference Standards'!$E$10),2))))))))</f>
        <v>0.8</v>
      </c>
      <c r="G150" s="353"/>
      <c r="H150" s="355"/>
      <c r="I150" s="347"/>
      <c r="J150" s="315"/>
    </row>
    <row r="151" spans="1:10" ht="15.6" x14ac:dyDescent="0.3">
      <c r="A151" s="321" t="s">
        <v>23</v>
      </c>
      <c r="B151" s="348" t="s">
        <v>24</v>
      </c>
      <c r="C151" s="15" t="s">
        <v>280</v>
      </c>
      <c r="D151" s="71"/>
      <c r="E151" s="16"/>
      <c r="F151" s="99" t="str">
        <f>IF(E151="","",IF(OR(LEFT($B143,2)="65",LEFT($B143,2)="66",LEFT($B143,2)="74",LEFT($B143,2)="73"),IF(E151&gt;=850,1,IF(E151&lt;250,ROUND('Reference Standards'!$H$5*(E151)+'Reference Standards'!$H$6,2),ROUND('Reference Standards'!$I$5*E151+'Reference Standards'!$I$6,2))),  IF(E151&gt;=345,1,IF(E151&lt;=180,ROUND('Reference Standards'!J$5*(E151)+'Reference Standards'!J$6,2),ROUND('Reference Standards'!K$5*E151+'Reference Standards'!K$6,2))))    )</f>
        <v/>
      </c>
      <c r="G151" s="318">
        <f>IFERROR(ROUND(AVERAGE(F151:F152),2),"")</f>
        <v>0.8</v>
      </c>
      <c r="H151" s="350">
        <f>IFERROR(ROUND(AVERAGE(G151:G172),2),"")</f>
        <v>0.8</v>
      </c>
      <c r="I151" s="352" t="str">
        <f>IF(H151="","",IF(H151&gt;0.69,"Functioning",IF(H151&gt;0.29,"Functioning At Risk",IF(H151&gt;-1,"Not Functioning"))))</f>
        <v>Functioning</v>
      </c>
      <c r="J151" s="315"/>
    </row>
    <row r="152" spans="1:10" ht="15.6" x14ac:dyDescent="0.3">
      <c r="A152" s="316"/>
      <c r="B152" s="349"/>
      <c r="C152" s="18" t="s">
        <v>267</v>
      </c>
      <c r="D152" s="72"/>
      <c r="E152" s="10"/>
      <c r="F152" s="100">
        <f>IF(ISNUMBER(E151),"",IF(E152="",IF(G140="Yes",1,0.8),IF(OR(LEFT($B143,2)="65",LEFT($B143,2)="66",LEFT($B143,2)="74",LEFT($B143,2)="73"),IF(E152&gt;=30,1,IF(E152&lt;13,ROUND('Reference Standards'!$H$11*(E152)+'Reference Standards'!$H$12,2),ROUND('Reference Standards'!$I$11*E152+'Reference Standards'!$I$12,2))),  IF(E152&gt;=16,1,IF(E152&lt;=9,ROUND('Reference Standards'!J$11*(E152)+'Reference Standards'!J$12,2),ROUND('Reference Standards'!K$11*E152+'Reference Standards'!K$12,2))))    ))</f>
        <v>0.8</v>
      </c>
      <c r="G152" s="320"/>
      <c r="H152" s="350"/>
      <c r="I152" s="352"/>
      <c r="J152" s="315"/>
    </row>
    <row r="153" spans="1:10" ht="15.6" x14ac:dyDescent="0.3">
      <c r="A153" s="316"/>
      <c r="B153" s="316" t="s">
        <v>350</v>
      </c>
      <c r="C153" s="13" t="s">
        <v>66</v>
      </c>
      <c r="D153" s="13"/>
      <c r="E153" s="42"/>
      <c r="F153" s="99" t="str">
        <f>IF(E153="","",ROUND(IF(E153&gt;0.7,0,IF(E153&lt;=0.1,1,E153^3*'Reference Standards'!H$15+E153^2*'Reference Standards'!H$16+E153*'Reference Standards'!H$17+'Reference Standards'!H$18)),2))</f>
        <v/>
      </c>
      <c r="G153" s="318">
        <f>IFERROR(ROUND(AVERAGE(F153:F156),2),"")</f>
        <v>0.8</v>
      </c>
      <c r="H153" s="351"/>
      <c r="I153" s="352"/>
      <c r="J153" s="315"/>
    </row>
    <row r="154" spans="1:10" ht="15.6" x14ac:dyDescent="0.3">
      <c r="A154" s="316"/>
      <c r="B154" s="316"/>
      <c r="C154" s="13" t="s">
        <v>47</v>
      </c>
      <c r="D154" s="13"/>
      <c r="E154" s="42"/>
      <c r="F154" s="28">
        <f>IF(ISNUMBER(E153),"", IF(AND(E153="",E154=""),IF(G140="Yes",1,0.8),IF(OR(E154="Ex/Ex",E154="Ex/VH"),0, IF(OR(E154="Ex/H",E154="VH/Ex",E154="VH/VH", E154="H/Ex",E154="H/VH",E154="M/Ex"),0.1,IF(OR(E154="Ex/M",E154="VH/H",E154="H/H", E154="M/VH"),0.2, IF(OR(E154="Ex/L",E154="VH/M",E154="H/M", E154="M/H",E154="L/Ex"),0.3, IF(OR(E154="Ex/VL",E154="VH/L",E154="H/L"),0.4, IF(OR(E154="VH/VL",E154="H/VL",E154="M/M", E154="L/VH"),0.5, IF(OR(E154="M/L",E154="L/H"),0.6, IF(OR(E154="M/VL",E154="L/M"),0.7, IF(OR(E154="L/L",E154="L/VL"),1)))))))))))</f>
        <v>0.8</v>
      </c>
      <c r="G154" s="319"/>
      <c r="H154" s="351"/>
      <c r="I154" s="352"/>
      <c r="J154" s="315"/>
    </row>
    <row r="155" spans="1:10" ht="15.6" x14ac:dyDescent="0.3">
      <c r="A155" s="316"/>
      <c r="B155" s="316"/>
      <c r="C155" s="14" t="s">
        <v>72</v>
      </c>
      <c r="D155" s="13"/>
      <c r="E155" s="42"/>
      <c r="F155" s="28">
        <f>IF(E155="",IF(G140="Yes",1,0.8),ROUND(IF(E155&gt;40,0,IF(E155&lt;5,1,E155^3*'Reference Standards'!H$21+E155^2*'Reference Standards'!H$22+E155*'Reference Standards'!H$23+'Reference Standards'!H$24)),2))</f>
        <v>0.8</v>
      </c>
      <c r="G155" s="319"/>
      <c r="H155" s="351"/>
      <c r="I155" s="352"/>
      <c r="J155" s="315"/>
    </row>
    <row r="156" spans="1:10" ht="15.6" x14ac:dyDescent="0.3">
      <c r="A156" s="316"/>
      <c r="B156" s="317"/>
      <c r="C156" s="14" t="s">
        <v>349</v>
      </c>
      <c r="D156" s="14"/>
      <c r="E156" s="44"/>
      <c r="F156" s="100">
        <f>IF(E156="",IF(G140="Yes",1,0.8),ROUND(IF(E156&gt;=30,0,IF(E156&lt;=0,1,E156*'Reference Standards'!H$27+'Reference Standards'!H$28)),2))</f>
        <v>0.8</v>
      </c>
      <c r="G156" s="320"/>
      <c r="H156" s="351"/>
      <c r="I156" s="352"/>
      <c r="J156" s="315"/>
    </row>
    <row r="157" spans="1:10" ht="15.6" x14ac:dyDescent="0.3">
      <c r="A157" s="316"/>
      <c r="B157" s="316" t="s">
        <v>48</v>
      </c>
      <c r="C157" s="15" t="s">
        <v>314</v>
      </c>
      <c r="D157" s="19"/>
      <c r="E157" s="36"/>
      <c r="F157" s="92">
        <f>IF(E157="",IF(G140="Yes",1,0.8),ROUND(IF(E157&gt;9.2,1,E157*'Reference Standards'!H$31+'Reference Standards'!H$32),2))</f>
        <v>0.8</v>
      </c>
      <c r="G157" s="307">
        <f>IFERROR(ROUND(AVERAGE(F157:F166),2),"")</f>
        <v>0.8</v>
      </c>
      <c r="H157" s="351"/>
      <c r="I157" s="352"/>
      <c r="J157" s="315"/>
    </row>
    <row r="158" spans="1:10" ht="15.6" x14ac:dyDescent="0.3">
      <c r="A158" s="316"/>
      <c r="B158" s="316"/>
      <c r="C158" s="17" t="s">
        <v>315</v>
      </c>
      <c r="D158" s="13"/>
      <c r="E158" s="40"/>
      <c r="F158" s="92">
        <f>IF(E158="",IF(G140="Yes",1,0.8),ROUND(IF(E158&gt;9.2,1,E158*'Reference Standards'!H$31+'Reference Standards'!H$32),2))</f>
        <v>0.8</v>
      </c>
      <c r="G158" s="308"/>
      <c r="H158" s="351"/>
      <c r="I158" s="352"/>
      <c r="J158" s="315"/>
    </row>
    <row r="159" spans="1:10" ht="15.6" x14ac:dyDescent="0.3">
      <c r="A159" s="316"/>
      <c r="B159" s="316"/>
      <c r="C159" s="17" t="s">
        <v>316</v>
      </c>
      <c r="D159" s="13"/>
      <c r="E159" s="40"/>
      <c r="F159" s="92">
        <f>IF(E159="",IF(G140="Yes",1,0.8),ROUND( IF(E159&gt;=200,1,IF(E159&lt;50, E159^2*'Reference Standards'!H$36+E159*'Reference Standards'!H$37+'Reference Standards'!H$38, E159*'Reference Standards'!I$37+'Reference Standards'!I$38)),2))</f>
        <v>0.8</v>
      </c>
      <c r="G159" s="308"/>
      <c r="H159" s="351"/>
      <c r="I159" s="352"/>
      <c r="J159" s="315"/>
    </row>
    <row r="160" spans="1:10" ht="15.6" x14ac:dyDescent="0.3">
      <c r="A160" s="316"/>
      <c r="B160" s="316"/>
      <c r="C160" s="17" t="s">
        <v>317</v>
      </c>
      <c r="D160" s="13"/>
      <c r="E160" s="40"/>
      <c r="F160" s="92">
        <f>IF(E160="",IF(G140="Yes",1,0.8),ROUND( IF(E160&gt;=200,1,IF(E160&lt;50, E160^2*'Reference Standards'!H$36+E160*'Reference Standards'!H$37+'Reference Standards'!H$38, E160*'Reference Standards'!I$37+'Reference Standards'!I$38)),2))</f>
        <v>0.8</v>
      </c>
      <c r="G160" s="308"/>
      <c r="H160" s="351"/>
      <c r="I160" s="352"/>
      <c r="J160" s="315"/>
    </row>
    <row r="161" spans="1:10" ht="15.6" x14ac:dyDescent="0.3">
      <c r="A161" s="316"/>
      <c r="B161" s="316"/>
      <c r="C161" s="13" t="s">
        <v>318</v>
      </c>
      <c r="D161" s="13"/>
      <c r="E161" s="40"/>
      <c r="F161" s="92">
        <f>IF(E161="",IF(G140="Yes",1,0.8),ROUND(IF(AND(E161&gt;=135,E161&lt;=262),1,IF(E161&gt;=366,0.5,IF(E161&lt;135,E161*'Reference Standards'!H$42+'Reference Standards'!H$43,E161*'Reference Standards'!I$42+'Reference Standards'!I$43))),2))</f>
        <v>0.8</v>
      </c>
      <c r="G161" s="308"/>
      <c r="H161" s="351"/>
      <c r="I161" s="352"/>
      <c r="J161" s="315"/>
    </row>
    <row r="162" spans="1:10" ht="15.6" x14ac:dyDescent="0.3">
      <c r="A162" s="316"/>
      <c r="B162" s="316"/>
      <c r="C162" s="13" t="s">
        <v>319</v>
      </c>
      <c r="D162" s="13"/>
      <c r="E162" s="40"/>
      <c r="F162" s="92">
        <f>IF(E162="",IF(G140="Yes",1,0.8),ROUND(IF(AND(E162&gt;=135,E162&lt;=262),1,IF(E162&gt;=366,0.5,IF(E162&lt;135,E162*'Reference Standards'!H$42+'Reference Standards'!H$43,E162*'Reference Standards'!I$42+'Reference Standards'!I$43))),2))</f>
        <v>0.8</v>
      </c>
      <c r="G162" s="308"/>
      <c r="H162" s="351"/>
      <c r="I162" s="352"/>
      <c r="J162" s="315"/>
    </row>
    <row r="163" spans="1:10" ht="15.6" x14ac:dyDescent="0.3">
      <c r="A163" s="316"/>
      <c r="B163" s="316"/>
      <c r="C163" s="13" t="s">
        <v>320</v>
      </c>
      <c r="D163" s="13"/>
      <c r="E163" s="40"/>
      <c r="F163" s="28">
        <f>IF(E163="",IF(G140="Yes",1,0.8),ROUND(IF(E163&gt;=75,1,IF(E163&lt;=0,0,E163*'Reference Standards'!H$46)),2))</f>
        <v>0.8</v>
      </c>
      <c r="G163" s="308"/>
      <c r="H163" s="351"/>
      <c r="I163" s="352"/>
      <c r="J163" s="315"/>
    </row>
    <row r="164" spans="1:10" ht="15.6" x14ac:dyDescent="0.3">
      <c r="A164" s="316"/>
      <c r="B164" s="316"/>
      <c r="C164" s="13" t="s">
        <v>321</v>
      </c>
      <c r="D164" s="13"/>
      <c r="E164" s="40"/>
      <c r="F164" s="28">
        <f>IF(E164="",IF(G140="Yes",1,0.8),ROUND(IF(E164&gt;=75,1,IF(E164&lt;=0,0,E164*'Reference Standards'!H$46)),2))</f>
        <v>0.8</v>
      </c>
      <c r="G164" s="308"/>
      <c r="H164" s="351"/>
      <c r="I164" s="352"/>
      <c r="J164" s="315"/>
    </row>
    <row r="165" spans="1:10" ht="15.6" x14ac:dyDescent="0.3">
      <c r="A165" s="316"/>
      <c r="B165" s="316"/>
      <c r="C165" s="13" t="s">
        <v>322</v>
      </c>
      <c r="D165" s="13"/>
      <c r="E165" s="40"/>
      <c r="F165" s="92">
        <f>IF(E165="",IF(G140="Yes",1,0.8),ROUND(IF(AND(E165&gt;=36.3,E165&lt;=68),1,IF(E165&gt;100,0,IF(E165&lt;36.3,(('Reference Standards'!H$51*(E165^2))+('Reference Standards'!H$52*E165)+'Reference Standards'!H$53),IF(E165&gt;68,(('Reference Standards'!I$51*(E165^2))+('Reference Standards'!I$52*E165)+'Reference Standards'!I$53))))),2))</f>
        <v>0.8</v>
      </c>
      <c r="G165" s="308"/>
      <c r="H165" s="351"/>
      <c r="I165" s="352"/>
      <c r="J165" s="315"/>
    </row>
    <row r="166" spans="1:10" ht="15.6" x14ac:dyDescent="0.3">
      <c r="A166" s="316"/>
      <c r="B166" s="317"/>
      <c r="C166" s="13" t="s">
        <v>323</v>
      </c>
      <c r="D166" s="20"/>
      <c r="E166" s="40"/>
      <c r="F166" s="92">
        <f>IF(E166="",IF(G140="Yes",1,0.8),ROUND(IF(AND(E166&gt;=36.3,E166&lt;=68),1,IF(E166&gt;100,0,IF(E166&lt;36.3,(('Reference Standards'!H$51*(E166^2))+('Reference Standards'!H$52*E166)+'Reference Standards'!H$53),IF(E166&gt;68,(('Reference Standards'!I$51*(E166^2))+('Reference Standards'!I$52*E166)+'Reference Standards'!I$53))))),2))</f>
        <v>0.8</v>
      </c>
      <c r="G166" s="309"/>
      <c r="H166" s="351"/>
      <c r="I166" s="352"/>
      <c r="J166" s="315"/>
    </row>
    <row r="167" spans="1:10" ht="15.6" x14ac:dyDescent="0.3">
      <c r="A167" s="316"/>
      <c r="B167" s="12" t="s">
        <v>87</v>
      </c>
      <c r="C167" s="26" t="s">
        <v>102</v>
      </c>
      <c r="D167" s="13"/>
      <c r="E167" s="7"/>
      <c r="F167" s="27" t="str">
        <f>IF(D143="Ephemeral","",IF(E167="","",IF(OR(D141="Cobble",D141="Gravel"),IF(E167&gt;0.1,1,IF(E167&lt;=0.01,0,ROUND(E167*'Reference Standards'!$H$56+'Reference Standards'!$H$57,2))))))</f>
        <v/>
      </c>
      <c r="G167" s="27" t="str">
        <f>IFERROR(ROUND(AVERAGE(F167),2),"")</f>
        <v/>
      </c>
      <c r="H167" s="351"/>
      <c r="I167" s="352"/>
      <c r="J167" s="315"/>
    </row>
    <row r="168" spans="1:10" ht="15.6" x14ac:dyDescent="0.3">
      <c r="A168" s="316"/>
      <c r="B168" s="321" t="s">
        <v>49</v>
      </c>
      <c r="C168" s="19" t="s">
        <v>50</v>
      </c>
      <c r="D168" s="19"/>
      <c r="E168" s="43"/>
      <c r="F168" s="102">
        <f>IF(D143="Ephemeral","",IF(AND(D141="Bedrock",E168=""),"",IF(E168="",IF(G140="Yes",1,0.8), IF(ISNUMBER($D142), IF($D142&lt;=2,IF(AND(E168&gt;=3,E168&lt;=5),1,IF(OR(E168&lt;=1,E168&gt;=7),0,ROUND(IF(E168&lt;3,E168*'Reference Standards'!H$61+'Reference Standards'!H$62,E168*'Reference Standards'!I$61+'Reference Standards'!I$62),2))),IF(E168&lt;=2.5,1,IF(E168&gt;=5.8,0,ROUND(E168*'Reference Standards'!H$65+'Reference Standards'!H$66,2))))))))</f>
        <v>0.8</v>
      </c>
      <c r="G168" s="307">
        <f>IFERROR(ROUND(AVERAGE(F168:F171),2),"")</f>
        <v>0.8</v>
      </c>
      <c r="H168" s="351"/>
      <c r="I168" s="352"/>
      <c r="J168" s="315"/>
    </row>
    <row r="169" spans="1:10" ht="15.6" x14ac:dyDescent="0.3">
      <c r="A169" s="316"/>
      <c r="B169" s="316"/>
      <c r="C169" s="13" t="s">
        <v>51</v>
      </c>
      <c r="D169" s="13"/>
      <c r="E169" s="42"/>
      <c r="F169" s="28">
        <f>IF(D143="Ephemeral","",IF(AND(D141="Bedrock",E169=""),"",IF(E169="",IF(G140="Yes",1,0.8),IF(E169&gt;=2.4,1,IF(E169&lt;=1,0,ROUND(IF(E169&lt;2.4,E169*'Reference Standards'!$H$70+'Reference Standards'!$H$71),2))))))</f>
        <v>0.8</v>
      </c>
      <c r="G169" s="308"/>
      <c r="H169" s="351"/>
      <c r="I169" s="352"/>
      <c r="J169" s="315"/>
    </row>
    <row r="170" spans="1:10" ht="15.6" x14ac:dyDescent="0.3">
      <c r="A170" s="316"/>
      <c r="B170" s="316"/>
      <c r="C170" s="13" t="s">
        <v>281</v>
      </c>
      <c r="D170" s="13"/>
      <c r="E170" s="42"/>
      <c r="F170" s="133">
        <f>IF(D143="Ephemeral","",IF(AND(D141="Bedrock",E168=""),"",IF(E170="",IF(G140="Yes",1,0.8),IF(LEFT($B143,2)="67",IF(AND(E170&gt;=45,E170&lt;=65),1,IF(OR(E170&lt;=20,E170&gt;=90),0,ROUND(IF(E170&lt;45,E170*'Reference Standards'!H$75+'Reference Standards'!H$76,E170*'Reference Standards'!I$75+'Reference Standards'!I$76),2))),IF(OR(LEFT($B143,2)="68",LEFT($B143,2)="69",LEFT($B143,2)="71"),IF(AND(E170&gt;=30,E170&lt;=50),1,IF(OR(E170&lt;=10,E170&gt;=70),0,ROUND(IF(E170&lt;30,E170*'Reference Standards'!H$80+'Reference Standards'!H$81,E170*'Reference Standards'!I$80+'Reference Standards'!I$81),2))),IF(LEFT($B143,2)="66",IF(AND(E170&gt;=20,E170&lt;=45),1,IF(OR(E170&lt;=0,E170&gt;=90),0,ROUND(IF(E170&lt;20,E170*'Reference Standards'!H$85+'Reference Standards'!H$86,E170*'Reference Standards'!I$85+'Reference Standards'!I$86),2))),IF(OR(LEFT($B143,2)="65",LEFT($B143,2)="74",LEFT($B143,2)="73"),IF(AND(E170&gt;=20,E170&lt;=30),1,IF(OR(E170&lt;=0,E170&gt;=50),0,ROUND(IF(E170&lt;20,E170*'Reference Standards'!H$90+'Reference Standards'!H$91,E170*'Reference Standards'!I$90+'Reference Standards'!I$91),2))))))))))</f>
        <v>0.8</v>
      </c>
      <c r="G170" s="308"/>
      <c r="H170" s="351"/>
      <c r="I170" s="352"/>
      <c r="J170" s="315"/>
    </row>
    <row r="171" spans="1:10" ht="15.6" x14ac:dyDescent="0.3">
      <c r="A171" s="316"/>
      <c r="B171" s="317"/>
      <c r="C171" s="17" t="s">
        <v>173</v>
      </c>
      <c r="D171" s="13"/>
      <c r="E171" s="44"/>
      <c r="F171" s="134" t="str">
        <f>IF(D143="Ephemeral","",IF(E171="","",IF(E171&gt;=1.6,0,IF(E171&lt;=1,1,ROUND('Reference Standards'!$H$94*E171^3+'Reference Standards'!$H$95*E171^2+'Reference Standards'!$H$96*E171+'Reference Standards'!$H$97,2)))))</f>
        <v/>
      </c>
      <c r="G171" s="309"/>
      <c r="H171" s="351"/>
      <c r="I171" s="352"/>
      <c r="J171" s="315"/>
    </row>
    <row r="172" spans="1:10" ht="15.6" x14ac:dyDescent="0.3">
      <c r="A172" s="317"/>
      <c r="B172" s="50" t="s">
        <v>53</v>
      </c>
      <c r="C172" s="69" t="s">
        <v>52</v>
      </c>
      <c r="D172" s="70"/>
      <c r="E172" s="68"/>
      <c r="F172" s="101">
        <f>IF(D143="Ephemeral","",IF(E172="",IF(G140="Yes",1,0.8),IF(AND(B142="E",$D141="Sand",G143="Unconfined Alluvial"),ROUND(IF(OR(E172&gt;1.8,E172&lt;1.3),0,IF(E172&lt;=1.6,1,E172*'Reference Standards'!H$100+'Reference Standards'!H$101)),2),    IF(G143="Unconfined Alluvial",ROUND(IF(OR(E172&lt;1.2, E172&gt;1.5),0,IF(E172&lt;=1.4,1,E172*'Reference Standards'!$H$104+'Reference Standards'!$H$105)),2), IF(G143="Confined Alluvial",ROUND(IF(E172&lt;1.15,0,IF(E172&lt;=1.4,E172*'Reference Standards'!$H$108+'Reference Standards'!$H$109,1)),2),  IF(G143="Colluvial",ROUND(IF(E172&gt;1.3,0,IF(E172&gt;1.2,E172*'Reference Standards'!$H$112+'Reference Standards'!$H$113,1)),2) ))))))</f>
        <v>0.8</v>
      </c>
      <c r="G172" s="28">
        <f>IFERROR(ROUND(AVERAGE(F172),2),"")</f>
        <v>0.8</v>
      </c>
      <c r="H172" s="351"/>
      <c r="I172" s="352"/>
      <c r="J172" s="315"/>
    </row>
    <row r="173" spans="1:10" ht="15.6" x14ac:dyDescent="0.3">
      <c r="A173" s="325" t="s">
        <v>55</v>
      </c>
      <c r="B173" s="22" t="s">
        <v>73</v>
      </c>
      <c r="C173" s="24" t="s">
        <v>285</v>
      </c>
      <c r="D173" s="24"/>
      <c r="E173" s="7"/>
      <c r="F173" s="103">
        <f>IF(D143="Ephemeral","",IF(E173="",IF(G140="Yes",1,0.8),ROUND(IF(E173&gt;=942,0,IF(E173&lt;=487,E173*'Reference Standards'!M$4+'Reference Standards'!M$5,E173*'Reference Standards'!$N$4+'Reference Standards'!$N$5)),2)))</f>
        <v>0.8</v>
      </c>
      <c r="G173" s="29">
        <f>IFERROR(ROUND(AVERAGE(F173),2),"")</f>
        <v>0.8</v>
      </c>
      <c r="H173" s="328">
        <f>IFERROR(ROUND(AVERAGE(G173:G176),2),"")</f>
        <v>0.8</v>
      </c>
      <c r="I173" s="357" t="str">
        <f>IF(H173="","",IF(H173&gt;0.69,"Functioning",IF(H173&gt;0.29,"Functioning At Risk",IF(H173&gt;-1,"Not Functioning"))))</f>
        <v>Functioning</v>
      </c>
      <c r="J173" s="315"/>
    </row>
    <row r="174" spans="1:10" ht="15.6" x14ac:dyDescent="0.3">
      <c r="A174" s="326"/>
      <c r="B174" s="79" t="s">
        <v>289</v>
      </c>
      <c r="C174" s="21" t="s">
        <v>288</v>
      </c>
      <c r="D174" s="21"/>
      <c r="E174" s="41"/>
      <c r="F174" s="104" t="str">
        <f>IF(D143="Ephemeral","",IF(E174="","",IF(OR($B143="65abei",$B143="65j",$B143="66d",$B143="66e",$B143="66ik",$B143="66f",$B143="66g",$B143="66j",$B143="68a",$B143="69de",$B143="74b",AND(OR($B143="67fhi",$B143="67g"),$D140&lt;=2),AND(OR($B143="68c",$B143="68d"),$G141="January - June")),IF(E174&gt;93,0,IF(E174&lt;13,1,ROUND('Reference Standards'!$M$9*E174^2+'Reference Standards'!$M$10*E174+'Reference Standards'!$M$11,2))),IF(OR(AND(OR($B143="67fhi",$B143="67g",$B143="71f",$B143="71g",$B143="71h"),$D140&gt;2),AND(OR($B143="68c",$B143="68d"),$G141="July - December"),$B143="73a",$B143="73b"),IF(E174&gt;94,0,IF(E174&lt;17,1,ROUND('Reference Standards'!$N$9*E174^2+'Reference Standards'!$N$10*E174+'Reference Standards'!$N$11,2))),IF(OR(AND(OR($B143="68b",$B143="71i"),$D140&gt;2),$B143="71e"),IF(E174&gt;91,0,IF(E174&lt;24,1,ROUND('Reference Standards'!$O$9*E174^2+'Reference Standards'!$O$10*E174+'Reference Standards'!$O$11,2))),IF(OR(AND(OR($B143="71f",$B143="71g",$B143="71h",$B143="71i"),$D140&lt;=2),AND($B143="74a",$D140&gt;2)),IF(E174&gt;95,0,IF(E174&lt;=36,1,ROUND('Reference Standards'!$P$9*E174^2+'Reference Standards'!$P$10*E174+'Reference Standards'!$P$11,2)))))))))</f>
        <v/>
      </c>
      <c r="G174" s="48" t="str">
        <f>IFERROR(ROUND(AVERAGE(F174),2),"")</f>
        <v/>
      </c>
      <c r="H174" s="329"/>
      <c r="I174" s="358"/>
      <c r="J174" s="315"/>
    </row>
    <row r="175" spans="1:10" ht="15.6" x14ac:dyDescent="0.3">
      <c r="A175" s="326"/>
      <c r="B175" s="22" t="s">
        <v>67</v>
      </c>
      <c r="C175" s="23" t="s">
        <v>240</v>
      </c>
      <c r="D175" s="23"/>
      <c r="E175" s="40"/>
      <c r="F175" s="104">
        <f>IF(ISNUMBER(E174),"",IF(D143="Ephemeral","",IF(E175="",IF(G140="Yes",1,0.8), IF(ISNUMBER($D140), IF(OR($B143="66e",$B143="66f",$B143="66g"),ROUND(IF(E175&gt;=0.61,0,IF(E175&lt;=0.01,1,IF(E175&lt;=0.06,E175*'Reference Standards'!$O$34+'Reference Standards'!$O$35,E175^2*'Reference Standards'!$M$33+E175*'Reference Standards'!$M$34+'Reference Standards'!$M$35))),2),IF($B143="68b",ROUND(IF(E175&gt;=1.1,0,IF(E175&lt;=0.17,1,IF(E175&lt;=0.22,E175*'Reference Standards'!$P$34+'Reference Standards'!$P$35,E175^2*'Reference Standards'!$N$33+E175*'Reference Standards'!$N$34+'Reference Standards'!$N$35))),2),IF($D140&lt;=2.5,IF($B143="69de",ROUND(IF(E175&gt;=0.22,0,IF(E175&lt;=0.01,1,E175^2*'Reference Standards'!$M$15+E175*'Reference Standards'!$M$16+'Reference Standards'!$M$17)),2),IF($B143="68c",ROUND(IF(E175&gt;=0.87,0,IF(E175&lt;=0.01,1,E175^2*'Reference Standards'!$N$15+E175*'Reference Standards'!$N$16+'Reference Standards'!$N$17)),2),IF($B143="68a",ROUND(IF(E175&gt;=0.81,0,IF(E175&lt;=0.01,1,E175^2*'Reference Standards'!$O$15+E175*'Reference Standards'!$O$16+'Reference Standards'!$O$17)),2),IF($B143="65abei",ROUND(IF(E175&gt;=0.67,0,IF(E175&lt;=0.01,1,IF(E175&lt;=0.18,E175*'Reference Standards'!$R$16+'Reference Standards'!$R$17,E175*'Reference Standards'!$P$16+'Reference Standards'!$P$17))),2),IF($B143="65j",ROUND(IF(E175&gt;=0.32,0,IF(E175&lt;=0.01,1,IF(E175&lt;=0.25,E175*'Reference Standards'!$S$16+'Reference Standards'!$S$17,E175*'Reference Standards'!$Q$16+'Reference Standards'!$Q$17))),2),IF($B143="71f",ROUND(IF(E175&gt;=3,0,IF(E175&lt;=0,1,IF(E175&lt;=0.01,0.7,E175^2*'Reference Standards'!$M$21+E175*'Reference Standards'!$M$22+'Reference Standards'!$M$23))),2),IF($B143="74a",ROUND(IF(E175&gt;=0.14,0,IF(E175&lt;=0.01,1,IF(E175&lt;=0.02,0.7,E175^2*'Reference Standards'!$N$21+E175*'Reference Standards'!$N$22+'Reference Standards'!$N$23))),2),IF(OR($B143="67fhi",$B143="67g"),ROUND(IF(E175&gt;=1.9,0,IF(E175&lt;=0.01,1,IF(E175&lt;=0.05,E175*'Reference Standards'!$Q$22+'Reference Standards'!$Q$23,E175^2*'Reference Standards'!$O$21+E175*'Reference Standards'!$O$22+'Reference Standards'!$O$23))),2),IF($B143="73a",ROUND(IF(E175&gt;=1.44,0,IF(E175&lt;=0.01,1,IF(E175&lt;=0.12,E175*'Reference Standards'!$R$22+'Reference Standards'!$R$23,E175^2*'Reference Standards'!$P$21+E175*'Reference Standards'!$P$22+'Reference Standards'!$P$23))),2),IF($B143="66d",ROUND(IF(E175&gt;=0.46,0,IF(E175&lt;=0.02,1,IF(E175&lt;=0.08,E175*'Reference Standards'!$Q$28+'Reference Standards'!$Q$29,E175^2*'Reference Standards'!$M$27+E175*'Reference Standards'!$M$28+'Reference Standards'!$M$29))),2),IF(OR($B143="71g",$B143="71h",$B143="71i"),ROUND(IF(E175&gt;=3,0,IF(E175&lt;=0.06,1,IF(E175&lt;=0.24,E175*'Reference Standards'!$R$28+'Reference Standards'!$R$29,E175^2*'Reference Standards'!$N$27+E175*'Reference Standards'!$N$28+'Reference Standards'!$N$29))),2),IF($B143="74b",ROUND(IF(E175&gt;=1.3,0,IF(E175&lt;=0.29,1,IF(E175&lt;=0.48,E175*'Reference Standards'!$S$28+'Reference Standards'!$S$29,E175^2*'Reference Standards'!$O$27+E175*'Reference Standards'!$O$28+'Reference Standards'!$O$29))),2),IF($B143="71e",ROUND(IF(E175&gt;=4.3,0,IF(E175&lt;=0.53,1,IF(E175&lt;=0.67,E175*'Reference Standards'!$T$28+'Reference Standards'!$T$29,E175^2*'Reference Standards'!$P$27+E175*'Reference Standards'!$P$28+'Reference Standards'!$P$29))),2)))))))))))))),IF($D140&gt;2.5,IF($B143="73a",ROUND(IF(E175&gt;=0.55,0,IF(E175&lt;=0,1,E175^2*'Reference Standards'!$M$39+E175*'Reference Standards'!$M$40+'Reference Standards'!$M$41)),2),IF($B143="68a",ROUND(IF(E175&gt;=0.54,0,IF(E175&lt;=0,1,IF(E175&lt;=0.01,0.85,E175^2*'Reference Standards'!$N$39+E175*'Reference Standards'!$N$40+'Reference Standards'!$N$41))),2),IF($B143="74a",ROUND(IF(E175&gt;=0.47,0,IF(E175&lt;=0.01,1,IF(E175&lt;=0.02,0.7,E175^2*'Reference Standards'!$O$39+E175*'Reference Standards'!$O$40+'Reference Standards'!$O$41))),2),IF($B143="69de",ROUND(IF(E175&gt;=0.26,0,IF(E175&lt;=0.01,1,IF(E175&lt;=0.02,0.85,E175^2*'Reference Standards'!$P$39+E175*'Reference Standards'!$P$40+'Reference Standards'!$P$41))),2),IF($B143="71f",ROUND(IF(E175&gt;=0.87,0,IF(E175&lt;=0.01,1,IF(E175&lt;=0.04,E175*'Reference Standards'!$Q$46+'Reference Standards'!$Q$47,E175^2*'Reference Standards'!$M$45+E175*'Reference Standards'!$M$46+'Reference Standards'!$M$47))),2),IF($B143="65abei",ROUND(IF(E175&gt;=0.82,0,IF(E175&lt;=0.01,1,IF(E175&lt;=0.06,E175*'Reference Standards'!$R$46+'Reference Standards'!$R$47,E175^2*'Reference Standards'!$N$45+E175*'Reference Standards'!$N$46+'Reference Standards'!$N$47))),2),IF($B143="65j",ROUND(IF(E175&gt;=0.33,0,IF(E175&lt;=0.03,1,IF(E175&lt;=0.09,E175*'Reference Standards'!$S$46+'Reference Standards'!$S$47,E175^2*'Reference Standards'!$O$45+E175*'Reference Standards'!$O$46+'Reference Standards'!$O$47))),2),IF($B143="68c",ROUND(IF(E175&gt;=0.7,0,IF(E175&lt;=0.07,1,IF(E175&lt;=0.12,E175*'Reference Standards'!$T$46+'Reference Standards'!$T$47,E175^2*'Reference Standards'!$P$45+E175*'Reference Standards'!$P$46+'Reference Standards'!$P$47))),2),IF(OR($B143="67fhi",$B143="67g"),ROUND(IF(E175&gt;=1.8,0,IF(E175&lt;=0.08,1,IF(E175&lt;=0.2,E175*'Reference Standards'!$Q$52+'Reference Standards'!$Q$53,E175^2*'Reference Standards'!$M$51+E175*'Reference Standards'!$M$52+'Reference Standards'!$M$53))),2),IF($B143="74b",ROUND(IF(E175&gt;=0.96,0,IF(E175&lt;=0.12,1,IF(E175&lt;=0.16,E175*'Reference Standards'!$R$52+'Reference Standards'!$R$53,E175^2*'Reference Standards'!$N$51+E175*'Reference Standards'!$N$52+'Reference Standards'!$N$53))),2),IF($B143="66d",ROUND(IF(E175&gt;=0.75,0,IF(E175&lt;=0.13,1,IF(E175&lt;=0.2,E175*'Reference Standards'!$S$52+'Reference Standards'!$S$53,E175^2*'Reference Standards'!$O$51+E175*'Reference Standards'!$O$52+'Reference Standards'!$O$53))),2),IF(OR($B143="71g",$B143="71h",$B143="71i"),ROUND(IF(E175&gt;=1.68,0,IF(E175&lt;=0.08,1,IF(E175&lt;=0.23,E175*'Reference Standards'!$T$52+'Reference Standards'!$T$53,E175^2*'Reference Standards'!$P$51+E175*'Reference Standards'!$P$52+'Reference Standards'!$P$53))),2),IF($B143="71e",ROUND(IF(E175&gt;=5.3,0,IF(E175&lt;=0.94,1,IF(E175&lt;=1.4,E175*'Reference Standards'!$Q$56+'Reference Standards'!$Q$57,E175^2*'Reference Standards'!$M$55+E175*'Reference Standards'!$M$56+'Reference Standards'!$M$57))),2))))))))))))))))))))))</f>
        <v>0.8</v>
      </c>
      <c r="G175" s="48">
        <f t="shared" ref="G175:G176" si="3">IFERROR(ROUND(AVERAGE(F175),2),"")</f>
        <v>0.8</v>
      </c>
      <c r="H175" s="329"/>
      <c r="I175" s="358"/>
      <c r="J175" s="315"/>
    </row>
    <row r="176" spans="1:10" ht="15.6" x14ac:dyDescent="0.3">
      <c r="A176" s="327"/>
      <c r="B176" s="78" t="s">
        <v>68</v>
      </c>
      <c r="C176" s="21" t="s">
        <v>239</v>
      </c>
      <c r="D176" s="21"/>
      <c r="E176" s="36"/>
      <c r="F176" s="103">
        <f>IF(ISNUMBER(E174),"", IF(D143="Ephemeral","",IF(E176="",IF(G140="Yes",1,0.8), IF(ISNUMBER($D140), IF($D140&gt;2.5,IF(OR($B143="71h",$B143="71i",$B143="73a",$B143="74a"),IF(E176&lt;=0.01,1,IF(OR($B143="71h",$B143="71i"),IF(E176&gt;0.37,0,ROUND(IF(E176&gt;0.03,'Reference Standards'!$M$73*E176^2+'Reference Standards'!$M$74*E176+'Reference Standards'!$M$75,'Reference Standards'!$Q$74*E176+'Reference Standards'!$Q$75),2)),IF($B143="73a",IF(E176&gt;0.405,0,ROUND(IF(E176&gt;0.046,'Reference Standards'!$N$73*E176^2+'Reference Standards'!$N$74*E176+'Reference Standards'!$N$75,'Reference Standards'!$R$74*E176+'Reference Standards'!$R$75),2)),IF($B143="74a",IF(E176&gt;0.3,0,ROUND(IF(E176&gt;0.052,'Reference Standards'!$O$73*E176^2+'Reference Standards'!$O$74*E176+'Reference Standards'!$O$75,'Reference Standards'!$S$74*E176+'Reference Standards'!$S$75),2)))))),IF(E176&lt;=0.002,1,IF(OR($B143="66d",$B143="66e",$B143="66g"),IF(E176&gt;0.053,0,ROUND(E176^2*'Reference Standards'!$M$61+E176*'Reference Standards'!$M$62+'Reference Standards'!$M$63,2)),IF($B143="68b",IF(E176&gt;0.05,0,ROUND(E176^2*'Reference Standards'!$N$61+E176*'Reference Standards'!$N$62+'Reference Standards'!$N$63,2)),IF(OR($B143="68a",$B143="68c"),IF(E176&gt;0.07,0,ROUND(E176^2*'Reference Standards'!$O$61+E176*'Reference Standards'!$O$62+'Reference Standards'!$O$63,2)),IF(OR($B143="71f",$B143="71g"),IF(E176&gt;0.13,0,ROUND(IF(E176&gt;0.042,E176*'Reference Standards'!$P$62+'Reference Standards'!$P$63,E176*'Reference Standards'!$Q$62+'Reference Standards'!$Q$63),2)),IF($B143="67fhi",IF(E176&gt;0.16,0,ROUND(E176^2*'Reference Standards'!$R$61+E176*'Reference Standards'!$R$62+'Reference Standards'!$R$63,2)),IF($B143="65j",IF(E176&gt;0.035,0,ROUND(IF(E176&lt;=0.003,0.7,E176^2*'Reference Standards'!$M$67+E176*'Reference Standards'!$M$68+'Reference Standards'!$M$69),2)),IF($B143="69de",IF(E176&gt;0.037,0,ROUND(IF(E176&lt;=0.003,0.7,E176^2*'Reference Standards'!$N$67+E176*'Reference Standards'!$N$68+'Reference Standards'!$N$69),2)),IF($B143="71e",IF(E176&gt;0.23,0,ROUND(IF(E176&lt;=0.003,0.7,E176^2*'Reference Standards'!$O$67+E176*'Reference Standards'!$O$68+'Reference Standards'!$O$69),2)),IF($B143="66f",IF(E176&gt;0.06,0,ROUND(IF(E176&lt;=0.003,0.85,IF(E176&lt;=0.004,0.7,E176^2*'Reference Standards'!$P$67+E176*'Reference Standards'!$P$68+'Reference Standards'!$P$69)),2)),IF($B143="67g",IF(E176&gt;0.11,0,ROUND(IF(E176&lt;=0.01,E176*'Reference Standards'!$S$68+'Reference Standards'!$S$69,E176^2*'Reference Standards'!$Q$67+E176*'Reference Standards'!$Q$68+'Reference Standards'!$Q$69),2)),IF($B143="74b",IF(E176&gt;0.49,0,ROUND(IF(E176&lt;=0.01,E176*'Reference Standards'!$S$68+'Reference Standards'!$S$69,E176^2*'Reference Standards'!$R$67+E176*'Reference Standards'!$R$68+'Reference Standards'!$R$69),2)),IF($B143="65abei",IF(E176&gt;0.199,0,ROUND(IF(E176&lt;=0.01,E176*'Reference Standards'!$T$74+'Reference Standards'!$T$75,E176^2*'Reference Standards'!$P$73+E176*'Reference Standards'!$P$74+'Reference Standards'!$P$75),2)))))))))))))))),IF($D140&lt;=2.5,IF(OR($B143="66d",$B143="66e",$B143="66g"),IF(E176&gt;0.05,0,ROUND(IF(E176&lt;=0.002,1,IF(E176&lt;=0.005,E176*'Reference Standards'!$Q$80+'Reference Standards'!$Q$81,E176^2*'Reference Standards'!$M$79+E176*'Reference Standards'!$M$80+'Reference Standards'!$M$81)),2)),IF($B143="67fhi",IF(E176&gt;0.1,0,ROUND(IF(E176&lt;=0.002,1,IF(E176&lt;=0.006,E176*'Reference Standards'!$R$80+'Reference Standards'!$R$81,E176^2*'Reference Standards'!$N$79+E176*'Reference Standards'!$N$80+'Reference Standards'!$N$81)),2)),IF($B143="65abei",IF(E176&gt;0.13,0,ROUND(IF(E176&lt;=0.003,1,IF(E176&lt;=0.008,E176*'Reference Standards'!$S$80+'Reference Standards'!$S$81,E176^2*'Reference Standards'!$O$79+E176*'Reference Standards'!$O$80+'Reference Standards'!$O$81)),2)),IF($B143="68b",IF(E176&gt;0.043,0,ROUND(IF(E176&lt;=0.004,1,IF(E176&lt;=0.005,0.7,E176^2*'Reference Standards'!$P$79+E176*'Reference Standards'!$P$80+'Reference Standards'!$P$81)),2)),IF($B143="69de",IF(E176&gt;=0.034,0,ROUND(IF(E176&lt;=0.003,1,IF(E176&lt;=0.006,E176*'Reference Standards'!$R$85+'Reference Standards'!$R$86,E176*'Reference Standards'!$M$85+'Reference Standards'!$M$86)),2)),IF(OR($B143="68a",$B143="68c"),IF(E176&gt;0.202,0,ROUND(IF(E176&lt;=0.003,1,IF(E176&lt;=0.006,E176*'Reference Standards'!$R$85+'Reference Standards'!$R$86,IF(E176&gt;=0.04,E176*'Reference Standards'!$N$85+'Reference Standards'!$N$86,E176*'Reference Standards'!$P$85+'Reference Standards'!$P$86))),2)),IF(OR($B143="71f",$B143="71g"),IF(E176&gt;0.631,0,ROUND(IF(E176&lt;=0.003,1,IF(E176&lt;=0.006,E176*'Reference Standards'!$R$85+'Reference Standards'!$R$86,IF(E176&gt;=0.17,E176*'Reference Standards'!$O$85+'Reference Standards'!$O$86,E176*'Reference Standards'!$Q$85+'Reference Standards'!$Q$86))),2)),IF($B143="71e",IF(E176&gt;1.23,0,ROUND(IF(E176&lt;=0.004,1,IF(E176&lt;=0.006,E176*'Reference Standards'!$Q$91+'Reference Standards'!$Q$92,E176^2*'Reference Standards'!$M$90+E176*'Reference Standards'!$M$91+'Reference Standards'!$M$92)),2)),IF($B143="67g",IF(E176&gt;0.11,0,ROUND(IF(E176&lt;=0.006,1,IF(E176&lt;=0.011,E176*'Reference Standards'!$R$91+'Reference Standards'!$R$92,E176^2*'Reference Standards'!$N$90+E176*'Reference Standards'!$N$91+'Reference Standards'!$N$92)),2)),IF($B143="65j",IF(E176&gt;0.046,0,ROUND(IF(E176&lt;=0.007,1,IF(E176&lt;=0.012,E176*'Reference Standards'!$S$91+'Reference Standards'!$S$92,E176^2*'Reference Standards'!$O$90+E176*'Reference Standards'!$O$91+'Reference Standards'!$O$92)),2)),IF($B143="66f",IF(E176&gt;0.081,0,ROUND(IF(E176&lt;=0.008,1,IF(E176&lt;=0.011,E176*'Reference Standards'!$T$91+'Reference Standards'!$T$92,E176^2*'Reference Standards'!$P$90+E176*'Reference Standards'!$P$91+'Reference Standards'!$P$92)),2)),IF(OR($B143="71h",$B143="71i"),IF(E176&gt;0.37,0,ROUND(IF(E176&lt;=0.013,1,IF(E176&lt;=0.032,E176*'Reference Standards'!$S$98+'Reference Standards'!$S$99,IF(E176&lt;=0.3,E176*'Reference Standards'!$Q$98+'Reference Standards'!$Q$99,E176*'Reference Standards'!$M$98+'Reference Standards'!$M$99))),2)),IF($B143="73a",IF(E176&gt;0.448,0,ROUND(IF(E176&lt;=0.071,1,IF(E176&lt;=0.086,E176*'Reference Standards'!$U$98+'Reference Standards'!$U$99,IF(E176&lt;=0.165,E176*'Reference Standards'!$R$98+'Reference Standards'!$R$99,E176*'Reference Standards'!$P$98+'Reference Standards'!$P$99))),2)),IF($B143="74b",IF(E176&gt;0.43,0,ROUND(IF(E176&lt;=0.018,1,IF(E176&lt;=0.019,0.85,IF(E176&lt;=0.02,0.7,E176^2*'Reference Standards'!$N$97+E176*'Reference Standards'!$N$98+'Reference Standards'!$N$99))),2)),IF($B143="74a",IF(E176&gt;0.217,0,ROUND(IF(E176&lt;=0.02,1,IF(E176&lt;=0.033,E176*'Reference Standards'!$T$98+'Reference Standards'!$T$99,E176^2*'Reference Standards'!$O$97+E176*'Reference Standards'!$O$98+'Reference Standards'!$O$99)),2)))))))))))))))))))))))</f>
        <v>0.8</v>
      </c>
      <c r="G176" s="48">
        <f t="shared" si="3"/>
        <v>0.8</v>
      </c>
      <c r="H176" s="330"/>
      <c r="I176" s="359"/>
      <c r="J176" s="315"/>
    </row>
    <row r="177" spans="1:10" ht="15.6" x14ac:dyDescent="0.3">
      <c r="A177" s="333" t="s">
        <v>56</v>
      </c>
      <c r="B177" s="341" t="s">
        <v>287</v>
      </c>
      <c r="C177" s="33" t="s">
        <v>278</v>
      </c>
      <c r="D177" s="34"/>
      <c r="E177" s="43"/>
      <c r="F177" s="105">
        <f>IF(OR(D143="Ephemeral",AND(E178&lt;&gt;"",E179&lt;&gt;"",E180&lt;&gt;"")),"",IF(E177="",IF(G140="Yes",1,0.8),IF(OR(B143="73a",B143="73b"),IF(E177&lt;1,0,IF(E177&gt;=30,1,ROUND(IF(E177&lt;22,'Reference Standards'!$W$4*E177+'Reference Standards'!$W$5,'Reference Standards'!$X$4*E177+'Reference Standards'!$X$5),2))), IF(E177&lt;1,0, IF(E177&gt;=42,1, ROUND(IF(E177&lt;32,'Reference Standards'!$Y$4*E177+'Reference Standards'!$Y$5,'Reference Standards'!$Z$4*E177+'Reference Standards'!$Z$5),2))))))</f>
        <v>0.8</v>
      </c>
      <c r="G177" s="356">
        <f>IFERROR(ROUND(AVERAGE(F177:F180),2),"")</f>
        <v>0.8</v>
      </c>
      <c r="H177" s="336">
        <f>IFERROR(ROUND(AVERAGE(G177:G182),2),"")</f>
        <v>0.8</v>
      </c>
      <c r="I177" s="314" t="str">
        <f>IF(H177="","",IF(H177&gt;0.69,"Functioning",IF(H177&gt;0.29,"Functioning At Risk",IF(H177&gt;-1,"Not Functioning"))))</f>
        <v>Functioning</v>
      </c>
      <c r="J177" s="315"/>
    </row>
    <row r="178" spans="1:10" ht="15.6" x14ac:dyDescent="0.3">
      <c r="A178" s="334"/>
      <c r="B178" s="342"/>
      <c r="C178" s="45" t="s">
        <v>282</v>
      </c>
      <c r="D178" s="46"/>
      <c r="E178" s="42"/>
      <c r="F178" s="106" t="str">
        <f>IF(D143="Ephemeral","",IF(E178="","",IF(AND($B143="74b",$D140&lt;=2),IF(E178&lt;0,0,IF(E178&gt;15.6,0.69,ROUND('Reference Standards'!$W$9*E178^2+'Reference Standards'!$W$10*E178+'Reference Standards'!$W$11,2))),IF(AND($B143="65abei",$D140&lt;=2),IF(E178&lt;0,0,IF(E178&gt;=20,0.69,ROUND('Reference Standards'!$X$9*E178^2+'Reference Standards'!$X$10*E178+'Reference Standards'!$X$11,2))),IF(OR(AND($B143="74a",$D$2&gt;2,$G141="January - June"),AND($B143="71i",$D140&gt;2,$G142="SQBANK")),IF(E178&lt;0,0,IF(E178&gt;24.7,0.69,ROUND('Reference Standards'!$Y$9*E178^2+'Reference Standards'!$Y$10*E178+'Reference Standards'!$Y$11,2))),IF(OR($B143="74b",$B143="65abei"),IF(E178&lt;0,0,IF(E178&gt;32.7,0.69,ROUND('Reference Standards'!$Z$9*E178^2+'Reference Standards'!$Z$10*E178+'Reference Standards'!$Z$11,2))),IF(AND($B143="68b",$D140&gt;2),IF(E178&lt;0,0,IF(E178&gt;41.2,0.69,ROUND('Reference Standards'!$AA$9*E178^2+'Reference Standards'!$AA$10*E178+'Reference Standards'!$AA$11,2))),IF(OR(AND($B143="71i",$D140&lt;=2),AND(OR($B143="68c",$B143="68d"),$G141="January - June")),IF(E178&lt;0,0,IF(E178&gt;49.2,0.69,ROUND('Reference Standards'!$W$15*E178^2+'Reference Standards'!$W$16*E178+'Reference Standards'!$W$17,2))),IF(OR(AND($B143="68a",$G141="January - June"),AND(OR($B143="68c",$B143="68d"),$G141="July - December")),IF(E178&lt;0,0,IF(E178&gt;53.4,0.69,ROUND('Reference Standards'!$X$15*E178^2+'Reference Standards'!$X$16*E178+'Reference Standards'!$X$17,2))),IF(OR(AND($B143="71i",$D140&gt;2,$G142="SQKICK"),AND(OR($B143="67fhi",$B143="67g"),$D140&lt;=2),$B143="65j"),IF(E178&lt;0,0,IF(E178&gt;57.8,0.69,ROUND('Reference Standards'!$Y$15*E178^2+'Reference Standards'!$Y$16*E178+'Reference Standards'!$Y$17,2))),IF(OR(AND($B143="74a",$D140&gt;2,$G141="July - December"),AND(OR($B143="67fhi",$B143="67g"),$D140&gt;2),$B143="69de"),IF(E178&lt;0,0,IF(E178&gt;62.5,0.69,ROUND('Reference Standards'!$Z$15*E178^2+'Reference Standards'!$Z$16*E178+'Reference Standards'!$Z$17,2))),  IF(OR($B143="66d",$B143="66e",$B143="66ik",$B143="71e",$B143="71f",$B143="71g",$B143="71h"),IF(E178&lt;0,0,IF(E178&gt;66.5,0.69,ROUND('Reference Standards'!$AA$15*E178^2+'Reference Standards'!$AA$16*E178+'Reference Standards'!$AA$17,2))),IF(OR($B143="66f",$B143="66g",$B143="66j",AND($B143="68a",$G141="July - December")), IF(E178&lt;0,0,IF(E178&gt;69,0.69,ROUND('Reference Standards'!$AB$15*E178^2+'Reference Standards'!$AB$16*E178+'Reference Standards'!$AB$17,2))))   ))))))))))))</f>
        <v/>
      </c>
      <c r="G178" s="356"/>
      <c r="H178" s="336"/>
      <c r="I178" s="314"/>
      <c r="J178" s="315"/>
    </row>
    <row r="179" spans="1:10" ht="15.6" x14ac:dyDescent="0.3">
      <c r="A179" s="334"/>
      <c r="B179" s="342"/>
      <c r="C179" s="45" t="s">
        <v>286</v>
      </c>
      <c r="D179" s="46"/>
      <c r="E179" s="42"/>
      <c r="F179" s="106" t="str">
        <f>IF(D143="Ephemeral","",IF(E179="","",IF(AND($B143="74b",$D140&lt;=2),IF(E179&lt;0,0,IF(E179&gt;8.1,0.69,ROUND('Reference Standards'!$W$21*E179^2+'Reference Standards'!$W$22*E179+'Reference Standards'!$W$23,2))),IF(OR($B143="73a",$B143="73b"),IF(E179&lt;0,0,IF(E179&gt;=28,0.69,ROUND('Reference Standards'!$X$21*E179^2+'Reference Standards'!$X$22*E179+'Reference Standards'!$X$23,2))),IF(AND($B143="74a",$D140&gt;2,$G141="January - June"),IF(E179&lt;0,0,IF(E179&gt;=32.5,0.69,ROUND('Reference Standards'!$Y$21*E179^2+'Reference Standards'!$Y$22*E179+'Reference Standards'!$Y$23,2))),IF(AND($B143="71i",$D140&gt;2,$G142="SQBANK"),IF(E179&lt;0,0,IF(E179&gt;=37,0.69,ROUND('Reference Standards'!$Z$21*E179^2+'Reference Standards'!$Z$22*E179+'Reference Standards'!$Z$23,2))),IF(OR(AND(OR($B143="65abei",$B143="74b"),$D140&gt;2),AND($B143="71i",$D140&gt;2,$G142="SQKICK")),IF(E179&lt;0,0,IF(E179&gt;42.6,0.69,ROUND('Reference Standards'!$AA$21*E179^2+'Reference Standards'!$AA$22*E179+'Reference Standards'!$AA$23,2))),     IF(OR(AND($B143="65abei",$D140&lt;=2),AND(OR($B143="68c",$B143="68d"),$G141="July - December"),$B143="71e"),IF(E179&lt;0,0,IF(E179&gt;=48,0.69,ROUND('Reference Standards'!$W$27*E179^2+'Reference Standards'!$W$28*E179+'Reference Standards'!$W$29,2))),IF(OR($B143="65j",$B143="67fhi",$B143="67g",AND($B143="74a",$G141="July - December",$D140&gt;2),AND($B143="71i",$D140&lt;=2)),IF(E179&lt;0,0,IF(E179&gt;=53,0.69,ROUND('Reference Standards'!$X$27*E179^2+'Reference Standards'!$X$28*E179+'Reference Standards'!$X$29,2))),IF(OR(AND(OR($B143="68b",$B143="71f",$B143="71g",$B143="71h"),$D140&gt;2),$B143="68a"),IF(E179&lt;0,0,IF(E179&gt;=57,0.69,ROUND('Reference Standards'!$Y$27*E179^2+'Reference Standards'!$Y$28*E179+'Reference Standards'!$Y$29,2))),IF(OR($B143="66f",$B143="66g",$B143="66j",AND(OR($B143="71f",$B143="71g",$B143="71h"),$D140&lt;=2)),IF(E179&lt;0,0,IF(E179&gt;=60,0.69,ROUND('Reference Standards'!$Z$27*E179^2+'Reference Standards'!$Z$28*E179+'Reference Standards'!$Z$29,2))),  IF(OR($B143="66d",$B143="66e",$B143="66ik", AND(OR($B143="68c",$B143="68d"),$G141="January - June"),AND($B143="69de",$G141="July - December")),IF(E179&lt;0,0,IF(E179&gt;=67.5,0.69,ROUND('Reference Standards'!$AA$27*E179^2+'Reference Standards'!$AA$28*E179+'Reference Standards'!$AA$29,2))),IF(AND($B143="69de",$G141="January - June"), IF(E179&lt;0,0,IF(E179&gt;=72,0.69,ROUND('Reference Standards'!$AB$27*E179^2+'Reference Standards'!$AB$28*E179+'Reference Standards'!$AB$29,2))))   ))))))))))))</f>
        <v/>
      </c>
      <c r="G179" s="356"/>
      <c r="H179" s="336"/>
      <c r="I179" s="314"/>
      <c r="J179" s="315"/>
    </row>
    <row r="180" spans="1:10" ht="15.6" x14ac:dyDescent="0.3">
      <c r="A180" s="334"/>
      <c r="B180" s="343"/>
      <c r="C180" s="35" t="s">
        <v>283</v>
      </c>
      <c r="D180" s="25"/>
      <c r="E180" s="44"/>
      <c r="F180" s="106" t="str">
        <f>IF(D143="Ephemeral","",IF(E180="","",IF(OR($B143="67fhi",$B143="67g",$B143="71e",$B143="73a",$B143="73b",AND(OR($B143="71f",$B143="71g",$B143="71h"),$D140&gt;2)),IF(E180&gt;100,0,IF(E180&lt;15,0.69,ROUND('Reference Standards'!$W$33*E180^2+'Reference Standards'!$W$34*E180+'Reference Standards'!$W$35,2))),  IF(OR($B143="66d",$B143="66e",$B143="66ik",$B143="66f",$B143="66g",$B143="66j",$B143="68a",$B143="68c",$B143="68d",AND($B143="69de",$G141="July - December"), AND($B143="71i",$D140&lt;=2), AND($B143="71i",$D140&gt;2,$G142="SQBANK" ), AND($B143="74a",$D140&gt;2,$G141="July - December") ),IF(E180&gt;100,0,IF(E180&lt;19,0.69,ROUND('Reference Standards'!$X$33*E180^2+'Reference Standards'!$X$34*E180+'Reference Standards'!$X$35,2))),    IF(OR(AND($B143="69de",$G141="January - June"),AND($B143="71i",$D140&gt;2,$G142="SQKICK" )),IF(E180&gt;100,0,IF(E180&lt;22,0.69,ROUND('Reference Standards'!$Y$33*E180^2+'Reference Standards'!$Y$34*E180+'Reference Standards'!$Y$35,2))),    IF(OR($B143="65j",AND($B143="68b",$D140&gt;2)),IF(E180&gt;100,0,IF(E180&lt;24,0.69,ROUND('Reference Standards'!$Z$33*E180^2+'Reference Standards'!$Z$34*E180+'Reference Standards'!$Z$35,2))),    IF(AND(OR($B143="65abei",$B143="71f",$B143="71g",$B143="71h"),$D140&lt;=2),IF(E180&gt;95,0,IF(E180&lt;33,0.69,ROUND('Reference Standards'!$W$39*E180^2+'Reference Standards'!$W$40*E180+'Reference Standards'!$W$41,2))),   IF(AND(OR($B143="65abei",$B143="74b"),$D140&gt;2),IF(E180&gt;97,0,IF(E180&lt;36,0.69,ROUND('Reference Standards'!$X$39*E180^2+'Reference Standards'!$X$40*E180+'Reference Standards'!$X$41,2))),  IF(AND($B143="74a",$G141="January - June",$D140&gt;2),IF(E180&gt;93,0,IF(E180&lt;52,0.69,ROUND('Reference Standards'!$Y$39*E180^2+'Reference Standards'!$Y$40*E180+'Reference Standards'!$Y$41,2))),   IF(AND($B143="74b",$D140&lt;=2),IF(E180&gt;97,0,IF(E180&lt;62,0.69,ROUND('Reference Standards'!$Z$39*E180^2+'Reference Standards'!$Z$40*E180+'Reference Standards'!$Z$41,2)))  ))))))))))</f>
        <v/>
      </c>
      <c r="G180" s="356"/>
      <c r="H180" s="336"/>
      <c r="I180" s="314"/>
      <c r="J180" s="315"/>
    </row>
    <row r="181" spans="1:10" ht="15.6" x14ac:dyDescent="0.3">
      <c r="A181" s="334"/>
      <c r="B181" s="337" t="s">
        <v>65</v>
      </c>
      <c r="C181" s="33" t="s">
        <v>174</v>
      </c>
      <c r="D181" s="34"/>
      <c r="E181" s="36"/>
      <c r="F181" s="105" t="str">
        <f>IF(D143="Ephemeral","",IF(E181="","",IF(E181=1,0.15,IF(E181=3,0.5,IF(E181=5,0.85,0)))))</f>
        <v/>
      </c>
      <c r="G181" s="338" t="str">
        <f>IFERROR(ROUND(AVERAGE(F181:F182),2),"")</f>
        <v/>
      </c>
      <c r="H181" s="336"/>
      <c r="I181" s="314"/>
      <c r="J181" s="315"/>
    </row>
    <row r="182" spans="1:10" ht="15.6" x14ac:dyDescent="0.3">
      <c r="A182" s="335"/>
      <c r="B182" s="337"/>
      <c r="C182" s="35" t="s">
        <v>279</v>
      </c>
      <c r="D182" s="25"/>
      <c r="E182" s="41"/>
      <c r="F182" s="107" t="str">
        <f>IF(D143="Ephemeral","",IF(E182="","",IF(E182=1,0.15,IF(E182=3,0.5,IF(E182=5,0.85,0)))))</f>
        <v/>
      </c>
      <c r="G182" s="339"/>
      <c r="H182" s="336"/>
      <c r="I182" s="314"/>
      <c r="J182" s="315"/>
    </row>
    <row r="183" spans="1:10" ht="5.4" customHeight="1" x14ac:dyDescent="0.3"/>
    <row r="184" spans="1:10" ht="5.4" customHeight="1" x14ac:dyDescent="0.3"/>
    <row r="185" spans="1:10" ht="21" customHeight="1" x14ac:dyDescent="0.3">
      <c r="A185" s="296" t="s">
        <v>295</v>
      </c>
      <c r="B185" s="297"/>
      <c r="C185" s="297"/>
      <c r="D185" s="297"/>
      <c r="E185" s="297"/>
      <c r="F185" s="297"/>
      <c r="G185" s="297"/>
      <c r="H185" s="297"/>
      <c r="I185" s="297"/>
      <c r="J185" s="298"/>
    </row>
    <row r="186" spans="1:10" ht="16.2" customHeight="1" x14ac:dyDescent="0.3">
      <c r="A186" s="6" t="s">
        <v>85</v>
      </c>
      <c r="B186" s="7"/>
      <c r="C186" s="6" t="s">
        <v>15</v>
      </c>
      <c r="D186" s="7"/>
      <c r="E186" s="165" t="s">
        <v>387</v>
      </c>
      <c r="F186" s="168"/>
      <c r="G186" s="166"/>
      <c r="H186" s="299" t="s">
        <v>367</v>
      </c>
      <c r="I186" s="300"/>
      <c r="J186" s="7"/>
    </row>
    <row r="187" spans="1:10" ht="16.2" customHeight="1" x14ac:dyDescent="0.3">
      <c r="A187" s="6" t="s">
        <v>86</v>
      </c>
      <c r="B187" s="39"/>
      <c r="C187" s="6" t="s">
        <v>371</v>
      </c>
      <c r="D187" s="39"/>
      <c r="E187" s="6" t="s">
        <v>94</v>
      </c>
      <c r="F187" s="6"/>
      <c r="G187" s="39"/>
      <c r="H187" s="299" t="s">
        <v>368</v>
      </c>
      <c r="I187" s="300"/>
      <c r="J187" s="7"/>
    </row>
    <row r="188" spans="1:10" ht="16.2" customHeight="1" x14ac:dyDescent="0.3">
      <c r="A188" s="6" t="s">
        <v>365</v>
      </c>
      <c r="B188" s="39"/>
      <c r="C188" s="6" t="s">
        <v>372</v>
      </c>
      <c r="D188" s="7"/>
      <c r="E188" s="331" t="s">
        <v>150</v>
      </c>
      <c r="F188" s="331"/>
      <c r="G188" s="39"/>
      <c r="H188" s="299" t="s">
        <v>369</v>
      </c>
      <c r="I188" s="300"/>
      <c r="J188" s="7"/>
    </row>
    <row r="189" spans="1:10" ht="16.2" customHeight="1" x14ac:dyDescent="0.3">
      <c r="A189" s="6" t="s">
        <v>290</v>
      </c>
      <c r="B189" s="39"/>
      <c r="C189" s="6" t="s">
        <v>351</v>
      </c>
      <c r="D189" s="39"/>
      <c r="E189" s="332" t="s">
        <v>260</v>
      </c>
      <c r="F189" s="332"/>
      <c r="G189" s="39"/>
      <c r="H189" s="299" t="s">
        <v>370</v>
      </c>
      <c r="I189" s="300"/>
      <c r="J189" s="7"/>
    </row>
    <row r="190" spans="1:10" ht="8.4" customHeight="1" x14ac:dyDescent="0.3">
      <c r="H190" s="3"/>
      <c r="I190" s="110"/>
      <c r="J190" s="3"/>
    </row>
    <row r="191" spans="1:10" ht="21" x14ac:dyDescent="0.4">
      <c r="A191" s="301" t="s">
        <v>54</v>
      </c>
      <c r="B191" s="302"/>
      <c r="C191" s="302"/>
      <c r="D191" s="302"/>
      <c r="E191" s="302"/>
      <c r="F191" s="303"/>
      <c r="G191" s="304" t="s">
        <v>16</v>
      </c>
      <c r="H191" s="304"/>
      <c r="I191" s="304"/>
      <c r="J191" s="304"/>
    </row>
    <row r="192" spans="1:10" ht="15.6" x14ac:dyDescent="0.3">
      <c r="A192" s="8" t="s">
        <v>1</v>
      </c>
      <c r="B192" s="8" t="s">
        <v>2</v>
      </c>
      <c r="C192" s="305" t="s">
        <v>3</v>
      </c>
      <c r="D192" s="306"/>
      <c r="E192" s="8" t="s">
        <v>13</v>
      </c>
      <c r="F192" s="37" t="s">
        <v>14</v>
      </c>
      <c r="G192" s="8" t="s">
        <v>17</v>
      </c>
      <c r="H192" s="8" t="s">
        <v>18</v>
      </c>
      <c r="I192" s="111" t="s">
        <v>18</v>
      </c>
      <c r="J192" s="8" t="s">
        <v>296</v>
      </c>
    </row>
    <row r="193" spans="1:10" ht="15.75" customHeight="1" x14ac:dyDescent="0.3">
      <c r="A193" s="310" t="s">
        <v>57</v>
      </c>
      <c r="B193" s="94" t="s">
        <v>71</v>
      </c>
      <c r="C193" s="9" t="s">
        <v>313</v>
      </c>
      <c r="D193" s="9"/>
      <c r="E193" s="40"/>
      <c r="F193" s="138">
        <f>IF(E193="", IF(G186="Yes",1,0.8),IF(E193&lt;=0,0,IF(E193&gt;=0.95,1,ROUND('Reference Standards'!B$3*E193+'Reference Standards'!B$4,2))))</f>
        <v>0.8</v>
      </c>
      <c r="G193" s="135">
        <f>IFERROR(ROUND(AVERAGE(F193),2),"")</f>
        <v>0.8</v>
      </c>
      <c r="H193" s="312">
        <f>IFERROR(ROUND(AVERAGE(G193:G194),2),"")</f>
        <v>0.8</v>
      </c>
      <c r="I193" s="314" t="str">
        <f>IF(H193="","",IF(H193&gt;0.69,"Functioning",IF(H193&gt;0.29,"Functioning At Risk",IF(H193&gt;-1,"Not Functioning"))))</f>
        <v>Functioning</v>
      </c>
      <c r="J193" s="315">
        <f>IF(AND(H193="",H195="",H197="",H219="",H223=""),"",ROUND((IF(H193="",0,H193)*0.2),2)+ROUND((IF(H195="",0,H195)*0.2),2)+ROUND((IF(H197="",0,H197)*0.2),2)+ROUND((IF(H219="",0,H219)*0.2),2)+ROUND((IF(H223="",0,H223)*0.2),2))</f>
        <v>0.8</v>
      </c>
    </row>
    <row r="194" spans="1:10" ht="15.6" x14ac:dyDescent="0.3">
      <c r="A194" s="311"/>
      <c r="B194" s="140" t="s">
        <v>97</v>
      </c>
      <c r="C194" s="136" t="s">
        <v>125</v>
      </c>
      <c r="D194" s="137"/>
      <c r="E194" s="7"/>
      <c r="F194" s="138">
        <f>IF(E194="", IF(G186="Yes",1,0.8),IF(E194&gt;=1,1,IF(E194&lt;=0,0,ROUND(E194,2))))</f>
        <v>0.8</v>
      </c>
      <c r="G194" s="135">
        <f>IFERROR(ROUND(AVERAGE(F194),2),"")</f>
        <v>0.8</v>
      </c>
      <c r="H194" s="313"/>
      <c r="I194" s="314"/>
      <c r="J194" s="315"/>
    </row>
    <row r="195" spans="1:10" ht="15.6" x14ac:dyDescent="0.3">
      <c r="A195" s="322" t="s">
        <v>4</v>
      </c>
      <c r="B195" s="324" t="s">
        <v>5</v>
      </c>
      <c r="C195" s="11" t="s">
        <v>6</v>
      </c>
      <c r="D195" s="11"/>
      <c r="E195" s="40"/>
      <c r="F195" s="98">
        <f>IF(D189="Ephemeral","",IF(E195="",IF(G186="Yes",1,0.8),ROUND(IF(E195&gt;1.6,0,IF(E195&lt;=1,1,E195^2*'Reference Standards'!E$3+E195*'Reference Standards'!E$4+'Reference Standards'!E$5)),2)))</f>
        <v>0.8</v>
      </c>
      <c r="G195" s="353">
        <f>IFERROR(ROUND(AVERAGE(F195:F196),2),"")</f>
        <v>0.8</v>
      </c>
      <c r="H195" s="354">
        <f>IFERROR(ROUND(AVERAGE(G195),2),"")</f>
        <v>0.8</v>
      </c>
      <c r="I195" s="346" t="str">
        <f>IF(H195="","",IF(H195&gt;0.69,"Functioning",IF(H195&gt;0.29,"Functioning At Risk",IF(H195&gt;-1,"Not Functioning"))))</f>
        <v>Functioning</v>
      </c>
      <c r="J195" s="315"/>
    </row>
    <row r="196" spans="1:10" ht="15.6" x14ac:dyDescent="0.3">
      <c r="A196" s="323"/>
      <c r="B196" s="324"/>
      <c r="C196" s="11" t="s">
        <v>7</v>
      </c>
      <c r="D196" s="11"/>
      <c r="E196" s="40"/>
      <c r="F196" s="98">
        <f>IF(D189="Ephemeral","",IF(E196="",IF(G186="Yes",1,0.8),(IF(OR(B188="A",B188="B",$B188="Bc"),IF(E196&lt;1.2,0,IF(E196&gt;=2.2,1,ROUND(IF(E196&lt;1.4,E196*'Reference Standards'!$E$14+'Reference Standards'!$E$15,E196*'Reference Standards'!$F$14+'Reference Standards'!$F$15),2))),IF(OR(B188="C",B188="E"),IF(E196&lt;2,0,IF(E196&gt;=5,1,ROUND(IF(E196&lt;2.4,E196*'Reference Standards'!$F$9+'Reference Standards'!$F$10,E196*'Reference Standards'!$E$9+'Reference Standards'!$E$10),2))))))))</f>
        <v>0.8</v>
      </c>
      <c r="G196" s="353"/>
      <c r="H196" s="355"/>
      <c r="I196" s="347"/>
      <c r="J196" s="315"/>
    </row>
    <row r="197" spans="1:10" ht="15.6" x14ac:dyDescent="0.3">
      <c r="A197" s="321" t="s">
        <v>23</v>
      </c>
      <c r="B197" s="348" t="s">
        <v>24</v>
      </c>
      <c r="C197" s="15" t="s">
        <v>280</v>
      </c>
      <c r="D197" s="71"/>
      <c r="E197" s="16"/>
      <c r="F197" s="99" t="str">
        <f>IF(E197="","",IF(OR(LEFT($B189,2)="65",LEFT($B189,2)="66",LEFT($B189,2)="74",LEFT($B189,2)="73"),IF(E197&gt;=850,1,IF(E197&lt;250,ROUND('Reference Standards'!$H$5*(E197)+'Reference Standards'!$H$6,2),ROUND('Reference Standards'!$I$5*E197+'Reference Standards'!$I$6,2))),  IF(E197&gt;=345,1,IF(E197&lt;=180,ROUND('Reference Standards'!J$5*(E197)+'Reference Standards'!J$6,2),ROUND('Reference Standards'!K$5*E197+'Reference Standards'!K$6,2))))    )</f>
        <v/>
      </c>
      <c r="G197" s="318">
        <f>IFERROR(ROUND(AVERAGE(F197:F198),2),"")</f>
        <v>0.8</v>
      </c>
      <c r="H197" s="350">
        <f>IFERROR(ROUND(AVERAGE(G197:G218),2),"")</f>
        <v>0.8</v>
      </c>
      <c r="I197" s="352" t="str">
        <f>IF(H197="","",IF(H197&gt;0.69,"Functioning",IF(H197&gt;0.29,"Functioning At Risk",IF(H197&gt;-1,"Not Functioning"))))</f>
        <v>Functioning</v>
      </c>
      <c r="J197" s="315"/>
    </row>
    <row r="198" spans="1:10" ht="15.6" x14ac:dyDescent="0.3">
      <c r="A198" s="316"/>
      <c r="B198" s="349"/>
      <c r="C198" s="18" t="s">
        <v>267</v>
      </c>
      <c r="D198" s="72"/>
      <c r="E198" s="10"/>
      <c r="F198" s="100">
        <f>IF(ISNUMBER(E197),"",IF(E198="",IF(G186="Yes",1,0.8),IF(OR(LEFT($B189,2)="65",LEFT($B189,2)="66",LEFT($B189,2)="74",LEFT($B189,2)="73"),IF(E198&gt;=30,1,IF(E198&lt;13,ROUND('Reference Standards'!$H$11*(E198)+'Reference Standards'!$H$12,2),ROUND('Reference Standards'!$I$11*E198+'Reference Standards'!$I$12,2))),  IF(E198&gt;=16,1,IF(E198&lt;=9,ROUND('Reference Standards'!J$11*(E198)+'Reference Standards'!J$12,2),ROUND('Reference Standards'!K$11*E198+'Reference Standards'!K$12,2))))    ))</f>
        <v>0.8</v>
      </c>
      <c r="G198" s="320"/>
      <c r="H198" s="350"/>
      <c r="I198" s="352"/>
      <c r="J198" s="315"/>
    </row>
    <row r="199" spans="1:10" ht="15.6" x14ac:dyDescent="0.3">
      <c r="A199" s="316"/>
      <c r="B199" s="316" t="s">
        <v>350</v>
      </c>
      <c r="C199" s="13" t="s">
        <v>66</v>
      </c>
      <c r="D199" s="13"/>
      <c r="E199" s="42"/>
      <c r="F199" s="99" t="str">
        <f>IF(E199="","",ROUND(IF(E199&gt;0.7,0,IF(E199&lt;=0.1,1,E199^3*'Reference Standards'!H$15+E199^2*'Reference Standards'!H$16+E199*'Reference Standards'!H$17+'Reference Standards'!H$18)),2))</f>
        <v/>
      </c>
      <c r="G199" s="318">
        <f>IFERROR(ROUND(AVERAGE(F199:F202),2),"")</f>
        <v>0.8</v>
      </c>
      <c r="H199" s="351"/>
      <c r="I199" s="352"/>
      <c r="J199" s="315"/>
    </row>
    <row r="200" spans="1:10" ht="15.6" x14ac:dyDescent="0.3">
      <c r="A200" s="316"/>
      <c r="B200" s="316"/>
      <c r="C200" s="13" t="s">
        <v>47</v>
      </c>
      <c r="D200" s="13"/>
      <c r="E200" s="42"/>
      <c r="F200" s="28">
        <f>IF(ISNUMBER(E199),"", IF(AND(E199="",E200=""),IF(G186="Yes",1,0.8),IF(OR(E200="Ex/Ex",E200="Ex/VH"),0, IF(OR(E200="Ex/H",E200="VH/Ex",E200="VH/VH", E200="H/Ex",E200="H/VH",E200="M/Ex"),0.1,IF(OR(E200="Ex/M",E200="VH/H",E200="H/H", E200="M/VH"),0.2, IF(OR(E200="Ex/L",E200="VH/M",E200="H/M", E200="M/H",E200="L/Ex"),0.3, IF(OR(E200="Ex/VL",E200="VH/L",E200="H/L"),0.4, IF(OR(E200="VH/VL",E200="H/VL",E200="M/M", E200="L/VH"),0.5, IF(OR(E200="M/L",E200="L/H"),0.6, IF(OR(E200="M/VL",E200="L/M"),0.7, IF(OR(E200="L/L",E200="L/VL"),1)))))))))))</f>
        <v>0.8</v>
      </c>
      <c r="G200" s="319"/>
      <c r="H200" s="351"/>
      <c r="I200" s="352"/>
      <c r="J200" s="315"/>
    </row>
    <row r="201" spans="1:10" ht="15.6" x14ac:dyDescent="0.3">
      <c r="A201" s="316"/>
      <c r="B201" s="316"/>
      <c r="C201" s="14" t="s">
        <v>72</v>
      </c>
      <c r="D201" s="13"/>
      <c r="E201" s="42"/>
      <c r="F201" s="28">
        <f>IF(E201="",IF(G186="Yes",1,0.8),ROUND(IF(E201&gt;40,0,IF(E201&lt;5,1,E201^3*'Reference Standards'!H$21+E201^2*'Reference Standards'!H$22+E201*'Reference Standards'!H$23+'Reference Standards'!H$24)),2))</f>
        <v>0.8</v>
      </c>
      <c r="G201" s="319"/>
      <c r="H201" s="351"/>
      <c r="I201" s="352"/>
      <c r="J201" s="315"/>
    </row>
    <row r="202" spans="1:10" ht="15.6" x14ac:dyDescent="0.3">
      <c r="A202" s="316"/>
      <c r="B202" s="317"/>
      <c r="C202" s="14" t="s">
        <v>349</v>
      </c>
      <c r="D202" s="14"/>
      <c r="E202" s="44"/>
      <c r="F202" s="100">
        <f>IF(E202="",IF(G186="Yes",1,0.8),ROUND(IF(E202&gt;=30,0,IF(E202&lt;=0,1,E202*'Reference Standards'!H$27+'Reference Standards'!H$28)),2))</f>
        <v>0.8</v>
      </c>
      <c r="G202" s="320"/>
      <c r="H202" s="351"/>
      <c r="I202" s="352"/>
      <c r="J202" s="315"/>
    </row>
    <row r="203" spans="1:10" ht="15.6" x14ac:dyDescent="0.3">
      <c r="A203" s="316"/>
      <c r="B203" s="316" t="s">
        <v>48</v>
      </c>
      <c r="C203" s="15" t="s">
        <v>314</v>
      </c>
      <c r="D203" s="19"/>
      <c r="E203" s="36"/>
      <c r="F203" s="92">
        <f>IF(E203="",IF(G186="Yes",1,0.8),ROUND(IF(E203&gt;9.2,1,E203*'Reference Standards'!H$31+'Reference Standards'!H$32),2))</f>
        <v>0.8</v>
      </c>
      <c r="G203" s="307">
        <f>IFERROR(ROUND(AVERAGE(F203:F212),2),"")</f>
        <v>0.8</v>
      </c>
      <c r="H203" s="351"/>
      <c r="I203" s="352"/>
      <c r="J203" s="315"/>
    </row>
    <row r="204" spans="1:10" ht="15.6" x14ac:dyDescent="0.3">
      <c r="A204" s="316"/>
      <c r="B204" s="316"/>
      <c r="C204" s="17" t="s">
        <v>315</v>
      </c>
      <c r="D204" s="13"/>
      <c r="E204" s="40"/>
      <c r="F204" s="92">
        <f>IF(E204="",IF(G186="Yes",1,0.8),ROUND(IF(E204&gt;9.2,1,E204*'Reference Standards'!H$31+'Reference Standards'!H$32),2))</f>
        <v>0.8</v>
      </c>
      <c r="G204" s="308"/>
      <c r="H204" s="351"/>
      <c r="I204" s="352"/>
      <c r="J204" s="315"/>
    </row>
    <row r="205" spans="1:10" ht="15.6" x14ac:dyDescent="0.3">
      <c r="A205" s="316"/>
      <c r="B205" s="316"/>
      <c r="C205" s="17" t="s">
        <v>316</v>
      </c>
      <c r="D205" s="13"/>
      <c r="E205" s="40"/>
      <c r="F205" s="92">
        <f>IF(E205="",IF(G186="Yes",1,0.8),ROUND( IF(E205&gt;=200,1,IF(E205&lt;50, E205^2*'Reference Standards'!H$36+E205*'Reference Standards'!H$37+'Reference Standards'!H$38, E205*'Reference Standards'!I$37+'Reference Standards'!I$38)),2))</f>
        <v>0.8</v>
      </c>
      <c r="G205" s="308"/>
      <c r="H205" s="351"/>
      <c r="I205" s="352"/>
      <c r="J205" s="315"/>
    </row>
    <row r="206" spans="1:10" ht="15.6" x14ac:dyDescent="0.3">
      <c r="A206" s="316"/>
      <c r="B206" s="316"/>
      <c r="C206" s="17" t="s">
        <v>317</v>
      </c>
      <c r="D206" s="13"/>
      <c r="E206" s="40"/>
      <c r="F206" s="92">
        <f>IF(E206="",IF(G186="Yes",1,0.8),ROUND( IF(E206&gt;=200,1,IF(E206&lt;50, E206^2*'Reference Standards'!H$36+E206*'Reference Standards'!H$37+'Reference Standards'!H$38, E206*'Reference Standards'!I$37+'Reference Standards'!I$38)),2))</f>
        <v>0.8</v>
      </c>
      <c r="G206" s="308"/>
      <c r="H206" s="351"/>
      <c r="I206" s="352"/>
      <c r="J206" s="315"/>
    </row>
    <row r="207" spans="1:10" ht="15.6" x14ac:dyDescent="0.3">
      <c r="A207" s="316"/>
      <c r="B207" s="316"/>
      <c r="C207" s="13" t="s">
        <v>318</v>
      </c>
      <c r="D207" s="13"/>
      <c r="E207" s="40"/>
      <c r="F207" s="92">
        <f>IF(E207="",IF(G186="Yes",1,0.8),ROUND(IF(AND(E207&gt;=135,E207&lt;=262),1,IF(E207&gt;=366,0.5,IF(E207&lt;135,E207*'Reference Standards'!H$42+'Reference Standards'!H$43,E207*'Reference Standards'!I$42+'Reference Standards'!I$43))),2))</f>
        <v>0.8</v>
      </c>
      <c r="G207" s="308"/>
      <c r="H207" s="351"/>
      <c r="I207" s="352"/>
      <c r="J207" s="315"/>
    </row>
    <row r="208" spans="1:10" ht="15.6" x14ac:dyDescent="0.3">
      <c r="A208" s="316"/>
      <c r="B208" s="316"/>
      <c r="C208" s="13" t="s">
        <v>319</v>
      </c>
      <c r="D208" s="13"/>
      <c r="E208" s="40"/>
      <c r="F208" s="92">
        <f>IF(E208="",IF(G186="Yes",1,0.8),ROUND(IF(AND(E208&gt;=135,E208&lt;=262),1,IF(E208&gt;=366,0.5,IF(E208&lt;135,E208*'Reference Standards'!H$42+'Reference Standards'!H$43,E208*'Reference Standards'!I$42+'Reference Standards'!I$43))),2))</f>
        <v>0.8</v>
      </c>
      <c r="G208" s="308"/>
      <c r="H208" s="351"/>
      <c r="I208" s="352"/>
      <c r="J208" s="315"/>
    </row>
    <row r="209" spans="1:10" ht="15.6" x14ac:dyDescent="0.3">
      <c r="A209" s="316"/>
      <c r="B209" s="316"/>
      <c r="C209" s="13" t="s">
        <v>320</v>
      </c>
      <c r="D209" s="13"/>
      <c r="E209" s="40"/>
      <c r="F209" s="28">
        <f>IF(E209="",IF(G186="Yes",1,0.8),ROUND(IF(E209&gt;=75,1,IF(E209&lt;=0,0,E209*'Reference Standards'!H$46)),2))</f>
        <v>0.8</v>
      </c>
      <c r="G209" s="308"/>
      <c r="H209" s="351"/>
      <c r="I209" s="352"/>
      <c r="J209" s="315"/>
    </row>
    <row r="210" spans="1:10" ht="15.6" x14ac:dyDescent="0.3">
      <c r="A210" s="316"/>
      <c r="B210" s="316"/>
      <c r="C210" s="13" t="s">
        <v>321</v>
      </c>
      <c r="D210" s="13"/>
      <c r="E210" s="40"/>
      <c r="F210" s="28">
        <f>IF(E210="",IF(G186="Yes",1,0.8),ROUND(IF(E210&gt;=75,1,IF(E210&lt;=0,0,E210*'Reference Standards'!H$46)),2))</f>
        <v>0.8</v>
      </c>
      <c r="G210" s="308"/>
      <c r="H210" s="351"/>
      <c r="I210" s="352"/>
      <c r="J210" s="315"/>
    </row>
    <row r="211" spans="1:10" ht="15.6" x14ac:dyDescent="0.3">
      <c r="A211" s="316"/>
      <c r="B211" s="316"/>
      <c r="C211" s="13" t="s">
        <v>322</v>
      </c>
      <c r="D211" s="13"/>
      <c r="E211" s="40"/>
      <c r="F211" s="92">
        <f>IF(E211="",IF(G186="Yes",1,0.8),ROUND(IF(AND(E211&gt;=36.3,E211&lt;=68),1,IF(E211&gt;100,0,IF(E211&lt;36.3,(('Reference Standards'!H$51*(E211^2))+('Reference Standards'!H$52*E211)+'Reference Standards'!H$53),IF(E211&gt;68,(('Reference Standards'!I$51*(E211^2))+('Reference Standards'!I$52*E211)+'Reference Standards'!I$53))))),2))</f>
        <v>0.8</v>
      </c>
      <c r="G211" s="308"/>
      <c r="H211" s="351"/>
      <c r="I211" s="352"/>
      <c r="J211" s="315"/>
    </row>
    <row r="212" spans="1:10" ht="15.6" x14ac:dyDescent="0.3">
      <c r="A212" s="316"/>
      <c r="B212" s="317"/>
      <c r="C212" s="13" t="s">
        <v>323</v>
      </c>
      <c r="D212" s="20"/>
      <c r="E212" s="40"/>
      <c r="F212" s="92">
        <f>IF(E212="",IF(G186="Yes",1,0.8),ROUND(IF(AND(E212&gt;=36.3,E212&lt;=68),1,IF(E212&gt;100,0,IF(E212&lt;36.3,(('Reference Standards'!H$51*(E212^2))+('Reference Standards'!H$52*E212)+'Reference Standards'!H$53),IF(E212&gt;68,(('Reference Standards'!I$51*(E212^2))+('Reference Standards'!I$52*E212)+'Reference Standards'!I$53))))),2))</f>
        <v>0.8</v>
      </c>
      <c r="G212" s="309"/>
      <c r="H212" s="351"/>
      <c r="I212" s="352"/>
      <c r="J212" s="315"/>
    </row>
    <row r="213" spans="1:10" ht="15.6" x14ac:dyDescent="0.3">
      <c r="A213" s="316"/>
      <c r="B213" s="12" t="s">
        <v>87</v>
      </c>
      <c r="C213" s="26" t="s">
        <v>102</v>
      </c>
      <c r="D213" s="13"/>
      <c r="E213" s="7"/>
      <c r="F213" s="27" t="str">
        <f>IF(D189="Ephemeral","",IF(E213="","",IF(OR(D187="Cobble",D187="Gravel"),IF(E213&gt;0.1,1,IF(E213&lt;=0.01,0,ROUND(E213*'Reference Standards'!$H$56+'Reference Standards'!$H$57,2))))))</f>
        <v/>
      </c>
      <c r="G213" s="27" t="str">
        <f>IFERROR(ROUND(AVERAGE(F213),2),"")</f>
        <v/>
      </c>
      <c r="H213" s="351"/>
      <c r="I213" s="352"/>
      <c r="J213" s="315"/>
    </row>
    <row r="214" spans="1:10" ht="15.6" x14ac:dyDescent="0.3">
      <c r="A214" s="316"/>
      <c r="B214" s="321" t="s">
        <v>49</v>
      </c>
      <c r="C214" s="19" t="s">
        <v>50</v>
      </c>
      <c r="D214" s="19"/>
      <c r="E214" s="43"/>
      <c r="F214" s="102">
        <f>IF(D189="Ephemeral","",IF(AND(D187="Bedrock",E214=""),"",IF(E214="",IF(G186="Yes",1,0.8), IF(ISNUMBER($D188), IF($D188&lt;=2,IF(AND(E214&gt;=3,E214&lt;=5),1,IF(OR(E214&lt;=1,E214&gt;=7),0,ROUND(IF(E214&lt;3,E214*'Reference Standards'!H$61+'Reference Standards'!H$62,E214*'Reference Standards'!I$61+'Reference Standards'!I$62),2))),IF(E214&lt;=2.5,1,IF(E214&gt;=5.8,0,ROUND(E214*'Reference Standards'!H$65+'Reference Standards'!H$66,2))))))))</f>
        <v>0.8</v>
      </c>
      <c r="G214" s="307">
        <f>IFERROR(ROUND(AVERAGE(F214:F217),2),"")</f>
        <v>0.8</v>
      </c>
      <c r="H214" s="351"/>
      <c r="I214" s="352"/>
      <c r="J214" s="315"/>
    </row>
    <row r="215" spans="1:10" ht="15.6" x14ac:dyDescent="0.3">
      <c r="A215" s="316"/>
      <c r="B215" s="316"/>
      <c r="C215" s="13" t="s">
        <v>51</v>
      </c>
      <c r="D215" s="13"/>
      <c r="E215" s="42"/>
      <c r="F215" s="28">
        <f>IF(D189="Ephemeral","",IF(AND(D187="Bedrock",E215=""),"",IF(E215="",IF(G186="Yes",1,0.8),IF(E215&gt;=2.4,1,IF(E215&lt;=1,0,ROUND(IF(E215&lt;2.4,E215*'Reference Standards'!$H$70+'Reference Standards'!$H$71),2))))))</f>
        <v>0.8</v>
      </c>
      <c r="G215" s="308"/>
      <c r="H215" s="351"/>
      <c r="I215" s="352"/>
      <c r="J215" s="315"/>
    </row>
    <row r="216" spans="1:10" ht="15.6" x14ac:dyDescent="0.3">
      <c r="A216" s="316"/>
      <c r="B216" s="316"/>
      <c r="C216" s="13" t="s">
        <v>281</v>
      </c>
      <c r="D216" s="13"/>
      <c r="E216" s="42"/>
      <c r="F216" s="133">
        <f>IF(D189="Ephemeral","",IF(AND(D187="Bedrock",E214=""),"",IF(E216="",IF(G186="Yes",1,0.8),IF(LEFT($B189,2)="67",IF(AND(E216&gt;=45,E216&lt;=65),1,IF(OR(E216&lt;=20,E216&gt;=90),0,ROUND(IF(E216&lt;45,E216*'Reference Standards'!H$75+'Reference Standards'!H$76,E216*'Reference Standards'!I$75+'Reference Standards'!I$76),2))),IF(OR(LEFT($B189,2)="68",LEFT($B189,2)="69",LEFT($B189,2)="71"),IF(AND(E216&gt;=30,E216&lt;=50),1,IF(OR(E216&lt;=10,E216&gt;=70),0,ROUND(IF(E216&lt;30,E216*'Reference Standards'!H$80+'Reference Standards'!H$81,E216*'Reference Standards'!I$80+'Reference Standards'!I$81),2))),IF(LEFT($B189,2)="66",IF(AND(E216&gt;=20,E216&lt;=45),1,IF(OR(E216&lt;=0,E216&gt;=90),0,ROUND(IF(E216&lt;20,E216*'Reference Standards'!H$85+'Reference Standards'!H$86,E216*'Reference Standards'!I$85+'Reference Standards'!I$86),2))),IF(OR(LEFT($B189,2)="65",LEFT($B189,2)="74",LEFT($B189,2)="73"),IF(AND(E216&gt;=20,E216&lt;=30),1,IF(OR(E216&lt;=0,E216&gt;=50),0,ROUND(IF(E216&lt;20,E216*'Reference Standards'!H$90+'Reference Standards'!H$91,E216*'Reference Standards'!I$90+'Reference Standards'!I$91),2))))))))))</f>
        <v>0.8</v>
      </c>
      <c r="G216" s="308"/>
      <c r="H216" s="351"/>
      <c r="I216" s="352"/>
      <c r="J216" s="315"/>
    </row>
    <row r="217" spans="1:10" ht="15.6" x14ac:dyDescent="0.3">
      <c r="A217" s="316"/>
      <c r="B217" s="317"/>
      <c r="C217" s="17" t="s">
        <v>173</v>
      </c>
      <c r="D217" s="13"/>
      <c r="E217" s="44"/>
      <c r="F217" s="134" t="str">
        <f>IF(D189="Ephemeral","",IF(E217="","",IF(E217&gt;=1.6,0,IF(E217&lt;=1,1,ROUND('Reference Standards'!$H$94*E217^3+'Reference Standards'!$H$95*E217^2+'Reference Standards'!$H$96*E217+'Reference Standards'!$H$97,2)))))</f>
        <v/>
      </c>
      <c r="G217" s="309"/>
      <c r="H217" s="351"/>
      <c r="I217" s="352"/>
      <c r="J217" s="315"/>
    </row>
    <row r="218" spans="1:10" ht="15.6" x14ac:dyDescent="0.3">
      <c r="A218" s="317"/>
      <c r="B218" s="50" t="s">
        <v>53</v>
      </c>
      <c r="C218" s="69" t="s">
        <v>52</v>
      </c>
      <c r="D218" s="70"/>
      <c r="E218" s="68"/>
      <c r="F218" s="101">
        <f>IF(D189="Ephemeral","",IF(E218="",IF(G186="Yes",1,0.8),IF(AND(B188="E",$D187="Sand",G189="Unconfined Alluvial"),ROUND(IF(OR(E218&gt;1.8,E218&lt;1.3),0,IF(E218&lt;=1.6,1,E218*'Reference Standards'!H$100+'Reference Standards'!H$101)),2),    IF(G189="Unconfined Alluvial",ROUND(IF(OR(E218&lt;1.2, E218&gt;1.5),0,IF(E218&lt;=1.4,1,E218*'Reference Standards'!$H$104+'Reference Standards'!$H$105)),2), IF(G189="Confined Alluvial",ROUND(IF(E218&lt;1.15,0,IF(E218&lt;=1.4,E218*'Reference Standards'!$H$108+'Reference Standards'!$H$109,1)),2),  IF(G189="Colluvial",ROUND(IF(E218&gt;1.3,0,IF(E218&gt;1.2,E218*'Reference Standards'!$H$112+'Reference Standards'!$H$113,1)),2) ))))))</f>
        <v>0.8</v>
      </c>
      <c r="G218" s="28">
        <f>IFERROR(ROUND(AVERAGE(F218),2),"")</f>
        <v>0.8</v>
      </c>
      <c r="H218" s="351"/>
      <c r="I218" s="352"/>
      <c r="J218" s="315"/>
    </row>
    <row r="219" spans="1:10" ht="15.6" x14ac:dyDescent="0.3">
      <c r="A219" s="325" t="s">
        <v>55</v>
      </c>
      <c r="B219" s="22" t="s">
        <v>73</v>
      </c>
      <c r="C219" s="24" t="s">
        <v>285</v>
      </c>
      <c r="D219" s="24"/>
      <c r="E219" s="7"/>
      <c r="F219" s="103">
        <f>IF(D189="Ephemeral","",IF(E219="",IF(G186="Yes",1,0.8),ROUND(IF(E219&gt;=942,0,IF(E219&lt;=487,E219*'Reference Standards'!M$4+'Reference Standards'!M$5,E219*'Reference Standards'!$N$4+'Reference Standards'!$N$5)),2)))</f>
        <v>0.8</v>
      </c>
      <c r="G219" s="29">
        <f>IFERROR(ROUND(AVERAGE(F219),2),"")</f>
        <v>0.8</v>
      </c>
      <c r="H219" s="328">
        <f>IFERROR(ROUND(AVERAGE(G219:G222),2),"")</f>
        <v>0.8</v>
      </c>
      <c r="I219" s="357" t="str">
        <f>IF(H219="","",IF(H219&gt;0.69,"Functioning",IF(H219&gt;0.29,"Functioning At Risk",IF(H219&gt;-1,"Not Functioning"))))</f>
        <v>Functioning</v>
      </c>
      <c r="J219" s="315"/>
    </row>
    <row r="220" spans="1:10" ht="15.6" x14ac:dyDescent="0.3">
      <c r="A220" s="326"/>
      <c r="B220" s="79" t="s">
        <v>289</v>
      </c>
      <c r="C220" s="21" t="s">
        <v>288</v>
      </c>
      <c r="D220" s="21"/>
      <c r="E220" s="41"/>
      <c r="F220" s="104" t="str">
        <f>IF(D189="Ephemeral","",IF(E220="","",IF(OR($B189="65abei",$B189="65j",$B189="66d",$B189="66e",$B189="66ik",$B189="66f",$B189="66g",$B189="66j",$B189="68a",$B189="69de",$B189="74b",AND(OR($B189="67fhi",$B189="67g"),$D186&lt;=2),AND(OR($B189="68c",$B189="68d"),$G187="January - June")),IF(E220&gt;93,0,IF(E220&lt;13,1,ROUND('Reference Standards'!$M$9*E220^2+'Reference Standards'!$M$10*E220+'Reference Standards'!$M$11,2))),IF(OR(AND(OR($B189="67fhi",$B189="67g",$B189="71f",$B189="71g",$B189="71h"),$D186&gt;2),AND(OR($B189="68c",$B189="68d"),$G187="July - December"),$B189="73a",$B189="73b"),IF(E220&gt;94,0,IF(E220&lt;17,1,ROUND('Reference Standards'!$N$9*E220^2+'Reference Standards'!$N$10*E220+'Reference Standards'!$N$11,2))),IF(OR(AND(OR($B189="68b",$B189="71i"),$D186&gt;2),$B189="71e"),IF(E220&gt;91,0,IF(E220&lt;24,1,ROUND('Reference Standards'!$O$9*E220^2+'Reference Standards'!$O$10*E220+'Reference Standards'!$O$11,2))),IF(OR(AND(OR($B189="71f",$B189="71g",$B189="71h",$B189="71i"),$D186&lt;=2),AND($B189="74a",$D186&gt;2)),IF(E220&gt;95,0,IF(E220&lt;=36,1,ROUND('Reference Standards'!$P$9*E220^2+'Reference Standards'!$P$10*E220+'Reference Standards'!$P$11,2)))))))))</f>
        <v/>
      </c>
      <c r="G220" s="48" t="str">
        <f>IFERROR(ROUND(AVERAGE(F220),2),"")</f>
        <v/>
      </c>
      <c r="H220" s="329"/>
      <c r="I220" s="358"/>
      <c r="J220" s="315"/>
    </row>
    <row r="221" spans="1:10" ht="15.6" x14ac:dyDescent="0.3">
      <c r="A221" s="326"/>
      <c r="B221" s="22" t="s">
        <v>67</v>
      </c>
      <c r="C221" s="23" t="s">
        <v>240</v>
      </c>
      <c r="D221" s="23"/>
      <c r="E221" s="40"/>
      <c r="F221" s="104">
        <f>IF(ISNUMBER(E220),"",IF(D189="Ephemeral","",IF(E221="",IF(G186="Yes",1,0.8), IF(ISNUMBER($D186), IF(OR($B189="66e",$B189="66f",$B189="66g"),ROUND(IF(E221&gt;=0.61,0,IF(E221&lt;=0.01,1,IF(E221&lt;=0.06,E221*'Reference Standards'!$O$34+'Reference Standards'!$O$35,E221^2*'Reference Standards'!$M$33+E221*'Reference Standards'!$M$34+'Reference Standards'!$M$35))),2),IF($B189="68b",ROUND(IF(E221&gt;=1.1,0,IF(E221&lt;=0.17,1,IF(E221&lt;=0.22,E221*'Reference Standards'!$P$34+'Reference Standards'!$P$35,E221^2*'Reference Standards'!$N$33+E221*'Reference Standards'!$N$34+'Reference Standards'!$N$35))),2),IF($D186&lt;=2.5,IF($B189="69de",ROUND(IF(E221&gt;=0.22,0,IF(E221&lt;=0.01,1,E221^2*'Reference Standards'!$M$15+E221*'Reference Standards'!$M$16+'Reference Standards'!$M$17)),2),IF($B189="68c",ROUND(IF(E221&gt;=0.87,0,IF(E221&lt;=0.01,1,E221^2*'Reference Standards'!$N$15+E221*'Reference Standards'!$N$16+'Reference Standards'!$N$17)),2),IF($B189="68a",ROUND(IF(E221&gt;=0.81,0,IF(E221&lt;=0.01,1,E221^2*'Reference Standards'!$O$15+E221*'Reference Standards'!$O$16+'Reference Standards'!$O$17)),2),IF($B189="65abei",ROUND(IF(E221&gt;=0.67,0,IF(E221&lt;=0.01,1,IF(E221&lt;=0.18,E221*'Reference Standards'!$R$16+'Reference Standards'!$R$17,E221*'Reference Standards'!$P$16+'Reference Standards'!$P$17))),2),IF($B189="65j",ROUND(IF(E221&gt;=0.32,0,IF(E221&lt;=0.01,1,IF(E221&lt;=0.25,E221*'Reference Standards'!$S$16+'Reference Standards'!$S$17,E221*'Reference Standards'!$Q$16+'Reference Standards'!$Q$17))),2),IF($B189="71f",ROUND(IF(E221&gt;=3,0,IF(E221&lt;=0,1,IF(E221&lt;=0.01,0.7,E221^2*'Reference Standards'!$M$21+E221*'Reference Standards'!$M$22+'Reference Standards'!$M$23))),2),IF($B189="74a",ROUND(IF(E221&gt;=0.14,0,IF(E221&lt;=0.01,1,IF(E221&lt;=0.02,0.7,E221^2*'Reference Standards'!$N$21+E221*'Reference Standards'!$N$22+'Reference Standards'!$N$23))),2),IF(OR($B189="67fhi",$B189="67g"),ROUND(IF(E221&gt;=1.9,0,IF(E221&lt;=0.01,1,IF(E221&lt;=0.05,E221*'Reference Standards'!$Q$22+'Reference Standards'!$Q$23,E221^2*'Reference Standards'!$O$21+E221*'Reference Standards'!$O$22+'Reference Standards'!$O$23))),2),IF($B189="73a",ROUND(IF(E221&gt;=1.44,0,IF(E221&lt;=0.01,1,IF(E221&lt;=0.12,E221*'Reference Standards'!$R$22+'Reference Standards'!$R$23,E221^2*'Reference Standards'!$P$21+E221*'Reference Standards'!$P$22+'Reference Standards'!$P$23))),2),IF($B189="66d",ROUND(IF(E221&gt;=0.46,0,IF(E221&lt;=0.02,1,IF(E221&lt;=0.08,E221*'Reference Standards'!$Q$28+'Reference Standards'!$Q$29,E221^2*'Reference Standards'!$M$27+E221*'Reference Standards'!$M$28+'Reference Standards'!$M$29))),2),IF(OR($B189="71g",$B189="71h",$B189="71i"),ROUND(IF(E221&gt;=3,0,IF(E221&lt;=0.06,1,IF(E221&lt;=0.24,E221*'Reference Standards'!$R$28+'Reference Standards'!$R$29,E221^2*'Reference Standards'!$N$27+E221*'Reference Standards'!$N$28+'Reference Standards'!$N$29))),2),IF($B189="74b",ROUND(IF(E221&gt;=1.3,0,IF(E221&lt;=0.29,1,IF(E221&lt;=0.48,E221*'Reference Standards'!$S$28+'Reference Standards'!$S$29,E221^2*'Reference Standards'!$O$27+E221*'Reference Standards'!$O$28+'Reference Standards'!$O$29))),2),IF($B189="71e",ROUND(IF(E221&gt;=4.3,0,IF(E221&lt;=0.53,1,IF(E221&lt;=0.67,E221*'Reference Standards'!$T$28+'Reference Standards'!$T$29,E221^2*'Reference Standards'!$P$27+E221*'Reference Standards'!$P$28+'Reference Standards'!$P$29))),2)))))))))))))),IF($D186&gt;2.5,IF($B189="73a",ROUND(IF(E221&gt;=0.55,0,IF(E221&lt;=0,1,E221^2*'Reference Standards'!$M$39+E221*'Reference Standards'!$M$40+'Reference Standards'!$M$41)),2),IF($B189="68a",ROUND(IF(E221&gt;=0.54,0,IF(E221&lt;=0,1,IF(E221&lt;=0.01,0.85,E221^2*'Reference Standards'!$N$39+E221*'Reference Standards'!$N$40+'Reference Standards'!$N$41))),2),IF($B189="74a",ROUND(IF(E221&gt;=0.47,0,IF(E221&lt;=0.01,1,IF(E221&lt;=0.02,0.7,E221^2*'Reference Standards'!$O$39+E221*'Reference Standards'!$O$40+'Reference Standards'!$O$41))),2),IF($B189="69de",ROUND(IF(E221&gt;=0.26,0,IF(E221&lt;=0.01,1,IF(E221&lt;=0.02,0.85,E221^2*'Reference Standards'!$P$39+E221*'Reference Standards'!$P$40+'Reference Standards'!$P$41))),2),IF($B189="71f",ROUND(IF(E221&gt;=0.87,0,IF(E221&lt;=0.01,1,IF(E221&lt;=0.04,E221*'Reference Standards'!$Q$46+'Reference Standards'!$Q$47,E221^2*'Reference Standards'!$M$45+E221*'Reference Standards'!$M$46+'Reference Standards'!$M$47))),2),IF($B189="65abei",ROUND(IF(E221&gt;=0.82,0,IF(E221&lt;=0.01,1,IF(E221&lt;=0.06,E221*'Reference Standards'!$R$46+'Reference Standards'!$R$47,E221^2*'Reference Standards'!$N$45+E221*'Reference Standards'!$N$46+'Reference Standards'!$N$47))),2),IF($B189="65j",ROUND(IF(E221&gt;=0.33,0,IF(E221&lt;=0.03,1,IF(E221&lt;=0.09,E221*'Reference Standards'!$S$46+'Reference Standards'!$S$47,E221^2*'Reference Standards'!$O$45+E221*'Reference Standards'!$O$46+'Reference Standards'!$O$47))),2),IF($B189="68c",ROUND(IF(E221&gt;=0.7,0,IF(E221&lt;=0.07,1,IF(E221&lt;=0.12,E221*'Reference Standards'!$T$46+'Reference Standards'!$T$47,E221^2*'Reference Standards'!$P$45+E221*'Reference Standards'!$P$46+'Reference Standards'!$P$47))),2),IF(OR($B189="67fhi",$B189="67g"),ROUND(IF(E221&gt;=1.8,0,IF(E221&lt;=0.08,1,IF(E221&lt;=0.2,E221*'Reference Standards'!$Q$52+'Reference Standards'!$Q$53,E221^2*'Reference Standards'!$M$51+E221*'Reference Standards'!$M$52+'Reference Standards'!$M$53))),2),IF($B189="74b",ROUND(IF(E221&gt;=0.96,0,IF(E221&lt;=0.12,1,IF(E221&lt;=0.16,E221*'Reference Standards'!$R$52+'Reference Standards'!$R$53,E221^2*'Reference Standards'!$N$51+E221*'Reference Standards'!$N$52+'Reference Standards'!$N$53))),2),IF($B189="66d",ROUND(IF(E221&gt;=0.75,0,IF(E221&lt;=0.13,1,IF(E221&lt;=0.2,E221*'Reference Standards'!$S$52+'Reference Standards'!$S$53,E221^2*'Reference Standards'!$O$51+E221*'Reference Standards'!$O$52+'Reference Standards'!$O$53))),2),IF(OR($B189="71g",$B189="71h",$B189="71i"),ROUND(IF(E221&gt;=1.68,0,IF(E221&lt;=0.08,1,IF(E221&lt;=0.23,E221*'Reference Standards'!$T$52+'Reference Standards'!$T$53,E221^2*'Reference Standards'!$P$51+E221*'Reference Standards'!$P$52+'Reference Standards'!$P$53))),2),IF($B189="71e",ROUND(IF(E221&gt;=5.3,0,IF(E221&lt;=0.94,1,IF(E221&lt;=1.4,E221*'Reference Standards'!$Q$56+'Reference Standards'!$Q$57,E221^2*'Reference Standards'!$M$55+E221*'Reference Standards'!$M$56+'Reference Standards'!$M$57))),2))))))))))))))))))))))</f>
        <v>0.8</v>
      </c>
      <c r="G221" s="48">
        <f t="shared" ref="G221:G222" si="4">IFERROR(ROUND(AVERAGE(F221),2),"")</f>
        <v>0.8</v>
      </c>
      <c r="H221" s="329"/>
      <c r="I221" s="358"/>
      <c r="J221" s="315"/>
    </row>
    <row r="222" spans="1:10" ht="15.6" x14ac:dyDescent="0.3">
      <c r="A222" s="327"/>
      <c r="B222" s="78" t="s">
        <v>68</v>
      </c>
      <c r="C222" s="21" t="s">
        <v>239</v>
      </c>
      <c r="D222" s="21"/>
      <c r="E222" s="36"/>
      <c r="F222" s="103">
        <f>IF(ISNUMBER(E220),"", IF(D189="Ephemeral","",IF(E222="",IF(G186="Yes",1,0.8), IF(ISNUMBER($D186), IF($D186&gt;2.5,IF(OR($B189="71h",$B189="71i",$B189="73a",$B189="74a"),IF(E222&lt;=0.01,1,IF(OR($B189="71h",$B189="71i"),IF(E222&gt;0.37,0,ROUND(IF(E222&gt;0.03,'Reference Standards'!$M$73*E222^2+'Reference Standards'!$M$74*E222+'Reference Standards'!$M$75,'Reference Standards'!$Q$74*E222+'Reference Standards'!$Q$75),2)),IF($B189="73a",IF(E222&gt;0.405,0,ROUND(IF(E222&gt;0.046,'Reference Standards'!$N$73*E222^2+'Reference Standards'!$N$74*E222+'Reference Standards'!$N$75,'Reference Standards'!$R$74*E222+'Reference Standards'!$R$75),2)),IF($B189="74a",IF(E222&gt;0.3,0,ROUND(IF(E222&gt;0.052,'Reference Standards'!$O$73*E222^2+'Reference Standards'!$O$74*E222+'Reference Standards'!$O$75,'Reference Standards'!$S$74*E222+'Reference Standards'!$S$75),2)))))),IF(E222&lt;=0.002,1,IF(OR($B189="66d",$B189="66e",$B189="66g"),IF(E222&gt;0.053,0,ROUND(E222^2*'Reference Standards'!$M$61+E222*'Reference Standards'!$M$62+'Reference Standards'!$M$63,2)),IF($B189="68b",IF(E222&gt;0.05,0,ROUND(E222^2*'Reference Standards'!$N$61+E222*'Reference Standards'!$N$62+'Reference Standards'!$N$63,2)),IF(OR($B189="68a",$B189="68c"),IF(E222&gt;0.07,0,ROUND(E222^2*'Reference Standards'!$O$61+E222*'Reference Standards'!$O$62+'Reference Standards'!$O$63,2)),IF(OR($B189="71f",$B189="71g"),IF(E222&gt;0.13,0,ROUND(IF(E222&gt;0.042,E222*'Reference Standards'!$P$62+'Reference Standards'!$P$63,E222*'Reference Standards'!$Q$62+'Reference Standards'!$Q$63),2)),IF($B189="67fhi",IF(E222&gt;0.16,0,ROUND(E222^2*'Reference Standards'!$R$61+E222*'Reference Standards'!$R$62+'Reference Standards'!$R$63,2)),IF($B189="65j",IF(E222&gt;0.035,0,ROUND(IF(E222&lt;=0.003,0.7,E222^2*'Reference Standards'!$M$67+E222*'Reference Standards'!$M$68+'Reference Standards'!$M$69),2)),IF($B189="69de",IF(E222&gt;0.037,0,ROUND(IF(E222&lt;=0.003,0.7,E222^2*'Reference Standards'!$N$67+E222*'Reference Standards'!$N$68+'Reference Standards'!$N$69),2)),IF($B189="71e",IF(E222&gt;0.23,0,ROUND(IF(E222&lt;=0.003,0.7,E222^2*'Reference Standards'!$O$67+E222*'Reference Standards'!$O$68+'Reference Standards'!$O$69),2)),IF($B189="66f",IF(E222&gt;0.06,0,ROUND(IF(E222&lt;=0.003,0.85,IF(E222&lt;=0.004,0.7,E222^2*'Reference Standards'!$P$67+E222*'Reference Standards'!$P$68+'Reference Standards'!$P$69)),2)),IF($B189="67g",IF(E222&gt;0.11,0,ROUND(IF(E222&lt;=0.01,E222*'Reference Standards'!$S$68+'Reference Standards'!$S$69,E222^2*'Reference Standards'!$Q$67+E222*'Reference Standards'!$Q$68+'Reference Standards'!$Q$69),2)),IF($B189="74b",IF(E222&gt;0.49,0,ROUND(IF(E222&lt;=0.01,E222*'Reference Standards'!$S$68+'Reference Standards'!$S$69,E222^2*'Reference Standards'!$R$67+E222*'Reference Standards'!$R$68+'Reference Standards'!$R$69),2)),IF($B189="65abei",IF(E222&gt;0.199,0,ROUND(IF(E222&lt;=0.01,E222*'Reference Standards'!$T$74+'Reference Standards'!$T$75,E222^2*'Reference Standards'!$P$73+E222*'Reference Standards'!$P$74+'Reference Standards'!$P$75),2)))))))))))))))),IF($D186&lt;=2.5,IF(OR($B189="66d",$B189="66e",$B189="66g"),IF(E222&gt;0.05,0,ROUND(IF(E222&lt;=0.002,1,IF(E222&lt;=0.005,E222*'Reference Standards'!$Q$80+'Reference Standards'!$Q$81,E222^2*'Reference Standards'!$M$79+E222*'Reference Standards'!$M$80+'Reference Standards'!$M$81)),2)),IF($B189="67fhi",IF(E222&gt;0.1,0,ROUND(IF(E222&lt;=0.002,1,IF(E222&lt;=0.006,E222*'Reference Standards'!$R$80+'Reference Standards'!$R$81,E222^2*'Reference Standards'!$N$79+E222*'Reference Standards'!$N$80+'Reference Standards'!$N$81)),2)),IF($B189="65abei",IF(E222&gt;0.13,0,ROUND(IF(E222&lt;=0.003,1,IF(E222&lt;=0.008,E222*'Reference Standards'!$S$80+'Reference Standards'!$S$81,E222^2*'Reference Standards'!$O$79+E222*'Reference Standards'!$O$80+'Reference Standards'!$O$81)),2)),IF($B189="68b",IF(E222&gt;0.043,0,ROUND(IF(E222&lt;=0.004,1,IF(E222&lt;=0.005,0.7,E222^2*'Reference Standards'!$P$79+E222*'Reference Standards'!$P$80+'Reference Standards'!$P$81)),2)),IF($B189="69de",IF(E222&gt;=0.034,0,ROUND(IF(E222&lt;=0.003,1,IF(E222&lt;=0.006,E222*'Reference Standards'!$R$85+'Reference Standards'!$R$86,E222*'Reference Standards'!$M$85+'Reference Standards'!$M$86)),2)),IF(OR($B189="68a",$B189="68c"),IF(E222&gt;0.202,0,ROUND(IF(E222&lt;=0.003,1,IF(E222&lt;=0.006,E222*'Reference Standards'!$R$85+'Reference Standards'!$R$86,IF(E222&gt;=0.04,E222*'Reference Standards'!$N$85+'Reference Standards'!$N$86,E222*'Reference Standards'!$P$85+'Reference Standards'!$P$86))),2)),IF(OR($B189="71f",$B189="71g"),IF(E222&gt;0.631,0,ROUND(IF(E222&lt;=0.003,1,IF(E222&lt;=0.006,E222*'Reference Standards'!$R$85+'Reference Standards'!$R$86,IF(E222&gt;=0.17,E222*'Reference Standards'!$O$85+'Reference Standards'!$O$86,E222*'Reference Standards'!$Q$85+'Reference Standards'!$Q$86))),2)),IF($B189="71e",IF(E222&gt;1.23,0,ROUND(IF(E222&lt;=0.004,1,IF(E222&lt;=0.006,E222*'Reference Standards'!$Q$91+'Reference Standards'!$Q$92,E222^2*'Reference Standards'!$M$90+E222*'Reference Standards'!$M$91+'Reference Standards'!$M$92)),2)),IF($B189="67g",IF(E222&gt;0.11,0,ROUND(IF(E222&lt;=0.006,1,IF(E222&lt;=0.011,E222*'Reference Standards'!$R$91+'Reference Standards'!$R$92,E222^2*'Reference Standards'!$N$90+E222*'Reference Standards'!$N$91+'Reference Standards'!$N$92)),2)),IF($B189="65j",IF(E222&gt;0.046,0,ROUND(IF(E222&lt;=0.007,1,IF(E222&lt;=0.012,E222*'Reference Standards'!$S$91+'Reference Standards'!$S$92,E222^2*'Reference Standards'!$O$90+E222*'Reference Standards'!$O$91+'Reference Standards'!$O$92)),2)),IF($B189="66f",IF(E222&gt;0.081,0,ROUND(IF(E222&lt;=0.008,1,IF(E222&lt;=0.011,E222*'Reference Standards'!$T$91+'Reference Standards'!$T$92,E222^2*'Reference Standards'!$P$90+E222*'Reference Standards'!$P$91+'Reference Standards'!$P$92)),2)),IF(OR($B189="71h",$B189="71i"),IF(E222&gt;0.37,0,ROUND(IF(E222&lt;=0.013,1,IF(E222&lt;=0.032,E222*'Reference Standards'!$S$98+'Reference Standards'!$S$99,IF(E222&lt;=0.3,E222*'Reference Standards'!$Q$98+'Reference Standards'!$Q$99,E222*'Reference Standards'!$M$98+'Reference Standards'!$M$99))),2)),IF($B189="73a",IF(E222&gt;0.448,0,ROUND(IF(E222&lt;=0.071,1,IF(E222&lt;=0.086,E222*'Reference Standards'!$U$98+'Reference Standards'!$U$99,IF(E222&lt;=0.165,E222*'Reference Standards'!$R$98+'Reference Standards'!$R$99,E222*'Reference Standards'!$P$98+'Reference Standards'!$P$99))),2)),IF($B189="74b",IF(E222&gt;0.43,0,ROUND(IF(E222&lt;=0.018,1,IF(E222&lt;=0.019,0.85,IF(E222&lt;=0.02,0.7,E222^2*'Reference Standards'!$N$97+E222*'Reference Standards'!$N$98+'Reference Standards'!$N$99))),2)),IF($B189="74a",IF(E222&gt;0.217,0,ROUND(IF(E222&lt;=0.02,1,IF(E222&lt;=0.033,E222*'Reference Standards'!$T$98+'Reference Standards'!$T$99,E222^2*'Reference Standards'!$O$97+E222*'Reference Standards'!$O$98+'Reference Standards'!$O$99)),2)))))))))))))))))))))))</f>
        <v>0.8</v>
      </c>
      <c r="G222" s="48">
        <f t="shared" si="4"/>
        <v>0.8</v>
      </c>
      <c r="H222" s="330"/>
      <c r="I222" s="359"/>
      <c r="J222" s="315"/>
    </row>
    <row r="223" spans="1:10" ht="15.6" x14ac:dyDescent="0.3">
      <c r="A223" s="333" t="s">
        <v>56</v>
      </c>
      <c r="B223" s="341" t="s">
        <v>287</v>
      </c>
      <c r="C223" s="33" t="s">
        <v>278</v>
      </c>
      <c r="D223" s="34"/>
      <c r="E223" s="43"/>
      <c r="F223" s="105">
        <f>IF(OR(D189="Ephemeral",AND(E224&lt;&gt;"",E225&lt;&gt;"",E226&lt;&gt;"")),"",IF(E223="",IF(G186="Yes",1,0.8),IF(OR(B189="73a",B189="73b"),IF(E223&lt;1,0,IF(E223&gt;=30,1,ROUND(IF(E223&lt;22,'Reference Standards'!$W$4*E223+'Reference Standards'!$W$5,'Reference Standards'!$X$4*E223+'Reference Standards'!$X$5),2))), IF(E223&lt;1,0, IF(E223&gt;=42,1, ROUND(IF(E223&lt;32,'Reference Standards'!$Y$4*E223+'Reference Standards'!$Y$5,'Reference Standards'!$Z$4*E223+'Reference Standards'!$Z$5),2))))))</f>
        <v>0.8</v>
      </c>
      <c r="G223" s="356">
        <f>IFERROR(ROUND(AVERAGE(F223:F226),2),"")</f>
        <v>0.8</v>
      </c>
      <c r="H223" s="336">
        <f>IFERROR(ROUND(AVERAGE(G223:G228),2),"")</f>
        <v>0.8</v>
      </c>
      <c r="I223" s="314" t="str">
        <f>IF(H223="","",IF(H223&gt;0.69,"Functioning",IF(H223&gt;0.29,"Functioning At Risk",IF(H223&gt;-1,"Not Functioning"))))</f>
        <v>Functioning</v>
      </c>
      <c r="J223" s="315"/>
    </row>
    <row r="224" spans="1:10" ht="15.6" x14ac:dyDescent="0.3">
      <c r="A224" s="334"/>
      <c r="B224" s="342"/>
      <c r="C224" s="45" t="s">
        <v>282</v>
      </c>
      <c r="D224" s="46"/>
      <c r="E224" s="42"/>
      <c r="F224" s="106" t="str">
        <f>IF(D189="Ephemeral","",IF(E224="","",IF(AND($B189="74b",$D186&lt;=2),IF(E224&lt;0,0,IF(E224&gt;15.6,0.69,ROUND('Reference Standards'!$W$9*E224^2+'Reference Standards'!$W$10*E224+'Reference Standards'!$W$11,2))),IF(AND($B189="65abei",$D186&lt;=2),IF(E224&lt;0,0,IF(E224&gt;=20,0.69,ROUND('Reference Standards'!$X$9*E224^2+'Reference Standards'!$X$10*E224+'Reference Standards'!$X$11,2))),IF(OR(AND($B189="74a",$D$2&gt;2,$G187="January - June"),AND($B189="71i",$D186&gt;2,$G188="SQBANK")),IF(E224&lt;0,0,IF(E224&gt;24.7,0.69,ROUND('Reference Standards'!$Y$9*E224^2+'Reference Standards'!$Y$10*E224+'Reference Standards'!$Y$11,2))),IF(OR($B189="74b",$B189="65abei"),IF(E224&lt;0,0,IF(E224&gt;32.7,0.69,ROUND('Reference Standards'!$Z$9*E224^2+'Reference Standards'!$Z$10*E224+'Reference Standards'!$Z$11,2))),IF(AND($B189="68b",$D186&gt;2),IF(E224&lt;0,0,IF(E224&gt;41.2,0.69,ROUND('Reference Standards'!$AA$9*E224^2+'Reference Standards'!$AA$10*E224+'Reference Standards'!$AA$11,2))),IF(OR(AND($B189="71i",$D186&lt;=2),AND(OR($B189="68c",$B189="68d"),$G187="January - June")),IF(E224&lt;0,0,IF(E224&gt;49.2,0.69,ROUND('Reference Standards'!$W$15*E224^2+'Reference Standards'!$W$16*E224+'Reference Standards'!$W$17,2))),IF(OR(AND($B189="68a",$G187="January - June"),AND(OR($B189="68c",$B189="68d"),$G187="July - December")),IF(E224&lt;0,0,IF(E224&gt;53.4,0.69,ROUND('Reference Standards'!$X$15*E224^2+'Reference Standards'!$X$16*E224+'Reference Standards'!$X$17,2))),IF(OR(AND($B189="71i",$D186&gt;2,$G188="SQKICK"),AND(OR($B189="67fhi",$B189="67g"),$D186&lt;=2),$B189="65j"),IF(E224&lt;0,0,IF(E224&gt;57.8,0.69,ROUND('Reference Standards'!$Y$15*E224^2+'Reference Standards'!$Y$16*E224+'Reference Standards'!$Y$17,2))),IF(OR(AND($B189="74a",$D186&gt;2,$G187="July - December"),AND(OR($B189="67fhi",$B189="67g"),$D186&gt;2),$B189="69de"),IF(E224&lt;0,0,IF(E224&gt;62.5,0.69,ROUND('Reference Standards'!$Z$15*E224^2+'Reference Standards'!$Z$16*E224+'Reference Standards'!$Z$17,2))),  IF(OR($B189="66d",$B189="66e",$B189="66ik",$B189="71e",$B189="71f",$B189="71g",$B189="71h"),IF(E224&lt;0,0,IF(E224&gt;66.5,0.69,ROUND('Reference Standards'!$AA$15*E224^2+'Reference Standards'!$AA$16*E224+'Reference Standards'!$AA$17,2))),IF(OR($B189="66f",$B189="66g",$B189="66j",AND($B189="68a",$G187="July - December")), IF(E224&lt;0,0,IF(E224&gt;69,0.69,ROUND('Reference Standards'!$AB$15*E224^2+'Reference Standards'!$AB$16*E224+'Reference Standards'!$AB$17,2))))   ))))))))))))</f>
        <v/>
      </c>
      <c r="G224" s="356"/>
      <c r="H224" s="336"/>
      <c r="I224" s="314"/>
      <c r="J224" s="315"/>
    </row>
    <row r="225" spans="1:10" ht="15.6" x14ac:dyDescent="0.3">
      <c r="A225" s="334"/>
      <c r="B225" s="342"/>
      <c r="C225" s="45" t="s">
        <v>286</v>
      </c>
      <c r="D225" s="46"/>
      <c r="E225" s="42"/>
      <c r="F225" s="106" t="str">
        <f>IF(D189="Ephemeral","",IF(E225="","",IF(AND($B189="74b",$D186&lt;=2),IF(E225&lt;0,0,IF(E225&gt;8.1,0.69,ROUND('Reference Standards'!$W$21*E225^2+'Reference Standards'!$W$22*E225+'Reference Standards'!$W$23,2))),IF(OR($B189="73a",$B189="73b"),IF(E225&lt;0,0,IF(E225&gt;=28,0.69,ROUND('Reference Standards'!$X$21*E225^2+'Reference Standards'!$X$22*E225+'Reference Standards'!$X$23,2))),IF(AND($B189="74a",$D186&gt;2,$G187="January - June"),IF(E225&lt;0,0,IF(E225&gt;=32.5,0.69,ROUND('Reference Standards'!$Y$21*E225^2+'Reference Standards'!$Y$22*E225+'Reference Standards'!$Y$23,2))),IF(AND($B189="71i",$D186&gt;2,$G188="SQBANK"),IF(E225&lt;0,0,IF(E225&gt;=37,0.69,ROUND('Reference Standards'!$Z$21*E225^2+'Reference Standards'!$Z$22*E225+'Reference Standards'!$Z$23,2))),IF(OR(AND(OR($B189="65abei",$B189="74b"),$D186&gt;2),AND($B189="71i",$D186&gt;2,$G188="SQKICK")),IF(E225&lt;0,0,IF(E225&gt;42.6,0.69,ROUND('Reference Standards'!$AA$21*E225^2+'Reference Standards'!$AA$22*E225+'Reference Standards'!$AA$23,2))),     IF(OR(AND($B189="65abei",$D186&lt;=2),AND(OR($B189="68c",$B189="68d"),$G187="July - December"),$B189="71e"),IF(E225&lt;0,0,IF(E225&gt;=48,0.69,ROUND('Reference Standards'!$W$27*E225^2+'Reference Standards'!$W$28*E225+'Reference Standards'!$W$29,2))),IF(OR($B189="65j",$B189="67fhi",$B189="67g",AND($B189="74a",$G187="July - December",$D186&gt;2),AND($B189="71i",$D186&lt;=2)),IF(E225&lt;0,0,IF(E225&gt;=53,0.69,ROUND('Reference Standards'!$X$27*E225^2+'Reference Standards'!$X$28*E225+'Reference Standards'!$X$29,2))),IF(OR(AND(OR($B189="68b",$B189="71f",$B189="71g",$B189="71h"),$D186&gt;2),$B189="68a"),IF(E225&lt;0,0,IF(E225&gt;=57,0.69,ROUND('Reference Standards'!$Y$27*E225^2+'Reference Standards'!$Y$28*E225+'Reference Standards'!$Y$29,2))),IF(OR($B189="66f",$B189="66g",$B189="66j",AND(OR($B189="71f",$B189="71g",$B189="71h"),$D186&lt;=2)),IF(E225&lt;0,0,IF(E225&gt;=60,0.69,ROUND('Reference Standards'!$Z$27*E225^2+'Reference Standards'!$Z$28*E225+'Reference Standards'!$Z$29,2))),  IF(OR($B189="66d",$B189="66e",$B189="66ik", AND(OR($B189="68c",$B189="68d"),$G187="January - June"),AND($B189="69de",$G187="July - December")),IF(E225&lt;0,0,IF(E225&gt;=67.5,0.69,ROUND('Reference Standards'!$AA$27*E225^2+'Reference Standards'!$AA$28*E225+'Reference Standards'!$AA$29,2))),IF(AND($B189="69de",$G187="January - June"), IF(E225&lt;0,0,IF(E225&gt;=72,0.69,ROUND('Reference Standards'!$AB$27*E225^2+'Reference Standards'!$AB$28*E225+'Reference Standards'!$AB$29,2))))   ))))))))))))</f>
        <v/>
      </c>
      <c r="G225" s="356"/>
      <c r="H225" s="336"/>
      <c r="I225" s="314"/>
      <c r="J225" s="315"/>
    </row>
    <row r="226" spans="1:10" ht="15.6" x14ac:dyDescent="0.3">
      <c r="A226" s="334"/>
      <c r="B226" s="343"/>
      <c r="C226" s="35" t="s">
        <v>283</v>
      </c>
      <c r="D226" s="25"/>
      <c r="E226" s="44"/>
      <c r="F226" s="106" t="str">
        <f>IF(D189="Ephemeral","",IF(E226="","",IF(OR($B189="67fhi",$B189="67g",$B189="71e",$B189="73a",$B189="73b",AND(OR($B189="71f",$B189="71g",$B189="71h"),$D186&gt;2)),IF(E226&gt;100,0,IF(E226&lt;15,0.69,ROUND('Reference Standards'!$W$33*E226^2+'Reference Standards'!$W$34*E226+'Reference Standards'!$W$35,2))),  IF(OR($B189="66d",$B189="66e",$B189="66ik",$B189="66f",$B189="66g",$B189="66j",$B189="68a",$B189="68c",$B189="68d",AND($B189="69de",$G187="July - December"), AND($B189="71i",$D186&lt;=2), AND($B189="71i",$D186&gt;2,$G188="SQBANK" ), AND($B189="74a",$D186&gt;2,$G187="July - December") ),IF(E226&gt;100,0,IF(E226&lt;19,0.69,ROUND('Reference Standards'!$X$33*E226^2+'Reference Standards'!$X$34*E226+'Reference Standards'!$X$35,2))),    IF(OR(AND($B189="69de",$G187="January - June"),AND($B189="71i",$D186&gt;2,$G188="SQKICK" )),IF(E226&gt;100,0,IF(E226&lt;22,0.69,ROUND('Reference Standards'!$Y$33*E226^2+'Reference Standards'!$Y$34*E226+'Reference Standards'!$Y$35,2))),    IF(OR($B189="65j",AND($B189="68b",$D186&gt;2)),IF(E226&gt;100,0,IF(E226&lt;24,0.69,ROUND('Reference Standards'!$Z$33*E226^2+'Reference Standards'!$Z$34*E226+'Reference Standards'!$Z$35,2))),    IF(AND(OR($B189="65abei",$B189="71f",$B189="71g",$B189="71h"),$D186&lt;=2),IF(E226&gt;95,0,IF(E226&lt;33,0.69,ROUND('Reference Standards'!$W$39*E226^2+'Reference Standards'!$W$40*E226+'Reference Standards'!$W$41,2))),   IF(AND(OR($B189="65abei",$B189="74b"),$D186&gt;2),IF(E226&gt;97,0,IF(E226&lt;36,0.69,ROUND('Reference Standards'!$X$39*E226^2+'Reference Standards'!$X$40*E226+'Reference Standards'!$X$41,2))),  IF(AND($B189="74a",$G187="January - June",$D186&gt;2),IF(E226&gt;93,0,IF(E226&lt;52,0.69,ROUND('Reference Standards'!$Y$39*E226^2+'Reference Standards'!$Y$40*E226+'Reference Standards'!$Y$41,2))),   IF(AND($B189="74b",$D186&lt;=2),IF(E226&gt;97,0,IF(E226&lt;62,0.69,ROUND('Reference Standards'!$Z$39*E226^2+'Reference Standards'!$Z$40*E226+'Reference Standards'!$Z$41,2)))  ))))))))))</f>
        <v/>
      </c>
      <c r="G226" s="356"/>
      <c r="H226" s="336"/>
      <c r="I226" s="314"/>
      <c r="J226" s="315"/>
    </row>
    <row r="227" spans="1:10" ht="15.6" x14ac:dyDescent="0.3">
      <c r="A227" s="334"/>
      <c r="B227" s="337" t="s">
        <v>65</v>
      </c>
      <c r="C227" s="33" t="s">
        <v>174</v>
      </c>
      <c r="D227" s="34"/>
      <c r="E227" s="36"/>
      <c r="F227" s="105" t="str">
        <f>IF(D189="Ephemeral","",IF(E227="","",IF(E227=1,0.15,IF(E227=3,0.5,IF(E227=5,0.85,0)))))</f>
        <v/>
      </c>
      <c r="G227" s="338" t="str">
        <f>IFERROR(ROUND(AVERAGE(F227:F228),2),"")</f>
        <v/>
      </c>
      <c r="H227" s="336"/>
      <c r="I227" s="314"/>
      <c r="J227" s="315"/>
    </row>
    <row r="228" spans="1:10" ht="15.6" x14ac:dyDescent="0.3">
      <c r="A228" s="335"/>
      <c r="B228" s="337"/>
      <c r="C228" s="35" t="s">
        <v>279</v>
      </c>
      <c r="D228" s="25"/>
      <c r="E228" s="41"/>
      <c r="F228" s="107" t="str">
        <f>IF(D189="Ephemeral","",IF(E228="","",IF(E228=1,0.15,IF(E228=3,0.5,IF(E228=5,0.85,0)))))</f>
        <v/>
      </c>
      <c r="G228" s="339"/>
      <c r="H228" s="336"/>
      <c r="I228" s="314"/>
      <c r="J228" s="315"/>
    </row>
    <row r="229" spans="1:10" ht="6" customHeight="1" x14ac:dyDescent="0.3"/>
    <row r="230" spans="1:10" ht="6" customHeight="1" x14ac:dyDescent="0.3"/>
    <row r="231" spans="1:10" ht="21" customHeight="1" x14ac:dyDescent="0.3">
      <c r="A231" s="296" t="s">
        <v>295</v>
      </c>
      <c r="B231" s="297"/>
      <c r="C231" s="297"/>
      <c r="D231" s="297"/>
      <c r="E231" s="297"/>
      <c r="F231" s="297"/>
      <c r="G231" s="297"/>
      <c r="H231" s="297"/>
      <c r="I231" s="297"/>
      <c r="J231" s="298"/>
    </row>
    <row r="232" spans="1:10" ht="17.399999999999999" customHeight="1" x14ac:dyDescent="0.3">
      <c r="A232" s="6" t="s">
        <v>85</v>
      </c>
      <c r="B232" s="7"/>
      <c r="C232" s="6" t="s">
        <v>15</v>
      </c>
      <c r="D232" s="7"/>
      <c r="E232" s="165" t="s">
        <v>387</v>
      </c>
      <c r="F232" s="168"/>
      <c r="G232" s="166"/>
      <c r="H232" s="299" t="s">
        <v>367</v>
      </c>
      <c r="I232" s="300"/>
      <c r="J232" s="7"/>
    </row>
    <row r="233" spans="1:10" ht="17.399999999999999" customHeight="1" x14ac:dyDescent="0.3">
      <c r="A233" s="6" t="s">
        <v>86</v>
      </c>
      <c r="B233" s="39"/>
      <c r="C233" s="6" t="s">
        <v>371</v>
      </c>
      <c r="D233" s="39"/>
      <c r="E233" s="6" t="s">
        <v>94</v>
      </c>
      <c r="F233" s="6"/>
      <c r="G233" s="39"/>
      <c r="H233" s="299" t="s">
        <v>368</v>
      </c>
      <c r="I233" s="300"/>
      <c r="J233" s="7"/>
    </row>
    <row r="234" spans="1:10" ht="17.399999999999999" customHeight="1" x14ac:dyDescent="0.3">
      <c r="A234" s="6" t="s">
        <v>365</v>
      </c>
      <c r="B234" s="39"/>
      <c r="C234" s="6" t="s">
        <v>372</v>
      </c>
      <c r="D234" s="7"/>
      <c r="E234" s="331" t="s">
        <v>150</v>
      </c>
      <c r="F234" s="331"/>
      <c r="G234" s="39"/>
      <c r="H234" s="299" t="s">
        <v>369</v>
      </c>
      <c r="I234" s="300"/>
      <c r="J234" s="7"/>
    </row>
    <row r="235" spans="1:10" ht="17.399999999999999" customHeight="1" x14ac:dyDescent="0.3">
      <c r="A235" s="6" t="s">
        <v>290</v>
      </c>
      <c r="B235" s="39"/>
      <c r="C235" s="6" t="s">
        <v>351</v>
      </c>
      <c r="D235" s="39"/>
      <c r="E235" s="332" t="s">
        <v>260</v>
      </c>
      <c r="F235" s="332"/>
      <c r="G235" s="39"/>
      <c r="H235" s="299" t="s">
        <v>370</v>
      </c>
      <c r="I235" s="300"/>
      <c r="J235" s="7"/>
    </row>
    <row r="236" spans="1:10" ht="6" customHeight="1" x14ac:dyDescent="0.3">
      <c r="H236" s="3"/>
      <c r="I236" s="110"/>
      <c r="J236" s="3"/>
    </row>
    <row r="237" spans="1:10" ht="21" x14ac:dyDescent="0.4">
      <c r="A237" s="301" t="s">
        <v>54</v>
      </c>
      <c r="B237" s="302"/>
      <c r="C237" s="302"/>
      <c r="D237" s="302"/>
      <c r="E237" s="302"/>
      <c r="F237" s="303"/>
      <c r="G237" s="304" t="s">
        <v>16</v>
      </c>
      <c r="H237" s="304"/>
      <c r="I237" s="304"/>
      <c r="J237" s="304"/>
    </row>
    <row r="238" spans="1:10" ht="15.6" x14ac:dyDescent="0.3">
      <c r="A238" s="8" t="s">
        <v>1</v>
      </c>
      <c r="B238" s="8" t="s">
        <v>2</v>
      </c>
      <c r="C238" s="305" t="s">
        <v>3</v>
      </c>
      <c r="D238" s="306"/>
      <c r="E238" s="8" t="s">
        <v>13</v>
      </c>
      <c r="F238" s="37" t="s">
        <v>14</v>
      </c>
      <c r="G238" s="8" t="s">
        <v>17</v>
      </c>
      <c r="H238" s="8" t="s">
        <v>18</v>
      </c>
      <c r="I238" s="111" t="s">
        <v>18</v>
      </c>
      <c r="J238" s="8" t="s">
        <v>296</v>
      </c>
    </row>
    <row r="239" spans="1:10" ht="15.75" customHeight="1" x14ac:dyDescent="0.3">
      <c r="A239" s="310" t="s">
        <v>57</v>
      </c>
      <c r="B239" s="94" t="s">
        <v>71</v>
      </c>
      <c r="C239" s="9" t="s">
        <v>313</v>
      </c>
      <c r="D239" s="9"/>
      <c r="E239" s="40"/>
      <c r="F239" s="138">
        <f>IF(E239="", IF(G232="Yes",1,0.8),IF(E239&lt;=0,0,IF(E239&gt;=0.95,1,ROUND('Reference Standards'!B$3*E239+'Reference Standards'!B$4,2))))</f>
        <v>0.8</v>
      </c>
      <c r="G239" s="135">
        <f>IFERROR(ROUND(AVERAGE(F239),2),"")</f>
        <v>0.8</v>
      </c>
      <c r="H239" s="312">
        <f>IFERROR(ROUND(AVERAGE(G239:G240),2),"")</f>
        <v>0.8</v>
      </c>
      <c r="I239" s="314" t="str">
        <f>IF(H239="","",IF(H239&gt;0.69,"Functioning",IF(H239&gt;0.29,"Functioning At Risk",IF(H239&gt;-1,"Not Functioning"))))</f>
        <v>Functioning</v>
      </c>
      <c r="J239" s="315">
        <f>IF(AND(H239="",H241="",H243="",H265="",H269=""),"",ROUND((IF(H239="",0,H239)*0.2),2)+ROUND((IF(H241="",0,H241)*0.2),2)+ROUND((IF(H243="",0,H243)*0.2),2)+ROUND((IF(H265="",0,H265)*0.2),2)+ROUND((IF(H269="",0,H269)*0.2),2))</f>
        <v>0.8</v>
      </c>
    </row>
    <row r="240" spans="1:10" ht="15.6" x14ac:dyDescent="0.3">
      <c r="A240" s="311"/>
      <c r="B240" s="139" t="s">
        <v>97</v>
      </c>
      <c r="C240" s="136" t="s">
        <v>125</v>
      </c>
      <c r="D240" s="137"/>
      <c r="E240" s="7"/>
      <c r="F240" s="138">
        <f>IF(E240="", IF(G232="Yes",1,0.8),IF(E240&gt;=1,1,IF(E240&lt;=0,0,ROUND(E240,2))))</f>
        <v>0.8</v>
      </c>
      <c r="G240" s="135">
        <f>IFERROR(ROUND(AVERAGE(F240),2),"")</f>
        <v>0.8</v>
      </c>
      <c r="H240" s="313"/>
      <c r="I240" s="314"/>
      <c r="J240" s="315"/>
    </row>
    <row r="241" spans="1:10" ht="15.6" x14ac:dyDescent="0.3">
      <c r="A241" s="322" t="s">
        <v>4</v>
      </c>
      <c r="B241" s="324" t="s">
        <v>5</v>
      </c>
      <c r="C241" s="11" t="s">
        <v>6</v>
      </c>
      <c r="D241" s="11"/>
      <c r="E241" s="40"/>
      <c r="F241" s="98">
        <f>IF(D235="Ephemeral","",IF(E241="",IF(G232="Yes",1,0.8),ROUND(IF(E241&gt;1.6,0,IF(E241&lt;=1,1,E241^2*'Reference Standards'!E$3+E241*'Reference Standards'!E$4+'Reference Standards'!E$5)),2)))</f>
        <v>0.8</v>
      </c>
      <c r="G241" s="353">
        <f>IFERROR(ROUND(AVERAGE(F241:F242),2),"")</f>
        <v>0.8</v>
      </c>
      <c r="H241" s="354">
        <f>IFERROR(ROUND(AVERAGE(G241),2),"")</f>
        <v>0.8</v>
      </c>
      <c r="I241" s="346" t="str">
        <f>IF(H241="","",IF(H241&gt;0.69,"Functioning",IF(H241&gt;0.29,"Functioning At Risk",IF(H241&gt;-1,"Not Functioning"))))</f>
        <v>Functioning</v>
      </c>
      <c r="J241" s="315"/>
    </row>
    <row r="242" spans="1:10" ht="15.6" x14ac:dyDescent="0.3">
      <c r="A242" s="323"/>
      <c r="B242" s="324"/>
      <c r="C242" s="11" t="s">
        <v>7</v>
      </c>
      <c r="D242" s="11"/>
      <c r="E242" s="40"/>
      <c r="F242" s="98">
        <f>IF(D235="Ephemeral","",IF(E242="",IF(G232="Yes",1,0.8),(IF(OR(B234="A",B234="B",$B234="Bc"),IF(E242&lt;1.2,0,IF(E242&gt;=2.2,1,ROUND(IF(E242&lt;1.4,E242*'Reference Standards'!$E$14+'Reference Standards'!$E$15,E242*'Reference Standards'!$F$14+'Reference Standards'!$F$15),2))),IF(OR(B234="C",B234="E"),IF(E242&lt;2,0,IF(E242&gt;=5,1,ROUND(IF(E242&lt;2.4,E242*'Reference Standards'!$F$9+'Reference Standards'!$F$10,E242*'Reference Standards'!$E$9+'Reference Standards'!$E$10),2))))))))</f>
        <v>0.8</v>
      </c>
      <c r="G242" s="353"/>
      <c r="H242" s="355"/>
      <c r="I242" s="347"/>
      <c r="J242" s="315"/>
    </row>
    <row r="243" spans="1:10" ht="15.75" customHeight="1" x14ac:dyDescent="0.3">
      <c r="A243" s="321" t="s">
        <v>23</v>
      </c>
      <c r="B243" s="348" t="s">
        <v>24</v>
      </c>
      <c r="C243" s="15" t="s">
        <v>280</v>
      </c>
      <c r="D243" s="71"/>
      <c r="E243" s="16"/>
      <c r="F243" s="99" t="str">
        <f>IF(E243="","",IF(OR(LEFT($B235,2)="65",LEFT($B235,2)="66",LEFT($B235,2)="74",LEFT($B235,2)="73"),IF(E243&gt;=850,1,IF(E243&lt;250,ROUND('Reference Standards'!$H$5*(E243)+'Reference Standards'!$H$6,2),ROUND('Reference Standards'!$I$5*E243+'Reference Standards'!$I$6,2))),  IF(E243&gt;=345,1,IF(E243&lt;=180,ROUND('Reference Standards'!J$5*(E243)+'Reference Standards'!J$6,2),ROUND('Reference Standards'!K$5*E243+'Reference Standards'!K$6,2))))    )</f>
        <v/>
      </c>
      <c r="G243" s="318">
        <f>IFERROR(ROUND(AVERAGE(F243:F244),2),"")</f>
        <v>0.8</v>
      </c>
      <c r="H243" s="350">
        <f>IFERROR(ROUND(AVERAGE(G243:G264),2),"")</f>
        <v>0.8</v>
      </c>
      <c r="I243" s="352" t="str">
        <f>IF(H243="","",IF(H243&gt;0.69,"Functioning",IF(H243&gt;0.29,"Functioning At Risk",IF(H243&gt;-1,"Not Functioning"))))</f>
        <v>Functioning</v>
      </c>
      <c r="J243" s="315"/>
    </row>
    <row r="244" spans="1:10" ht="15.6" x14ac:dyDescent="0.3">
      <c r="A244" s="316"/>
      <c r="B244" s="349"/>
      <c r="C244" s="18" t="s">
        <v>267</v>
      </c>
      <c r="D244" s="72"/>
      <c r="E244" s="10"/>
      <c r="F244" s="100">
        <f>IF(ISNUMBER(E243),"",IF(E244="",IF(G232="Yes",1,0.8),IF(OR(LEFT($B235,2)="65",LEFT($B235,2)="66",LEFT($B235,2)="74",LEFT($B235,2)="73"),IF(E244&gt;=30,1,IF(E244&lt;13,ROUND('Reference Standards'!$H$11*(E244)+'Reference Standards'!$H$12,2),ROUND('Reference Standards'!$I$11*E244+'Reference Standards'!$I$12,2))),  IF(E244&gt;=16,1,IF(E244&lt;=9,ROUND('Reference Standards'!J$11*(E244)+'Reference Standards'!J$12,2),ROUND('Reference Standards'!K$11*E244+'Reference Standards'!K$12,2))))    ))</f>
        <v>0.8</v>
      </c>
      <c r="G244" s="320"/>
      <c r="H244" s="350"/>
      <c r="I244" s="352"/>
      <c r="J244" s="315"/>
    </row>
    <row r="245" spans="1:10" ht="15.6" x14ac:dyDescent="0.3">
      <c r="A245" s="316"/>
      <c r="B245" s="316" t="s">
        <v>350</v>
      </c>
      <c r="C245" s="13" t="s">
        <v>66</v>
      </c>
      <c r="D245" s="13"/>
      <c r="E245" s="42"/>
      <c r="F245" s="99" t="str">
        <f>IF(E245="","",ROUND(IF(E245&gt;0.7,0,IF(E245&lt;=0.1,1,E245^3*'Reference Standards'!H$15+E245^2*'Reference Standards'!H$16+E245*'Reference Standards'!H$17+'Reference Standards'!H$18)),2))</f>
        <v/>
      </c>
      <c r="G245" s="318">
        <f>IFERROR(ROUND(AVERAGE(F245:F248),2),"")</f>
        <v>0.8</v>
      </c>
      <c r="H245" s="351"/>
      <c r="I245" s="352"/>
      <c r="J245" s="315"/>
    </row>
    <row r="246" spans="1:10" ht="15.6" x14ac:dyDescent="0.3">
      <c r="A246" s="316"/>
      <c r="B246" s="316"/>
      <c r="C246" s="13" t="s">
        <v>47</v>
      </c>
      <c r="D246" s="13"/>
      <c r="E246" s="42"/>
      <c r="F246" s="28">
        <f>IF(ISNUMBER(E245),"", IF(AND(E245="",E246=""),IF(G232="Yes",1,0.8),IF(OR(E246="Ex/Ex",E246="Ex/VH"),0, IF(OR(E246="Ex/H",E246="VH/Ex",E246="VH/VH", E246="H/Ex",E246="H/VH",E246="M/Ex"),0.1,IF(OR(E246="Ex/M",E246="VH/H",E246="H/H", E246="M/VH"),0.2, IF(OR(E246="Ex/L",E246="VH/M",E246="H/M", E246="M/H",E246="L/Ex"),0.3, IF(OR(E246="Ex/VL",E246="VH/L",E246="H/L"),0.4, IF(OR(E246="VH/VL",E246="H/VL",E246="M/M", E246="L/VH"),0.5, IF(OR(E246="M/L",E246="L/H"),0.6, IF(OR(E246="M/VL",E246="L/M"),0.7, IF(OR(E246="L/L",E246="L/VL"),1)))))))))))</f>
        <v>0.8</v>
      </c>
      <c r="G246" s="319"/>
      <c r="H246" s="351"/>
      <c r="I246" s="352"/>
      <c r="J246" s="315"/>
    </row>
    <row r="247" spans="1:10" ht="15.6" x14ac:dyDescent="0.3">
      <c r="A247" s="316"/>
      <c r="B247" s="316"/>
      <c r="C247" s="14" t="s">
        <v>72</v>
      </c>
      <c r="D247" s="13"/>
      <c r="E247" s="42"/>
      <c r="F247" s="28">
        <f>IF(E247="",IF(G232="Yes",1,0.8),ROUND(IF(E247&gt;40,0,IF(E247&lt;5,1,E247^3*'Reference Standards'!H$21+E247^2*'Reference Standards'!H$22+E247*'Reference Standards'!H$23+'Reference Standards'!H$24)),2))</f>
        <v>0.8</v>
      </c>
      <c r="G247" s="319"/>
      <c r="H247" s="351"/>
      <c r="I247" s="352"/>
      <c r="J247" s="315"/>
    </row>
    <row r="248" spans="1:10" ht="15.6" x14ac:dyDescent="0.3">
      <c r="A248" s="316"/>
      <c r="B248" s="317"/>
      <c r="C248" s="14" t="s">
        <v>349</v>
      </c>
      <c r="D248" s="14"/>
      <c r="E248" s="44"/>
      <c r="F248" s="100">
        <f>IF(E248="",IF(G232="Yes",1,0.8),ROUND(IF(E248&gt;=30,0,IF(E248&lt;=0,1,E248*'Reference Standards'!H$27+'Reference Standards'!H$28)),2))</f>
        <v>0.8</v>
      </c>
      <c r="G248" s="320"/>
      <c r="H248" s="351"/>
      <c r="I248" s="352"/>
      <c r="J248" s="315"/>
    </row>
    <row r="249" spans="1:10" ht="15.6" x14ac:dyDescent="0.3">
      <c r="A249" s="316"/>
      <c r="B249" s="316" t="s">
        <v>48</v>
      </c>
      <c r="C249" s="15" t="s">
        <v>314</v>
      </c>
      <c r="D249" s="19"/>
      <c r="E249" s="36"/>
      <c r="F249" s="92">
        <f>IF(E249="",IF(G232="Yes",1,0.8),ROUND(IF(E249&gt;9.2,1,E249*'Reference Standards'!H$31+'Reference Standards'!H$32),2))</f>
        <v>0.8</v>
      </c>
      <c r="G249" s="307">
        <f>IFERROR(ROUND(AVERAGE(F249:F258),2),"")</f>
        <v>0.8</v>
      </c>
      <c r="H249" s="351"/>
      <c r="I249" s="352"/>
      <c r="J249" s="315"/>
    </row>
    <row r="250" spans="1:10" ht="15.6" x14ac:dyDescent="0.3">
      <c r="A250" s="316"/>
      <c r="B250" s="316"/>
      <c r="C250" s="17" t="s">
        <v>315</v>
      </c>
      <c r="D250" s="13"/>
      <c r="E250" s="40"/>
      <c r="F250" s="92">
        <f>IF(E250="",IF(G232="Yes",1,0.8),ROUND(IF(E250&gt;9.2,1,E250*'Reference Standards'!H$31+'Reference Standards'!H$32),2))</f>
        <v>0.8</v>
      </c>
      <c r="G250" s="308"/>
      <c r="H250" s="351"/>
      <c r="I250" s="352"/>
      <c r="J250" s="315"/>
    </row>
    <row r="251" spans="1:10" ht="15.6" x14ac:dyDescent="0.3">
      <c r="A251" s="316"/>
      <c r="B251" s="316"/>
      <c r="C251" s="17" t="s">
        <v>316</v>
      </c>
      <c r="D251" s="13"/>
      <c r="E251" s="40"/>
      <c r="F251" s="92">
        <f>IF(E251="",IF(G232="Yes",1,0.8),ROUND( IF(E251&gt;=200,1,IF(E251&lt;50, E251^2*'Reference Standards'!H$36+E251*'Reference Standards'!H$37+'Reference Standards'!H$38, E251*'Reference Standards'!I$37+'Reference Standards'!I$38)),2))</f>
        <v>0.8</v>
      </c>
      <c r="G251" s="308"/>
      <c r="H251" s="351"/>
      <c r="I251" s="352"/>
      <c r="J251" s="315"/>
    </row>
    <row r="252" spans="1:10" ht="15.6" x14ac:dyDescent="0.3">
      <c r="A252" s="316"/>
      <c r="B252" s="316"/>
      <c r="C252" s="17" t="s">
        <v>317</v>
      </c>
      <c r="D252" s="13"/>
      <c r="E252" s="40"/>
      <c r="F252" s="92">
        <f>IF(E252="",IF(G232="Yes",1,0.8),ROUND( IF(E252&gt;=200,1,IF(E252&lt;50, E252^2*'Reference Standards'!H$36+E252*'Reference Standards'!H$37+'Reference Standards'!H$38, E252*'Reference Standards'!I$37+'Reference Standards'!I$38)),2))</f>
        <v>0.8</v>
      </c>
      <c r="G252" s="308"/>
      <c r="H252" s="351"/>
      <c r="I252" s="352"/>
      <c r="J252" s="315"/>
    </row>
    <row r="253" spans="1:10" ht="15.6" x14ac:dyDescent="0.3">
      <c r="A253" s="316"/>
      <c r="B253" s="316"/>
      <c r="C253" s="13" t="s">
        <v>318</v>
      </c>
      <c r="D253" s="13"/>
      <c r="E253" s="40"/>
      <c r="F253" s="92">
        <f>IF(E253="",IF(G232="Yes",1,0.8),ROUND(IF(AND(E253&gt;=135,E253&lt;=262),1,IF(E253&gt;=366,0.5,IF(E253&lt;135,E253*'Reference Standards'!H$42+'Reference Standards'!H$43,E253*'Reference Standards'!I$42+'Reference Standards'!I$43))),2))</f>
        <v>0.8</v>
      </c>
      <c r="G253" s="308"/>
      <c r="H253" s="351"/>
      <c r="I253" s="352"/>
      <c r="J253" s="315"/>
    </row>
    <row r="254" spans="1:10" ht="15.6" x14ac:dyDescent="0.3">
      <c r="A254" s="316"/>
      <c r="B254" s="316"/>
      <c r="C254" s="13" t="s">
        <v>319</v>
      </c>
      <c r="D254" s="13"/>
      <c r="E254" s="40"/>
      <c r="F254" s="92">
        <f>IF(E254="",IF(G232="Yes",1,0.8),ROUND(IF(AND(E254&gt;=135,E254&lt;=262),1,IF(E254&gt;=366,0.5,IF(E254&lt;135,E254*'Reference Standards'!H$42+'Reference Standards'!H$43,E254*'Reference Standards'!I$42+'Reference Standards'!I$43))),2))</f>
        <v>0.8</v>
      </c>
      <c r="G254" s="308"/>
      <c r="H254" s="351"/>
      <c r="I254" s="352"/>
      <c r="J254" s="315"/>
    </row>
    <row r="255" spans="1:10" ht="15.6" x14ac:dyDescent="0.3">
      <c r="A255" s="316"/>
      <c r="B255" s="316"/>
      <c r="C255" s="13" t="s">
        <v>320</v>
      </c>
      <c r="D255" s="13"/>
      <c r="E255" s="40"/>
      <c r="F255" s="28">
        <f>IF(E255="",IF(G232="Yes",1,0.8),ROUND(IF(E255&gt;=75,1,IF(E255&lt;=0,0,E255*'Reference Standards'!H$46)),2))</f>
        <v>0.8</v>
      </c>
      <c r="G255" s="308"/>
      <c r="H255" s="351"/>
      <c r="I255" s="352"/>
      <c r="J255" s="315"/>
    </row>
    <row r="256" spans="1:10" ht="15.6" x14ac:dyDescent="0.3">
      <c r="A256" s="316"/>
      <c r="B256" s="316"/>
      <c r="C256" s="13" t="s">
        <v>321</v>
      </c>
      <c r="D256" s="13"/>
      <c r="E256" s="40"/>
      <c r="F256" s="28">
        <f>IF(E256="",IF(G232="Yes",1,0.8),ROUND(IF(E256&gt;=75,1,IF(E256&lt;=0,0,E256*'Reference Standards'!H$46)),2))</f>
        <v>0.8</v>
      </c>
      <c r="G256" s="308"/>
      <c r="H256" s="351"/>
      <c r="I256" s="352"/>
      <c r="J256" s="315"/>
    </row>
    <row r="257" spans="1:10" ht="15.6" x14ac:dyDescent="0.3">
      <c r="A257" s="316"/>
      <c r="B257" s="316"/>
      <c r="C257" s="13" t="s">
        <v>322</v>
      </c>
      <c r="D257" s="13"/>
      <c r="E257" s="40"/>
      <c r="F257" s="92">
        <f>IF(E257="",IF(G232="Yes",1,0.8),ROUND(IF(AND(E257&gt;=36.3,E257&lt;=68),1,IF(E257&gt;100,0,IF(E257&lt;36.3,(('Reference Standards'!H$51*(E257^2))+('Reference Standards'!H$52*E257)+'Reference Standards'!H$53),IF(E257&gt;68,(('Reference Standards'!I$51*(E257^2))+('Reference Standards'!I$52*E257)+'Reference Standards'!I$53))))),2))</f>
        <v>0.8</v>
      </c>
      <c r="G257" s="308"/>
      <c r="H257" s="351"/>
      <c r="I257" s="352"/>
      <c r="J257" s="315"/>
    </row>
    <row r="258" spans="1:10" ht="15.6" x14ac:dyDescent="0.3">
      <c r="A258" s="316"/>
      <c r="B258" s="317"/>
      <c r="C258" s="13" t="s">
        <v>323</v>
      </c>
      <c r="D258" s="20"/>
      <c r="E258" s="40"/>
      <c r="F258" s="92">
        <f>IF(E258="",IF(G232="Yes",1,0.8),ROUND(IF(AND(E258&gt;=36.3,E258&lt;=68),1,IF(E258&gt;100,0,IF(E258&lt;36.3,(('Reference Standards'!H$51*(E258^2))+('Reference Standards'!H$52*E258)+'Reference Standards'!H$53),IF(E258&gt;68,(('Reference Standards'!I$51*(E258^2))+('Reference Standards'!I$52*E258)+'Reference Standards'!I$53))))),2))</f>
        <v>0.8</v>
      </c>
      <c r="G258" s="309"/>
      <c r="H258" s="351"/>
      <c r="I258" s="352"/>
      <c r="J258" s="315"/>
    </row>
    <row r="259" spans="1:10" ht="15.6" x14ac:dyDescent="0.3">
      <c r="A259" s="316"/>
      <c r="B259" s="12" t="s">
        <v>87</v>
      </c>
      <c r="C259" s="26" t="s">
        <v>102</v>
      </c>
      <c r="D259" s="13"/>
      <c r="E259" s="7"/>
      <c r="F259" s="27" t="str">
        <f>IF(D235="Ephemeral","",IF(E259="","",IF(OR(D233="Cobble",D233="Gravel"),IF(E259&gt;0.1,1,IF(E259&lt;=0.01,0,ROUND(E259*'Reference Standards'!$H$56+'Reference Standards'!$H$57,2))))))</f>
        <v/>
      </c>
      <c r="G259" s="27" t="str">
        <f>IFERROR(ROUND(AVERAGE(F259),2),"")</f>
        <v/>
      </c>
      <c r="H259" s="351"/>
      <c r="I259" s="352"/>
      <c r="J259" s="315"/>
    </row>
    <row r="260" spans="1:10" ht="15.6" x14ac:dyDescent="0.3">
      <c r="A260" s="316"/>
      <c r="B260" s="321" t="s">
        <v>49</v>
      </c>
      <c r="C260" s="19" t="s">
        <v>50</v>
      </c>
      <c r="D260" s="19"/>
      <c r="E260" s="43"/>
      <c r="F260" s="102">
        <f>IF(D235="Ephemeral","",IF(AND(D233="Bedrock",E260=""),"",IF(E260="",IF(G232="Yes",1,0.8), IF(ISNUMBER($D234), IF($D234&lt;=2,IF(AND(E260&gt;=3,E260&lt;=5),1,IF(OR(E260&lt;=1,E260&gt;=7),0,ROUND(IF(E260&lt;3,E260*'Reference Standards'!H$61+'Reference Standards'!H$62,E260*'Reference Standards'!I$61+'Reference Standards'!I$62),2))),IF(E260&lt;=2.5,1,IF(E260&gt;=5.8,0,ROUND(E260*'Reference Standards'!H$65+'Reference Standards'!H$66,2))))))))</f>
        <v>0.8</v>
      </c>
      <c r="G260" s="307">
        <f>IFERROR(ROUND(AVERAGE(F260:F263),2),"")</f>
        <v>0.8</v>
      </c>
      <c r="H260" s="351"/>
      <c r="I260" s="352"/>
      <c r="J260" s="315"/>
    </row>
    <row r="261" spans="1:10" ht="15.6" x14ac:dyDescent="0.3">
      <c r="A261" s="316"/>
      <c r="B261" s="316"/>
      <c r="C261" s="13" t="s">
        <v>51</v>
      </c>
      <c r="D261" s="13"/>
      <c r="E261" s="42"/>
      <c r="F261" s="28">
        <f>IF(D235="Ephemeral","",IF(AND(D233="Bedrock",E261=""),"",IF(E261="",IF(G232="Yes",1,0.8),IF(E261&gt;=2.4,1,IF(E261&lt;=1,0,ROUND(IF(E261&lt;2.4,E261*'Reference Standards'!$H$70+'Reference Standards'!$H$71),2))))))</f>
        <v>0.8</v>
      </c>
      <c r="G261" s="308"/>
      <c r="H261" s="351"/>
      <c r="I261" s="352"/>
      <c r="J261" s="315"/>
    </row>
    <row r="262" spans="1:10" ht="15.6" x14ac:dyDescent="0.3">
      <c r="A262" s="316"/>
      <c r="B262" s="316"/>
      <c r="C262" s="13" t="s">
        <v>281</v>
      </c>
      <c r="D262" s="13"/>
      <c r="E262" s="42"/>
      <c r="F262" s="133">
        <f>IF(D235="Ephemeral","",IF(AND(D233="Bedrock",E260=""),"",IF(E262="",IF(G232="Yes",1,0.8),IF(LEFT($B235,2)="67",IF(AND(E262&gt;=45,E262&lt;=65),1,IF(OR(E262&lt;=20,E262&gt;=90),0,ROUND(IF(E262&lt;45,E262*'Reference Standards'!H$75+'Reference Standards'!H$76,E262*'Reference Standards'!I$75+'Reference Standards'!I$76),2))),IF(OR(LEFT($B235,2)="68",LEFT($B235,2)="69",LEFT($B235,2)="71"),IF(AND(E262&gt;=30,E262&lt;=50),1,IF(OR(E262&lt;=10,E262&gt;=70),0,ROUND(IF(E262&lt;30,E262*'Reference Standards'!H$80+'Reference Standards'!H$81,E262*'Reference Standards'!I$80+'Reference Standards'!I$81),2))),IF(LEFT($B235,2)="66",IF(AND(E262&gt;=20,E262&lt;=45),1,IF(OR(E262&lt;=0,E262&gt;=90),0,ROUND(IF(E262&lt;20,E262*'Reference Standards'!H$85+'Reference Standards'!H$86,E262*'Reference Standards'!I$85+'Reference Standards'!I$86),2))),IF(OR(LEFT($B235,2)="65",LEFT($B235,2)="74",LEFT($B235,2)="73"),IF(AND(E262&gt;=20,E262&lt;=30),1,IF(OR(E262&lt;=0,E262&gt;=50),0,ROUND(IF(E262&lt;20,E262*'Reference Standards'!H$90+'Reference Standards'!H$91,E262*'Reference Standards'!I$90+'Reference Standards'!I$91),2))))))))))</f>
        <v>0.8</v>
      </c>
      <c r="G262" s="308"/>
      <c r="H262" s="351"/>
      <c r="I262" s="352"/>
      <c r="J262" s="315"/>
    </row>
    <row r="263" spans="1:10" ht="15.6" x14ac:dyDescent="0.3">
      <c r="A263" s="316"/>
      <c r="B263" s="317"/>
      <c r="C263" s="17" t="s">
        <v>173</v>
      </c>
      <c r="D263" s="13"/>
      <c r="E263" s="44"/>
      <c r="F263" s="134" t="str">
        <f>IF(D235="Ephemeral","",IF(E263="","",IF(E263&gt;=1.6,0,IF(E263&lt;=1,1,ROUND('Reference Standards'!$H$94*E263^3+'Reference Standards'!$H$95*E263^2+'Reference Standards'!$H$96*E263+'Reference Standards'!$H$97,2)))))</f>
        <v/>
      </c>
      <c r="G263" s="309"/>
      <c r="H263" s="351"/>
      <c r="I263" s="352"/>
      <c r="J263" s="315"/>
    </row>
    <row r="264" spans="1:10" ht="15.6" x14ac:dyDescent="0.3">
      <c r="A264" s="317"/>
      <c r="B264" s="50" t="s">
        <v>53</v>
      </c>
      <c r="C264" s="69" t="s">
        <v>52</v>
      </c>
      <c r="D264" s="70"/>
      <c r="E264" s="68"/>
      <c r="F264" s="101">
        <f>IF(D235="Ephemeral","",IF(E264="",IF(G232="Yes",1,0.8),IF(AND(B234="E",$D233="Sand",G235="Unconfined Alluvial"),ROUND(IF(OR(E264&gt;1.8,E264&lt;1.3),0,IF(E264&lt;=1.6,1,E264*'Reference Standards'!H$100+'Reference Standards'!H$101)),2),    IF(G235="Unconfined Alluvial",ROUND(IF(OR(E264&lt;1.2, E264&gt;1.5),0,IF(E264&lt;=1.4,1,E264*'Reference Standards'!$H$104+'Reference Standards'!$H$105)),2), IF(G235="Confined Alluvial",ROUND(IF(E264&lt;1.15,0,IF(E264&lt;=1.4,E264*'Reference Standards'!$H$108+'Reference Standards'!$H$109,1)),2),  IF(G235="Colluvial",ROUND(IF(E264&gt;1.3,0,IF(E264&gt;1.2,E264*'Reference Standards'!$H$112+'Reference Standards'!$H$113,1)),2) ))))))</f>
        <v>0.8</v>
      </c>
      <c r="G264" s="28">
        <f>IFERROR(ROUND(AVERAGE(F264),2),"")</f>
        <v>0.8</v>
      </c>
      <c r="H264" s="351"/>
      <c r="I264" s="352"/>
      <c r="J264" s="315"/>
    </row>
    <row r="265" spans="1:10" ht="15.75" customHeight="1" x14ac:dyDescent="0.3">
      <c r="A265" s="325" t="s">
        <v>55</v>
      </c>
      <c r="B265" s="22" t="s">
        <v>73</v>
      </c>
      <c r="C265" s="24" t="s">
        <v>285</v>
      </c>
      <c r="D265" s="24"/>
      <c r="E265" s="7"/>
      <c r="F265" s="103">
        <f>IF(D235="Ephemeral","",IF(E265="",IF(G232="Yes",1,0.8),ROUND(IF(E265&gt;=942,0,IF(E265&lt;=487,E265*'Reference Standards'!M$4+'Reference Standards'!M$5,E265*'Reference Standards'!$N$4+'Reference Standards'!$N$5)),2)))</f>
        <v>0.8</v>
      </c>
      <c r="G265" s="29">
        <f>IFERROR(ROUND(AVERAGE(F265),2),"")</f>
        <v>0.8</v>
      </c>
      <c r="H265" s="328">
        <f>IFERROR(ROUND(AVERAGE(G265:G268),2),"")</f>
        <v>0.8</v>
      </c>
      <c r="I265" s="357" t="str">
        <f>IF(H265="","",IF(H265&gt;0.69,"Functioning",IF(H265&gt;0.29,"Functioning At Risk",IF(H265&gt;-1,"Not Functioning"))))</f>
        <v>Functioning</v>
      </c>
      <c r="J265" s="315"/>
    </row>
    <row r="266" spans="1:10" ht="15.6" x14ac:dyDescent="0.3">
      <c r="A266" s="326"/>
      <c r="B266" s="79" t="s">
        <v>289</v>
      </c>
      <c r="C266" s="21" t="s">
        <v>288</v>
      </c>
      <c r="D266" s="21"/>
      <c r="E266" s="41"/>
      <c r="F266" s="104" t="str">
        <f>IF(D235="Ephemeral","",IF(E266="","",IF(OR($B235="65abei",$B235="65j",$B235="66d",$B235="66e",$B235="66ik",$B235="66f",$B235="66g",$B235="66j",$B235="68a",$B235="69de",$B235="74b",AND(OR($B235="67fhi",$B235="67g"),$D232&lt;=2),AND(OR($B235="68c",$B235="68d"),$G233="January - June")),IF(E266&gt;93,0,IF(E266&lt;13,1,ROUND('Reference Standards'!$M$9*E266^2+'Reference Standards'!$M$10*E266+'Reference Standards'!$M$11,2))),IF(OR(AND(OR($B235="67fhi",$B235="67g",$B235="71f",$B235="71g",$B235="71h"),$D232&gt;2),AND(OR($B235="68c",$B235="68d"),$G233="July - December"),$B235="73a",$B235="73b"),IF(E266&gt;94,0,IF(E266&lt;17,1,ROUND('Reference Standards'!$N$9*E266^2+'Reference Standards'!$N$10*E266+'Reference Standards'!$N$11,2))),IF(OR(AND(OR($B235="68b",$B235="71i"),$D232&gt;2),$B235="71e"),IF(E266&gt;91,0,IF(E266&lt;24,1,ROUND('Reference Standards'!$O$9*E266^2+'Reference Standards'!$O$10*E266+'Reference Standards'!$O$11,2))),IF(OR(AND(OR($B235="71f",$B235="71g",$B235="71h",$B235="71i"),$D232&lt;=2),AND($B235="74a",$D232&gt;2)),IF(E266&gt;95,0,IF(E266&lt;=36,1,ROUND('Reference Standards'!$P$9*E266^2+'Reference Standards'!$P$10*E266+'Reference Standards'!$P$11,2)))))))))</f>
        <v/>
      </c>
      <c r="G266" s="48" t="str">
        <f>IFERROR(ROUND(AVERAGE(F266),2),"")</f>
        <v/>
      </c>
      <c r="H266" s="329"/>
      <c r="I266" s="358"/>
      <c r="J266" s="315"/>
    </row>
    <row r="267" spans="1:10" ht="15.6" x14ac:dyDescent="0.3">
      <c r="A267" s="326"/>
      <c r="B267" s="22" t="s">
        <v>67</v>
      </c>
      <c r="C267" s="23" t="s">
        <v>240</v>
      </c>
      <c r="D267" s="23"/>
      <c r="E267" s="40"/>
      <c r="F267" s="104">
        <f>IF(ISNUMBER(E266),"",IF(D235="Ephemeral","",IF(E267="",IF(G232="Yes",1,0.8), IF(ISNUMBER($D232), IF(OR($B235="66e",$B235="66f",$B235="66g"),ROUND(IF(E267&gt;=0.61,0,IF(E267&lt;=0.01,1,IF(E267&lt;=0.06,E267*'Reference Standards'!$O$34+'Reference Standards'!$O$35,E267^2*'Reference Standards'!$M$33+E267*'Reference Standards'!$M$34+'Reference Standards'!$M$35))),2),IF($B235="68b",ROUND(IF(E267&gt;=1.1,0,IF(E267&lt;=0.17,1,IF(E267&lt;=0.22,E267*'Reference Standards'!$P$34+'Reference Standards'!$P$35,E267^2*'Reference Standards'!$N$33+E267*'Reference Standards'!$N$34+'Reference Standards'!$N$35))),2),IF($D232&lt;=2.5,IF($B235="69de",ROUND(IF(E267&gt;=0.22,0,IF(E267&lt;=0.01,1,E267^2*'Reference Standards'!$M$15+E267*'Reference Standards'!$M$16+'Reference Standards'!$M$17)),2),IF($B235="68c",ROUND(IF(E267&gt;=0.87,0,IF(E267&lt;=0.01,1,E267^2*'Reference Standards'!$N$15+E267*'Reference Standards'!$N$16+'Reference Standards'!$N$17)),2),IF($B235="68a",ROUND(IF(E267&gt;=0.81,0,IF(E267&lt;=0.01,1,E267^2*'Reference Standards'!$O$15+E267*'Reference Standards'!$O$16+'Reference Standards'!$O$17)),2),IF($B235="65abei",ROUND(IF(E267&gt;=0.67,0,IF(E267&lt;=0.01,1,IF(E267&lt;=0.18,E267*'Reference Standards'!$R$16+'Reference Standards'!$R$17,E267*'Reference Standards'!$P$16+'Reference Standards'!$P$17))),2),IF($B235="65j",ROUND(IF(E267&gt;=0.32,0,IF(E267&lt;=0.01,1,IF(E267&lt;=0.25,E267*'Reference Standards'!$S$16+'Reference Standards'!$S$17,E267*'Reference Standards'!$Q$16+'Reference Standards'!$Q$17))),2),IF($B235="71f",ROUND(IF(E267&gt;=3,0,IF(E267&lt;=0,1,IF(E267&lt;=0.01,0.7,E267^2*'Reference Standards'!$M$21+E267*'Reference Standards'!$M$22+'Reference Standards'!$M$23))),2),IF($B235="74a",ROUND(IF(E267&gt;=0.14,0,IF(E267&lt;=0.01,1,IF(E267&lt;=0.02,0.7,E267^2*'Reference Standards'!$N$21+E267*'Reference Standards'!$N$22+'Reference Standards'!$N$23))),2),IF(OR($B235="67fhi",$B235="67g"),ROUND(IF(E267&gt;=1.9,0,IF(E267&lt;=0.01,1,IF(E267&lt;=0.05,E267*'Reference Standards'!$Q$22+'Reference Standards'!$Q$23,E267^2*'Reference Standards'!$O$21+E267*'Reference Standards'!$O$22+'Reference Standards'!$O$23))),2),IF($B235="73a",ROUND(IF(E267&gt;=1.44,0,IF(E267&lt;=0.01,1,IF(E267&lt;=0.12,E267*'Reference Standards'!$R$22+'Reference Standards'!$R$23,E267^2*'Reference Standards'!$P$21+E267*'Reference Standards'!$P$22+'Reference Standards'!$P$23))),2),IF($B235="66d",ROUND(IF(E267&gt;=0.46,0,IF(E267&lt;=0.02,1,IF(E267&lt;=0.08,E267*'Reference Standards'!$Q$28+'Reference Standards'!$Q$29,E267^2*'Reference Standards'!$M$27+E267*'Reference Standards'!$M$28+'Reference Standards'!$M$29))),2),IF(OR($B235="71g",$B235="71h",$B235="71i"),ROUND(IF(E267&gt;=3,0,IF(E267&lt;=0.06,1,IF(E267&lt;=0.24,E267*'Reference Standards'!$R$28+'Reference Standards'!$R$29,E267^2*'Reference Standards'!$N$27+E267*'Reference Standards'!$N$28+'Reference Standards'!$N$29))),2),IF($B235="74b",ROUND(IF(E267&gt;=1.3,0,IF(E267&lt;=0.29,1,IF(E267&lt;=0.48,E267*'Reference Standards'!$S$28+'Reference Standards'!$S$29,E267^2*'Reference Standards'!$O$27+E267*'Reference Standards'!$O$28+'Reference Standards'!$O$29))),2),IF($B235="71e",ROUND(IF(E267&gt;=4.3,0,IF(E267&lt;=0.53,1,IF(E267&lt;=0.67,E267*'Reference Standards'!$T$28+'Reference Standards'!$T$29,E267^2*'Reference Standards'!$P$27+E267*'Reference Standards'!$P$28+'Reference Standards'!$P$29))),2)))))))))))))),IF($D232&gt;2.5,IF($B235="73a",ROUND(IF(E267&gt;=0.55,0,IF(E267&lt;=0,1,E267^2*'Reference Standards'!$M$39+E267*'Reference Standards'!$M$40+'Reference Standards'!$M$41)),2),IF($B235="68a",ROUND(IF(E267&gt;=0.54,0,IF(E267&lt;=0,1,IF(E267&lt;=0.01,0.85,E267^2*'Reference Standards'!$N$39+E267*'Reference Standards'!$N$40+'Reference Standards'!$N$41))),2),IF($B235="74a",ROUND(IF(E267&gt;=0.47,0,IF(E267&lt;=0.01,1,IF(E267&lt;=0.02,0.7,E267^2*'Reference Standards'!$O$39+E267*'Reference Standards'!$O$40+'Reference Standards'!$O$41))),2),IF($B235="69de",ROUND(IF(E267&gt;=0.26,0,IF(E267&lt;=0.01,1,IF(E267&lt;=0.02,0.85,E267^2*'Reference Standards'!$P$39+E267*'Reference Standards'!$P$40+'Reference Standards'!$P$41))),2),IF($B235="71f",ROUND(IF(E267&gt;=0.87,0,IF(E267&lt;=0.01,1,IF(E267&lt;=0.04,E267*'Reference Standards'!$Q$46+'Reference Standards'!$Q$47,E267^2*'Reference Standards'!$M$45+E267*'Reference Standards'!$M$46+'Reference Standards'!$M$47))),2),IF($B235="65abei",ROUND(IF(E267&gt;=0.82,0,IF(E267&lt;=0.01,1,IF(E267&lt;=0.06,E267*'Reference Standards'!$R$46+'Reference Standards'!$R$47,E267^2*'Reference Standards'!$N$45+E267*'Reference Standards'!$N$46+'Reference Standards'!$N$47))),2),IF($B235="65j",ROUND(IF(E267&gt;=0.33,0,IF(E267&lt;=0.03,1,IF(E267&lt;=0.09,E267*'Reference Standards'!$S$46+'Reference Standards'!$S$47,E267^2*'Reference Standards'!$O$45+E267*'Reference Standards'!$O$46+'Reference Standards'!$O$47))),2),IF($B235="68c",ROUND(IF(E267&gt;=0.7,0,IF(E267&lt;=0.07,1,IF(E267&lt;=0.12,E267*'Reference Standards'!$T$46+'Reference Standards'!$T$47,E267^2*'Reference Standards'!$P$45+E267*'Reference Standards'!$P$46+'Reference Standards'!$P$47))),2),IF(OR($B235="67fhi",$B235="67g"),ROUND(IF(E267&gt;=1.8,0,IF(E267&lt;=0.08,1,IF(E267&lt;=0.2,E267*'Reference Standards'!$Q$52+'Reference Standards'!$Q$53,E267^2*'Reference Standards'!$M$51+E267*'Reference Standards'!$M$52+'Reference Standards'!$M$53))),2),IF($B235="74b",ROUND(IF(E267&gt;=0.96,0,IF(E267&lt;=0.12,1,IF(E267&lt;=0.16,E267*'Reference Standards'!$R$52+'Reference Standards'!$R$53,E267^2*'Reference Standards'!$N$51+E267*'Reference Standards'!$N$52+'Reference Standards'!$N$53))),2),IF($B235="66d",ROUND(IF(E267&gt;=0.75,0,IF(E267&lt;=0.13,1,IF(E267&lt;=0.2,E267*'Reference Standards'!$S$52+'Reference Standards'!$S$53,E267^2*'Reference Standards'!$O$51+E267*'Reference Standards'!$O$52+'Reference Standards'!$O$53))),2),IF(OR($B235="71g",$B235="71h",$B235="71i"),ROUND(IF(E267&gt;=1.68,0,IF(E267&lt;=0.08,1,IF(E267&lt;=0.23,E267*'Reference Standards'!$T$52+'Reference Standards'!$T$53,E267^2*'Reference Standards'!$P$51+E267*'Reference Standards'!$P$52+'Reference Standards'!$P$53))),2),IF($B235="71e",ROUND(IF(E267&gt;=5.3,0,IF(E267&lt;=0.94,1,IF(E267&lt;=1.4,E267*'Reference Standards'!$Q$56+'Reference Standards'!$Q$57,E267^2*'Reference Standards'!$M$55+E267*'Reference Standards'!$M$56+'Reference Standards'!$M$57))),2))))))))))))))))))))))</f>
        <v>0.8</v>
      </c>
      <c r="G267" s="48">
        <f t="shared" ref="G267:G268" si="5">IFERROR(ROUND(AVERAGE(F267),2),"")</f>
        <v>0.8</v>
      </c>
      <c r="H267" s="329"/>
      <c r="I267" s="358"/>
      <c r="J267" s="315"/>
    </row>
    <row r="268" spans="1:10" ht="15.6" x14ac:dyDescent="0.3">
      <c r="A268" s="327"/>
      <c r="B268" s="78" t="s">
        <v>68</v>
      </c>
      <c r="C268" s="21" t="s">
        <v>239</v>
      </c>
      <c r="D268" s="21"/>
      <c r="E268" s="36"/>
      <c r="F268" s="103">
        <f>IF(ISNUMBER(E266),"", IF(D235="Ephemeral","",IF(E268="",IF(G232="Yes",1,0.8), IF(ISNUMBER($D232), IF($D232&gt;2.5,IF(OR($B235="71h",$B235="71i",$B235="73a",$B235="74a"),IF(E268&lt;=0.01,1,IF(OR($B235="71h",$B235="71i"),IF(E268&gt;0.37,0,ROUND(IF(E268&gt;0.03,'Reference Standards'!$M$73*E268^2+'Reference Standards'!$M$74*E268+'Reference Standards'!$M$75,'Reference Standards'!$Q$74*E268+'Reference Standards'!$Q$75),2)),IF($B235="73a",IF(E268&gt;0.405,0,ROUND(IF(E268&gt;0.046,'Reference Standards'!$N$73*E268^2+'Reference Standards'!$N$74*E268+'Reference Standards'!$N$75,'Reference Standards'!$R$74*E268+'Reference Standards'!$R$75),2)),IF($B235="74a",IF(E268&gt;0.3,0,ROUND(IF(E268&gt;0.052,'Reference Standards'!$O$73*E268^2+'Reference Standards'!$O$74*E268+'Reference Standards'!$O$75,'Reference Standards'!$S$74*E268+'Reference Standards'!$S$75),2)))))),IF(E268&lt;=0.002,1,IF(OR($B235="66d",$B235="66e",$B235="66g"),IF(E268&gt;0.053,0,ROUND(E268^2*'Reference Standards'!$M$61+E268*'Reference Standards'!$M$62+'Reference Standards'!$M$63,2)),IF($B235="68b",IF(E268&gt;0.05,0,ROUND(E268^2*'Reference Standards'!$N$61+E268*'Reference Standards'!$N$62+'Reference Standards'!$N$63,2)),IF(OR($B235="68a",$B235="68c"),IF(E268&gt;0.07,0,ROUND(E268^2*'Reference Standards'!$O$61+E268*'Reference Standards'!$O$62+'Reference Standards'!$O$63,2)),IF(OR($B235="71f",$B235="71g"),IF(E268&gt;0.13,0,ROUND(IF(E268&gt;0.042,E268*'Reference Standards'!$P$62+'Reference Standards'!$P$63,E268*'Reference Standards'!$Q$62+'Reference Standards'!$Q$63),2)),IF($B235="67fhi",IF(E268&gt;0.16,0,ROUND(E268^2*'Reference Standards'!$R$61+E268*'Reference Standards'!$R$62+'Reference Standards'!$R$63,2)),IF($B235="65j",IF(E268&gt;0.035,0,ROUND(IF(E268&lt;=0.003,0.7,E268^2*'Reference Standards'!$M$67+E268*'Reference Standards'!$M$68+'Reference Standards'!$M$69),2)),IF($B235="69de",IF(E268&gt;0.037,0,ROUND(IF(E268&lt;=0.003,0.7,E268^2*'Reference Standards'!$N$67+E268*'Reference Standards'!$N$68+'Reference Standards'!$N$69),2)),IF($B235="71e",IF(E268&gt;0.23,0,ROUND(IF(E268&lt;=0.003,0.7,E268^2*'Reference Standards'!$O$67+E268*'Reference Standards'!$O$68+'Reference Standards'!$O$69),2)),IF($B235="66f",IF(E268&gt;0.06,0,ROUND(IF(E268&lt;=0.003,0.85,IF(E268&lt;=0.004,0.7,E268^2*'Reference Standards'!$P$67+E268*'Reference Standards'!$P$68+'Reference Standards'!$P$69)),2)),IF($B235="67g",IF(E268&gt;0.11,0,ROUND(IF(E268&lt;=0.01,E268*'Reference Standards'!$S$68+'Reference Standards'!$S$69,E268^2*'Reference Standards'!$Q$67+E268*'Reference Standards'!$Q$68+'Reference Standards'!$Q$69),2)),IF($B235="74b",IF(E268&gt;0.49,0,ROUND(IF(E268&lt;=0.01,E268*'Reference Standards'!$S$68+'Reference Standards'!$S$69,E268^2*'Reference Standards'!$R$67+E268*'Reference Standards'!$R$68+'Reference Standards'!$R$69),2)),IF($B235="65abei",IF(E268&gt;0.199,0,ROUND(IF(E268&lt;=0.01,E268*'Reference Standards'!$T$74+'Reference Standards'!$T$75,E268^2*'Reference Standards'!$P$73+E268*'Reference Standards'!$P$74+'Reference Standards'!$P$75),2)))))))))))))))),IF($D232&lt;=2.5,IF(OR($B235="66d",$B235="66e",$B235="66g"),IF(E268&gt;0.05,0,ROUND(IF(E268&lt;=0.002,1,IF(E268&lt;=0.005,E268*'Reference Standards'!$Q$80+'Reference Standards'!$Q$81,E268^2*'Reference Standards'!$M$79+E268*'Reference Standards'!$M$80+'Reference Standards'!$M$81)),2)),IF($B235="67fhi",IF(E268&gt;0.1,0,ROUND(IF(E268&lt;=0.002,1,IF(E268&lt;=0.006,E268*'Reference Standards'!$R$80+'Reference Standards'!$R$81,E268^2*'Reference Standards'!$N$79+E268*'Reference Standards'!$N$80+'Reference Standards'!$N$81)),2)),IF($B235="65abei",IF(E268&gt;0.13,0,ROUND(IF(E268&lt;=0.003,1,IF(E268&lt;=0.008,E268*'Reference Standards'!$S$80+'Reference Standards'!$S$81,E268^2*'Reference Standards'!$O$79+E268*'Reference Standards'!$O$80+'Reference Standards'!$O$81)),2)),IF($B235="68b",IF(E268&gt;0.043,0,ROUND(IF(E268&lt;=0.004,1,IF(E268&lt;=0.005,0.7,E268^2*'Reference Standards'!$P$79+E268*'Reference Standards'!$P$80+'Reference Standards'!$P$81)),2)),IF($B235="69de",IF(E268&gt;=0.034,0,ROUND(IF(E268&lt;=0.003,1,IF(E268&lt;=0.006,E268*'Reference Standards'!$R$85+'Reference Standards'!$R$86,E268*'Reference Standards'!$M$85+'Reference Standards'!$M$86)),2)),IF(OR($B235="68a",$B235="68c"),IF(E268&gt;0.202,0,ROUND(IF(E268&lt;=0.003,1,IF(E268&lt;=0.006,E268*'Reference Standards'!$R$85+'Reference Standards'!$R$86,IF(E268&gt;=0.04,E268*'Reference Standards'!$N$85+'Reference Standards'!$N$86,E268*'Reference Standards'!$P$85+'Reference Standards'!$P$86))),2)),IF(OR($B235="71f",$B235="71g"),IF(E268&gt;0.631,0,ROUND(IF(E268&lt;=0.003,1,IF(E268&lt;=0.006,E268*'Reference Standards'!$R$85+'Reference Standards'!$R$86,IF(E268&gt;=0.17,E268*'Reference Standards'!$O$85+'Reference Standards'!$O$86,E268*'Reference Standards'!$Q$85+'Reference Standards'!$Q$86))),2)),IF($B235="71e",IF(E268&gt;1.23,0,ROUND(IF(E268&lt;=0.004,1,IF(E268&lt;=0.006,E268*'Reference Standards'!$Q$91+'Reference Standards'!$Q$92,E268^2*'Reference Standards'!$M$90+E268*'Reference Standards'!$M$91+'Reference Standards'!$M$92)),2)),IF($B235="67g",IF(E268&gt;0.11,0,ROUND(IF(E268&lt;=0.006,1,IF(E268&lt;=0.011,E268*'Reference Standards'!$R$91+'Reference Standards'!$R$92,E268^2*'Reference Standards'!$N$90+E268*'Reference Standards'!$N$91+'Reference Standards'!$N$92)),2)),IF($B235="65j",IF(E268&gt;0.046,0,ROUND(IF(E268&lt;=0.007,1,IF(E268&lt;=0.012,E268*'Reference Standards'!$S$91+'Reference Standards'!$S$92,E268^2*'Reference Standards'!$O$90+E268*'Reference Standards'!$O$91+'Reference Standards'!$O$92)),2)),IF($B235="66f",IF(E268&gt;0.081,0,ROUND(IF(E268&lt;=0.008,1,IF(E268&lt;=0.011,E268*'Reference Standards'!$T$91+'Reference Standards'!$T$92,E268^2*'Reference Standards'!$P$90+E268*'Reference Standards'!$P$91+'Reference Standards'!$P$92)),2)),IF(OR($B235="71h",$B235="71i"),IF(E268&gt;0.37,0,ROUND(IF(E268&lt;=0.013,1,IF(E268&lt;=0.032,E268*'Reference Standards'!$S$98+'Reference Standards'!$S$99,IF(E268&lt;=0.3,E268*'Reference Standards'!$Q$98+'Reference Standards'!$Q$99,E268*'Reference Standards'!$M$98+'Reference Standards'!$M$99))),2)),IF($B235="73a",IF(E268&gt;0.448,0,ROUND(IF(E268&lt;=0.071,1,IF(E268&lt;=0.086,E268*'Reference Standards'!$U$98+'Reference Standards'!$U$99,IF(E268&lt;=0.165,E268*'Reference Standards'!$R$98+'Reference Standards'!$R$99,E268*'Reference Standards'!$P$98+'Reference Standards'!$P$99))),2)),IF($B235="74b",IF(E268&gt;0.43,0,ROUND(IF(E268&lt;=0.018,1,IF(E268&lt;=0.019,0.85,IF(E268&lt;=0.02,0.7,E268^2*'Reference Standards'!$N$97+E268*'Reference Standards'!$N$98+'Reference Standards'!$N$99))),2)),IF($B235="74a",IF(E268&gt;0.217,0,ROUND(IF(E268&lt;=0.02,1,IF(E268&lt;=0.033,E268*'Reference Standards'!$T$98+'Reference Standards'!$T$99,E268^2*'Reference Standards'!$O$97+E268*'Reference Standards'!$O$98+'Reference Standards'!$O$99)),2)))))))))))))))))))))))</f>
        <v>0.8</v>
      </c>
      <c r="G268" s="48">
        <f t="shared" si="5"/>
        <v>0.8</v>
      </c>
      <c r="H268" s="330"/>
      <c r="I268" s="359"/>
      <c r="J268" s="315"/>
    </row>
    <row r="269" spans="1:10" ht="15.6" x14ac:dyDescent="0.3">
      <c r="A269" s="333" t="s">
        <v>56</v>
      </c>
      <c r="B269" s="341" t="s">
        <v>287</v>
      </c>
      <c r="C269" s="33" t="s">
        <v>278</v>
      </c>
      <c r="D269" s="34"/>
      <c r="E269" s="43"/>
      <c r="F269" s="105">
        <f>IF(OR(D235="Ephemeral",AND(E270&lt;&gt;"",E271&lt;&gt;"",E272&lt;&gt;"")),"",IF(E269="",IF(G232="Yes",1,0.8),IF(OR(B235="73a",B235="73b"),IF(E269&lt;1,0,IF(E269&gt;=30,1,ROUND(IF(E269&lt;22,'Reference Standards'!$W$4*E269+'Reference Standards'!$W$5,'Reference Standards'!$X$4*E269+'Reference Standards'!$X$5),2))), IF(E269&lt;1,0, IF(E269&gt;=42,1, ROUND(IF(E269&lt;32,'Reference Standards'!$Y$4*E269+'Reference Standards'!$Y$5,'Reference Standards'!$Z$4*E269+'Reference Standards'!$Z$5),2))))))</f>
        <v>0.8</v>
      </c>
      <c r="G269" s="356">
        <f>IFERROR(ROUND(AVERAGE(F269:F272),2),"")</f>
        <v>0.8</v>
      </c>
      <c r="H269" s="336">
        <f>IFERROR(ROUND(AVERAGE(G269:G274),2),"")</f>
        <v>0.8</v>
      </c>
      <c r="I269" s="314" t="str">
        <f>IF(H269="","",IF(H269&gt;0.69,"Functioning",IF(H269&gt;0.29,"Functioning At Risk",IF(H269&gt;-1,"Not Functioning"))))</f>
        <v>Functioning</v>
      </c>
      <c r="J269" s="315"/>
    </row>
    <row r="270" spans="1:10" ht="15.6" x14ac:dyDescent="0.3">
      <c r="A270" s="334"/>
      <c r="B270" s="342"/>
      <c r="C270" s="45" t="s">
        <v>282</v>
      </c>
      <c r="D270" s="46"/>
      <c r="E270" s="42"/>
      <c r="F270" s="106" t="str">
        <f>IF(D235="Ephemeral","",IF(E270="","",IF(AND($B235="74b",$D232&lt;=2),IF(E270&lt;0,0,IF(E270&gt;15.6,0.69,ROUND('Reference Standards'!$W$9*E270^2+'Reference Standards'!$W$10*E270+'Reference Standards'!$W$11,2))),IF(AND($B235="65abei",$D232&lt;=2),IF(E270&lt;0,0,IF(E270&gt;=20,0.69,ROUND('Reference Standards'!$X$9*E270^2+'Reference Standards'!$X$10*E270+'Reference Standards'!$X$11,2))),IF(OR(AND($B235="74a",$D$2&gt;2,$G233="January - June"),AND($B235="71i",$D232&gt;2,$G234="SQBANK")),IF(E270&lt;0,0,IF(E270&gt;24.7,0.69,ROUND('Reference Standards'!$Y$9*E270^2+'Reference Standards'!$Y$10*E270+'Reference Standards'!$Y$11,2))),IF(OR($B235="74b",$B235="65abei"),IF(E270&lt;0,0,IF(E270&gt;32.7,0.69,ROUND('Reference Standards'!$Z$9*E270^2+'Reference Standards'!$Z$10*E270+'Reference Standards'!$Z$11,2))),IF(AND($B235="68b",$D232&gt;2),IF(E270&lt;0,0,IF(E270&gt;41.2,0.69,ROUND('Reference Standards'!$AA$9*E270^2+'Reference Standards'!$AA$10*E270+'Reference Standards'!$AA$11,2))),IF(OR(AND($B235="71i",$D232&lt;=2),AND(OR($B235="68c",$B235="68d"),$G233="January - June")),IF(E270&lt;0,0,IF(E270&gt;49.2,0.69,ROUND('Reference Standards'!$W$15*E270^2+'Reference Standards'!$W$16*E270+'Reference Standards'!$W$17,2))),IF(OR(AND($B235="68a",$G233="January - June"),AND(OR($B235="68c",$B235="68d"),$G233="July - December")),IF(E270&lt;0,0,IF(E270&gt;53.4,0.69,ROUND('Reference Standards'!$X$15*E270^2+'Reference Standards'!$X$16*E270+'Reference Standards'!$X$17,2))),IF(OR(AND($B235="71i",$D232&gt;2,$G234="SQKICK"),AND(OR($B235="67fhi",$B235="67g"),$D232&lt;=2),$B235="65j"),IF(E270&lt;0,0,IF(E270&gt;57.8,0.69,ROUND('Reference Standards'!$Y$15*E270^2+'Reference Standards'!$Y$16*E270+'Reference Standards'!$Y$17,2))),IF(OR(AND($B235="74a",$D232&gt;2,$G233="July - December"),AND(OR($B235="67fhi",$B235="67g"),$D232&gt;2),$B235="69de"),IF(E270&lt;0,0,IF(E270&gt;62.5,0.69,ROUND('Reference Standards'!$Z$15*E270^2+'Reference Standards'!$Z$16*E270+'Reference Standards'!$Z$17,2))),  IF(OR($B235="66d",$B235="66e",$B235="66ik",$B235="71e",$B235="71f",$B235="71g",$B235="71h"),IF(E270&lt;0,0,IF(E270&gt;66.5,0.69,ROUND('Reference Standards'!$AA$15*E270^2+'Reference Standards'!$AA$16*E270+'Reference Standards'!$AA$17,2))),IF(OR($B235="66f",$B235="66g",$B235="66j",AND($B235="68a",$G233="July - December")), IF(E270&lt;0,0,IF(E270&gt;69,0.69,ROUND('Reference Standards'!$AB$15*E270^2+'Reference Standards'!$AB$16*E270+'Reference Standards'!$AB$17,2))))   ))))))))))))</f>
        <v/>
      </c>
      <c r="G270" s="356"/>
      <c r="H270" s="336"/>
      <c r="I270" s="314"/>
      <c r="J270" s="315"/>
    </row>
    <row r="271" spans="1:10" ht="15.6" x14ac:dyDescent="0.3">
      <c r="A271" s="334"/>
      <c r="B271" s="342"/>
      <c r="C271" s="45" t="s">
        <v>286</v>
      </c>
      <c r="D271" s="46"/>
      <c r="E271" s="42"/>
      <c r="F271" s="106" t="str">
        <f>IF(D235="Ephemeral","",IF(E271="","",IF(AND($B235="74b",$D232&lt;=2),IF(E271&lt;0,0,IF(E271&gt;8.1,0.69,ROUND('Reference Standards'!$W$21*E271^2+'Reference Standards'!$W$22*E271+'Reference Standards'!$W$23,2))),IF(OR($B235="73a",$B235="73b"),IF(E271&lt;0,0,IF(E271&gt;=28,0.69,ROUND('Reference Standards'!$X$21*E271^2+'Reference Standards'!$X$22*E271+'Reference Standards'!$X$23,2))),IF(AND($B235="74a",$D232&gt;2,$G233="January - June"),IF(E271&lt;0,0,IF(E271&gt;=32.5,0.69,ROUND('Reference Standards'!$Y$21*E271^2+'Reference Standards'!$Y$22*E271+'Reference Standards'!$Y$23,2))),IF(AND($B235="71i",$D232&gt;2,$G234="SQBANK"),IF(E271&lt;0,0,IF(E271&gt;=37,0.69,ROUND('Reference Standards'!$Z$21*E271^2+'Reference Standards'!$Z$22*E271+'Reference Standards'!$Z$23,2))),IF(OR(AND(OR($B235="65abei",$B235="74b"),$D232&gt;2),AND($B235="71i",$D232&gt;2,$G234="SQKICK")),IF(E271&lt;0,0,IF(E271&gt;42.6,0.69,ROUND('Reference Standards'!$AA$21*E271^2+'Reference Standards'!$AA$22*E271+'Reference Standards'!$AA$23,2))),     IF(OR(AND($B235="65abei",$D232&lt;=2),AND(OR($B235="68c",$B235="68d"),$G233="July - December"),$B235="71e"),IF(E271&lt;0,0,IF(E271&gt;=48,0.69,ROUND('Reference Standards'!$W$27*E271^2+'Reference Standards'!$W$28*E271+'Reference Standards'!$W$29,2))),IF(OR($B235="65j",$B235="67fhi",$B235="67g",AND($B235="74a",$G233="July - December",$D232&gt;2),AND($B235="71i",$D232&lt;=2)),IF(E271&lt;0,0,IF(E271&gt;=53,0.69,ROUND('Reference Standards'!$X$27*E271^2+'Reference Standards'!$X$28*E271+'Reference Standards'!$X$29,2))),IF(OR(AND(OR($B235="68b",$B235="71f",$B235="71g",$B235="71h"),$D232&gt;2),$B235="68a"),IF(E271&lt;0,0,IF(E271&gt;=57,0.69,ROUND('Reference Standards'!$Y$27*E271^2+'Reference Standards'!$Y$28*E271+'Reference Standards'!$Y$29,2))),IF(OR($B235="66f",$B235="66g",$B235="66j",AND(OR($B235="71f",$B235="71g",$B235="71h"),$D232&lt;=2)),IF(E271&lt;0,0,IF(E271&gt;=60,0.69,ROUND('Reference Standards'!$Z$27*E271^2+'Reference Standards'!$Z$28*E271+'Reference Standards'!$Z$29,2))),  IF(OR($B235="66d",$B235="66e",$B235="66ik", AND(OR($B235="68c",$B235="68d"),$G233="January - June"),AND($B235="69de",$G233="July - December")),IF(E271&lt;0,0,IF(E271&gt;=67.5,0.69,ROUND('Reference Standards'!$AA$27*E271^2+'Reference Standards'!$AA$28*E271+'Reference Standards'!$AA$29,2))),IF(AND($B235="69de",$G233="January - June"), IF(E271&lt;0,0,IF(E271&gt;=72,0.69,ROUND('Reference Standards'!$AB$27*E271^2+'Reference Standards'!$AB$28*E271+'Reference Standards'!$AB$29,2))))   ))))))))))))</f>
        <v/>
      </c>
      <c r="G271" s="356"/>
      <c r="H271" s="336"/>
      <c r="I271" s="314"/>
      <c r="J271" s="315"/>
    </row>
    <row r="272" spans="1:10" ht="15.6" x14ac:dyDescent="0.3">
      <c r="A272" s="334"/>
      <c r="B272" s="343"/>
      <c r="C272" s="35" t="s">
        <v>283</v>
      </c>
      <c r="D272" s="25"/>
      <c r="E272" s="44"/>
      <c r="F272" s="106" t="str">
        <f>IF(D235="Ephemeral","",IF(E272="","",IF(OR($B235="67fhi",$B235="67g",$B235="71e",$B235="73a",$B235="73b",AND(OR($B235="71f",$B235="71g",$B235="71h"),$D232&gt;2)),IF(E272&gt;100,0,IF(E272&lt;15,0.69,ROUND('Reference Standards'!$W$33*E272^2+'Reference Standards'!$W$34*E272+'Reference Standards'!$W$35,2))),  IF(OR($B235="66d",$B235="66e",$B235="66ik",$B235="66f",$B235="66g",$B235="66j",$B235="68a",$B235="68c",$B235="68d",AND($B235="69de",$G233="July - December"), AND($B235="71i",$D232&lt;=2), AND($B235="71i",$D232&gt;2,$G234="SQBANK" ), AND($B235="74a",$D232&gt;2,$G233="July - December") ),IF(E272&gt;100,0,IF(E272&lt;19,0.69,ROUND('Reference Standards'!$X$33*E272^2+'Reference Standards'!$X$34*E272+'Reference Standards'!$X$35,2))),    IF(OR(AND($B235="69de",$G233="January - June"),AND($B235="71i",$D232&gt;2,$G234="SQKICK" )),IF(E272&gt;100,0,IF(E272&lt;22,0.69,ROUND('Reference Standards'!$Y$33*E272^2+'Reference Standards'!$Y$34*E272+'Reference Standards'!$Y$35,2))),    IF(OR($B235="65j",AND($B235="68b",$D232&gt;2)),IF(E272&gt;100,0,IF(E272&lt;24,0.69,ROUND('Reference Standards'!$Z$33*E272^2+'Reference Standards'!$Z$34*E272+'Reference Standards'!$Z$35,2))),    IF(AND(OR($B235="65abei",$B235="71f",$B235="71g",$B235="71h"),$D232&lt;=2),IF(E272&gt;95,0,IF(E272&lt;33,0.69,ROUND('Reference Standards'!$W$39*E272^2+'Reference Standards'!$W$40*E272+'Reference Standards'!$W$41,2))),   IF(AND(OR($B235="65abei",$B235="74b"),$D232&gt;2),IF(E272&gt;97,0,IF(E272&lt;36,0.69,ROUND('Reference Standards'!$X$39*E272^2+'Reference Standards'!$X$40*E272+'Reference Standards'!$X$41,2))),  IF(AND($B235="74a",$G233="January - June",$D232&gt;2),IF(E272&gt;93,0,IF(E272&lt;52,0.69,ROUND('Reference Standards'!$Y$39*E272^2+'Reference Standards'!$Y$40*E272+'Reference Standards'!$Y$41,2))),   IF(AND($B235="74b",$D232&lt;=2),IF(E272&gt;97,0,IF(E272&lt;62,0.69,ROUND('Reference Standards'!$Z$39*E272^2+'Reference Standards'!$Z$40*E272+'Reference Standards'!$Z$41,2)))  ))))))))))</f>
        <v/>
      </c>
      <c r="G272" s="356"/>
      <c r="H272" s="336"/>
      <c r="I272" s="314"/>
      <c r="J272" s="315"/>
    </row>
    <row r="273" spans="1:10" ht="15.6" x14ac:dyDescent="0.3">
      <c r="A273" s="334"/>
      <c r="B273" s="337" t="s">
        <v>65</v>
      </c>
      <c r="C273" s="33" t="s">
        <v>174</v>
      </c>
      <c r="D273" s="34"/>
      <c r="E273" s="36"/>
      <c r="F273" s="105" t="str">
        <f>IF(D235="Ephemeral","",IF(E273="","",IF(E273=1,0.15,IF(E273=3,0.5,IF(E273=5,0.85,0)))))</f>
        <v/>
      </c>
      <c r="G273" s="338" t="str">
        <f>IFERROR(ROUND(AVERAGE(F273:F274),2),"")</f>
        <v/>
      </c>
      <c r="H273" s="336"/>
      <c r="I273" s="314"/>
      <c r="J273" s="315"/>
    </row>
    <row r="274" spans="1:10" ht="15.6" x14ac:dyDescent="0.3">
      <c r="A274" s="335"/>
      <c r="B274" s="337"/>
      <c r="C274" s="35" t="s">
        <v>279</v>
      </c>
      <c r="D274" s="25"/>
      <c r="E274" s="41"/>
      <c r="F274" s="107" t="str">
        <f>IF(D235="Ephemeral","",IF(E274="","",IF(E274=1,0.15,IF(E274=3,0.5,IF(E274=5,0.85,0)))))</f>
        <v/>
      </c>
      <c r="G274" s="339"/>
      <c r="H274" s="336"/>
      <c r="I274" s="314"/>
      <c r="J274" s="315"/>
    </row>
    <row r="275" spans="1:10" ht="7.95" customHeight="1" x14ac:dyDescent="0.3"/>
    <row r="276" spans="1:10" ht="7.95" customHeight="1" x14ac:dyDescent="0.3"/>
    <row r="277" spans="1:10" ht="21" customHeight="1" x14ac:dyDescent="0.3">
      <c r="A277" s="296" t="s">
        <v>295</v>
      </c>
      <c r="B277" s="297"/>
      <c r="C277" s="297"/>
      <c r="D277" s="297"/>
      <c r="E277" s="297"/>
      <c r="F277" s="297"/>
      <c r="G277" s="297"/>
      <c r="H277" s="297"/>
      <c r="I277" s="297"/>
      <c r="J277" s="298"/>
    </row>
    <row r="278" spans="1:10" ht="17.399999999999999" customHeight="1" x14ac:dyDescent="0.3">
      <c r="A278" s="6" t="s">
        <v>85</v>
      </c>
      <c r="B278" s="7"/>
      <c r="C278" s="6" t="s">
        <v>15</v>
      </c>
      <c r="D278" s="7"/>
      <c r="E278" s="165" t="s">
        <v>387</v>
      </c>
      <c r="F278" s="168"/>
      <c r="G278" s="166"/>
      <c r="H278" s="299" t="s">
        <v>367</v>
      </c>
      <c r="I278" s="300"/>
      <c r="J278" s="7"/>
    </row>
    <row r="279" spans="1:10" ht="17.399999999999999" customHeight="1" x14ac:dyDescent="0.3">
      <c r="A279" s="6" t="s">
        <v>86</v>
      </c>
      <c r="B279" s="39"/>
      <c r="C279" s="6" t="s">
        <v>371</v>
      </c>
      <c r="D279" s="39"/>
      <c r="E279" s="6" t="s">
        <v>94</v>
      </c>
      <c r="F279" s="6"/>
      <c r="G279" s="39"/>
      <c r="H279" s="299" t="s">
        <v>368</v>
      </c>
      <c r="I279" s="300"/>
      <c r="J279" s="7"/>
    </row>
    <row r="280" spans="1:10" ht="17.399999999999999" customHeight="1" x14ac:dyDescent="0.3">
      <c r="A280" s="6" t="s">
        <v>365</v>
      </c>
      <c r="B280" s="39"/>
      <c r="C280" s="6" t="s">
        <v>372</v>
      </c>
      <c r="D280" s="7"/>
      <c r="E280" s="331" t="s">
        <v>150</v>
      </c>
      <c r="F280" s="331"/>
      <c r="G280" s="39"/>
      <c r="H280" s="299" t="s">
        <v>369</v>
      </c>
      <c r="I280" s="300"/>
      <c r="J280" s="7"/>
    </row>
    <row r="281" spans="1:10" ht="17.399999999999999" customHeight="1" x14ac:dyDescent="0.3">
      <c r="A281" s="6" t="s">
        <v>290</v>
      </c>
      <c r="B281" s="39"/>
      <c r="C281" s="6" t="s">
        <v>351</v>
      </c>
      <c r="D281" s="39"/>
      <c r="E281" s="332" t="s">
        <v>260</v>
      </c>
      <c r="F281" s="332"/>
      <c r="G281" s="39"/>
      <c r="H281" s="299" t="s">
        <v>370</v>
      </c>
      <c r="I281" s="300"/>
      <c r="J281" s="7"/>
    </row>
    <row r="282" spans="1:10" ht="6.6" customHeight="1" x14ac:dyDescent="0.3">
      <c r="H282" s="3"/>
      <c r="I282" s="110"/>
      <c r="J282" s="3"/>
    </row>
    <row r="283" spans="1:10" ht="21" x14ac:dyDescent="0.4">
      <c r="A283" s="301" t="s">
        <v>54</v>
      </c>
      <c r="B283" s="302"/>
      <c r="C283" s="302"/>
      <c r="D283" s="302"/>
      <c r="E283" s="302"/>
      <c r="F283" s="303"/>
      <c r="G283" s="304" t="s">
        <v>16</v>
      </c>
      <c r="H283" s="304"/>
      <c r="I283" s="304"/>
      <c r="J283" s="304"/>
    </row>
    <row r="284" spans="1:10" ht="15.6" x14ac:dyDescent="0.3">
      <c r="A284" s="8" t="s">
        <v>1</v>
      </c>
      <c r="B284" s="8" t="s">
        <v>2</v>
      </c>
      <c r="C284" s="305" t="s">
        <v>3</v>
      </c>
      <c r="D284" s="306"/>
      <c r="E284" s="8" t="s">
        <v>13</v>
      </c>
      <c r="F284" s="37" t="s">
        <v>14</v>
      </c>
      <c r="G284" s="8" t="s">
        <v>17</v>
      </c>
      <c r="H284" s="8" t="s">
        <v>18</v>
      </c>
      <c r="I284" s="111" t="s">
        <v>18</v>
      </c>
      <c r="J284" s="8" t="s">
        <v>296</v>
      </c>
    </row>
    <row r="285" spans="1:10" ht="15.75" customHeight="1" x14ac:dyDescent="0.3">
      <c r="A285" s="310" t="s">
        <v>57</v>
      </c>
      <c r="B285" s="94" t="s">
        <v>71</v>
      </c>
      <c r="C285" s="9" t="s">
        <v>313</v>
      </c>
      <c r="D285" s="9"/>
      <c r="E285" s="40"/>
      <c r="F285" s="138">
        <f>IF(E285="", IF(G278="Yes",1,0.8),IF(E285&lt;=0,0,IF(E285&gt;=0.95,1,ROUND('Reference Standards'!B$3*E285+'Reference Standards'!B$4,2))))</f>
        <v>0.8</v>
      </c>
      <c r="G285" s="135">
        <f>IFERROR(ROUND(AVERAGE(F285),2),"")</f>
        <v>0.8</v>
      </c>
      <c r="H285" s="312">
        <f>IFERROR(ROUND(AVERAGE(G285:G286),2),"")</f>
        <v>0.8</v>
      </c>
      <c r="I285" s="314" t="str">
        <f>IF(H285="","",IF(H285&gt;0.69,"Functioning",IF(H285&gt;0.29,"Functioning At Risk",IF(H285&gt;-1,"Not Functioning"))))</f>
        <v>Functioning</v>
      </c>
      <c r="J285" s="315">
        <f>IF(AND(H285="",H287="",H289="",H311="",H315=""),"",ROUND((IF(H285="",0,H285)*0.2),2)+ROUND((IF(H287="",0,H287)*0.2),2)+ROUND((IF(H289="",0,H289)*0.2),2)+ROUND((IF(H311="",0,H311)*0.2),2)+ROUND((IF(H315="",0,H315)*0.2),2))</f>
        <v>0.8</v>
      </c>
    </row>
    <row r="286" spans="1:10" ht="15.6" x14ac:dyDescent="0.3">
      <c r="A286" s="311"/>
      <c r="B286" s="139" t="s">
        <v>97</v>
      </c>
      <c r="C286" s="136" t="s">
        <v>125</v>
      </c>
      <c r="D286" s="137"/>
      <c r="E286" s="7"/>
      <c r="F286" s="138">
        <f>IF(E286="", IF(G278="Yes",1,0.8),IF(E286&gt;=1,1,IF(E286&lt;=0,0,ROUND(E286,2))))</f>
        <v>0.8</v>
      </c>
      <c r="G286" s="135">
        <f>IFERROR(ROUND(AVERAGE(F286),2),"")</f>
        <v>0.8</v>
      </c>
      <c r="H286" s="313"/>
      <c r="I286" s="314"/>
      <c r="J286" s="315"/>
    </row>
    <row r="287" spans="1:10" ht="15.6" x14ac:dyDescent="0.3">
      <c r="A287" s="322" t="s">
        <v>4</v>
      </c>
      <c r="B287" s="324" t="s">
        <v>5</v>
      </c>
      <c r="C287" s="11" t="s">
        <v>6</v>
      </c>
      <c r="D287" s="11"/>
      <c r="E287" s="40"/>
      <c r="F287" s="98">
        <f>IF(D281="Ephemeral","",IF(E287="",IF(G278="Yes",1,0.8),ROUND(IF(E287&gt;1.6,0,IF(E287&lt;=1,1,E287^2*'Reference Standards'!E$3+E287*'Reference Standards'!E$4+'Reference Standards'!E$5)),2)))</f>
        <v>0.8</v>
      </c>
      <c r="G287" s="353">
        <f>IFERROR(ROUND(AVERAGE(F287:F288),2),"")</f>
        <v>0.8</v>
      </c>
      <c r="H287" s="354">
        <f>IFERROR(ROUND(AVERAGE(G287),2),"")</f>
        <v>0.8</v>
      </c>
      <c r="I287" s="346" t="str">
        <f>IF(H287="","",IF(H287&gt;0.69,"Functioning",IF(H287&gt;0.29,"Functioning At Risk",IF(H287&gt;-1,"Not Functioning"))))</f>
        <v>Functioning</v>
      </c>
      <c r="J287" s="315"/>
    </row>
    <row r="288" spans="1:10" ht="15.6" x14ac:dyDescent="0.3">
      <c r="A288" s="323"/>
      <c r="B288" s="324"/>
      <c r="C288" s="11" t="s">
        <v>7</v>
      </c>
      <c r="D288" s="11"/>
      <c r="E288" s="40"/>
      <c r="F288" s="98">
        <f>IF(D281="Ephemeral","",IF(E288="",IF(G278="Yes",1,0.8),(IF(OR(B280="A",B280="B",$B280="Bc"),IF(E288&lt;1.2,0,IF(E288&gt;=2.2,1,ROUND(IF(E288&lt;1.4,E288*'Reference Standards'!$E$14+'Reference Standards'!$E$15,E288*'Reference Standards'!$F$14+'Reference Standards'!$F$15),2))),IF(OR(B280="C",B280="E"),IF(E288&lt;2,0,IF(E288&gt;=5,1,ROUND(IF(E288&lt;2.4,E288*'Reference Standards'!$F$9+'Reference Standards'!$F$10,E288*'Reference Standards'!$E$9+'Reference Standards'!$E$10),2))))))))</f>
        <v>0.8</v>
      </c>
      <c r="G288" s="353"/>
      <c r="H288" s="355"/>
      <c r="I288" s="347"/>
      <c r="J288" s="315"/>
    </row>
    <row r="289" spans="1:10" ht="15.6" x14ac:dyDescent="0.3">
      <c r="A289" s="321" t="s">
        <v>23</v>
      </c>
      <c r="B289" s="348" t="s">
        <v>24</v>
      </c>
      <c r="C289" s="15" t="s">
        <v>280</v>
      </c>
      <c r="D289" s="71"/>
      <c r="E289" s="16"/>
      <c r="F289" s="99" t="str">
        <f>IF(E289="","",IF(OR(LEFT($B281,2)="65",LEFT($B281,2)="66",LEFT($B281,2)="74",LEFT($B281,2)="73"),IF(E289&gt;=850,1,IF(E289&lt;250,ROUND('Reference Standards'!$H$5*(E289)+'Reference Standards'!$H$6,2),ROUND('Reference Standards'!$I$5*E289+'Reference Standards'!$I$6,2))),  IF(E289&gt;=345,1,IF(E289&lt;=180,ROUND('Reference Standards'!J$5*(E289)+'Reference Standards'!J$6,2),ROUND('Reference Standards'!K$5*E289+'Reference Standards'!K$6,2))))    )</f>
        <v/>
      </c>
      <c r="G289" s="318">
        <f>IFERROR(ROUND(AVERAGE(F289:F290),2),"")</f>
        <v>0.8</v>
      </c>
      <c r="H289" s="350">
        <f>IFERROR(ROUND(AVERAGE(G289:G310),2),"")</f>
        <v>0.8</v>
      </c>
      <c r="I289" s="352" t="str">
        <f>IF(H289="","",IF(H289&gt;0.69,"Functioning",IF(H289&gt;0.29,"Functioning At Risk",IF(H289&gt;-1,"Not Functioning"))))</f>
        <v>Functioning</v>
      </c>
      <c r="J289" s="315"/>
    </row>
    <row r="290" spans="1:10" ht="15.6" x14ac:dyDescent="0.3">
      <c r="A290" s="316"/>
      <c r="B290" s="349"/>
      <c r="C290" s="18" t="s">
        <v>267</v>
      </c>
      <c r="D290" s="72"/>
      <c r="E290" s="10"/>
      <c r="F290" s="100">
        <f>IF(ISNUMBER(E289),"",IF(E290="",IF(G278="Yes",1,0.8),IF(OR(LEFT($B281,2)="65",LEFT($B281,2)="66",LEFT($B281,2)="74",LEFT($B281,2)="73"),IF(E290&gt;=30,1,IF(E290&lt;13,ROUND('Reference Standards'!$H$11*(E290)+'Reference Standards'!$H$12,2),ROUND('Reference Standards'!$I$11*E290+'Reference Standards'!$I$12,2))),  IF(E290&gt;=16,1,IF(E290&lt;=9,ROUND('Reference Standards'!J$11*(E290)+'Reference Standards'!J$12,2),ROUND('Reference Standards'!K$11*E290+'Reference Standards'!K$12,2))))    ))</f>
        <v>0.8</v>
      </c>
      <c r="G290" s="320"/>
      <c r="H290" s="350"/>
      <c r="I290" s="352"/>
      <c r="J290" s="315"/>
    </row>
    <row r="291" spans="1:10" ht="15.6" x14ac:dyDescent="0.3">
      <c r="A291" s="316"/>
      <c r="B291" s="316" t="s">
        <v>350</v>
      </c>
      <c r="C291" s="13" t="s">
        <v>66</v>
      </c>
      <c r="D291" s="13"/>
      <c r="E291" s="42"/>
      <c r="F291" s="99" t="str">
        <f>IF(E291="","",ROUND(IF(E291&gt;0.7,0,IF(E291&lt;=0.1,1,E291^3*'Reference Standards'!H$15+E291^2*'Reference Standards'!H$16+E291*'Reference Standards'!H$17+'Reference Standards'!H$18)),2))</f>
        <v/>
      </c>
      <c r="G291" s="318">
        <f>IFERROR(ROUND(AVERAGE(F291:F294),2),"")</f>
        <v>0.8</v>
      </c>
      <c r="H291" s="351"/>
      <c r="I291" s="352"/>
      <c r="J291" s="315"/>
    </row>
    <row r="292" spans="1:10" ht="15.6" x14ac:dyDescent="0.3">
      <c r="A292" s="316"/>
      <c r="B292" s="316"/>
      <c r="C292" s="13" t="s">
        <v>47</v>
      </c>
      <c r="D292" s="13"/>
      <c r="E292" s="42"/>
      <c r="F292" s="28">
        <f>IF(ISNUMBER(E291),"", IF(AND(E291="",E292=""),IF(G278="Yes",1,0.8),IF(OR(E292="Ex/Ex",E292="Ex/VH"),0, IF(OR(E292="Ex/H",E292="VH/Ex",E292="VH/VH", E292="H/Ex",E292="H/VH",E292="M/Ex"),0.1,IF(OR(E292="Ex/M",E292="VH/H",E292="H/H", E292="M/VH"),0.2, IF(OR(E292="Ex/L",E292="VH/M",E292="H/M", E292="M/H",E292="L/Ex"),0.3, IF(OR(E292="Ex/VL",E292="VH/L",E292="H/L"),0.4, IF(OR(E292="VH/VL",E292="H/VL",E292="M/M", E292="L/VH"),0.5, IF(OR(E292="M/L",E292="L/H"),0.6, IF(OR(E292="M/VL",E292="L/M"),0.7, IF(OR(E292="L/L",E292="L/VL"),1)))))))))))</f>
        <v>0.8</v>
      </c>
      <c r="G292" s="319"/>
      <c r="H292" s="351"/>
      <c r="I292" s="352"/>
      <c r="J292" s="315"/>
    </row>
    <row r="293" spans="1:10" ht="15.6" x14ac:dyDescent="0.3">
      <c r="A293" s="316"/>
      <c r="B293" s="316"/>
      <c r="C293" s="14" t="s">
        <v>72</v>
      </c>
      <c r="D293" s="13"/>
      <c r="E293" s="42"/>
      <c r="F293" s="28">
        <f>IF(E293="",IF(G278="Yes",1,0.8),ROUND(IF(E293&gt;40,0,IF(E293&lt;5,1,E293^3*'Reference Standards'!H$21+E293^2*'Reference Standards'!H$22+E293*'Reference Standards'!H$23+'Reference Standards'!H$24)),2))</f>
        <v>0.8</v>
      </c>
      <c r="G293" s="319"/>
      <c r="H293" s="351"/>
      <c r="I293" s="352"/>
      <c r="J293" s="315"/>
    </row>
    <row r="294" spans="1:10" ht="15.6" x14ac:dyDescent="0.3">
      <c r="A294" s="316"/>
      <c r="B294" s="317"/>
      <c r="C294" s="14" t="s">
        <v>349</v>
      </c>
      <c r="D294" s="14"/>
      <c r="E294" s="44"/>
      <c r="F294" s="100">
        <f>IF(E294="",IF(G278="Yes",1,0.8),ROUND(IF(E294&gt;=30,0,IF(E294&lt;=0,1,E294*'Reference Standards'!H$27+'Reference Standards'!H$28)),2))</f>
        <v>0.8</v>
      </c>
      <c r="G294" s="320"/>
      <c r="H294" s="351"/>
      <c r="I294" s="352"/>
      <c r="J294" s="315"/>
    </row>
    <row r="295" spans="1:10" ht="15.6" x14ac:dyDescent="0.3">
      <c r="A295" s="316"/>
      <c r="B295" s="316" t="s">
        <v>48</v>
      </c>
      <c r="C295" s="15" t="s">
        <v>314</v>
      </c>
      <c r="D295" s="19"/>
      <c r="E295" s="36"/>
      <c r="F295" s="92">
        <f>IF(E295="",IF(G278="Yes",1,0.8),ROUND(IF(E295&gt;9.2,1,E295*'Reference Standards'!H$31+'Reference Standards'!H$32),2))</f>
        <v>0.8</v>
      </c>
      <c r="G295" s="307">
        <f>IFERROR(ROUND(AVERAGE(F295:F304),2),"")</f>
        <v>0.8</v>
      </c>
      <c r="H295" s="351"/>
      <c r="I295" s="352"/>
      <c r="J295" s="315"/>
    </row>
    <row r="296" spans="1:10" ht="15.6" x14ac:dyDescent="0.3">
      <c r="A296" s="316"/>
      <c r="B296" s="316"/>
      <c r="C296" s="17" t="s">
        <v>315</v>
      </c>
      <c r="D296" s="13"/>
      <c r="E296" s="40"/>
      <c r="F296" s="92">
        <f>IF(E296="",IF(G278="Yes",1,0.8),ROUND(IF(E296&gt;9.2,1,E296*'Reference Standards'!H$31+'Reference Standards'!H$32),2))</f>
        <v>0.8</v>
      </c>
      <c r="G296" s="308"/>
      <c r="H296" s="351"/>
      <c r="I296" s="352"/>
      <c r="J296" s="315"/>
    </row>
    <row r="297" spans="1:10" ht="15.6" x14ac:dyDescent="0.3">
      <c r="A297" s="316"/>
      <c r="B297" s="316"/>
      <c r="C297" s="17" t="s">
        <v>316</v>
      </c>
      <c r="D297" s="13"/>
      <c r="E297" s="40"/>
      <c r="F297" s="92">
        <f>IF(E297="",IF(G278="Yes",1,0.8),ROUND( IF(E297&gt;=200,1,IF(E297&lt;50, E297^2*'Reference Standards'!H$36+E297*'Reference Standards'!H$37+'Reference Standards'!H$38, E297*'Reference Standards'!I$37+'Reference Standards'!I$38)),2))</f>
        <v>0.8</v>
      </c>
      <c r="G297" s="308"/>
      <c r="H297" s="351"/>
      <c r="I297" s="352"/>
      <c r="J297" s="315"/>
    </row>
    <row r="298" spans="1:10" ht="15.6" x14ac:dyDescent="0.3">
      <c r="A298" s="316"/>
      <c r="B298" s="316"/>
      <c r="C298" s="17" t="s">
        <v>317</v>
      </c>
      <c r="D298" s="13"/>
      <c r="E298" s="40"/>
      <c r="F298" s="92">
        <f>IF(E298="",IF(G278="Yes",1,0.8),ROUND( IF(E298&gt;=200,1,IF(E298&lt;50, E298^2*'Reference Standards'!H$36+E298*'Reference Standards'!H$37+'Reference Standards'!H$38, E298*'Reference Standards'!I$37+'Reference Standards'!I$38)),2))</f>
        <v>0.8</v>
      </c>
      <c r="G298" s="308"/>
      <c r="H298" s="351"/>
      <c r="I298" s="352"/>
      <c r="J298" s="315"/>
    </row>
    <row r="299" spans="1:10" ht="15.6" x14ac:dyDescent="0.3">
      <c r="A299" s="316"/>
      <c r="B299" s="316"/>
      <c r="C299" s="13" t="s">
        <v>318</v>
      </c>
      <c r="D299" s="13"/>
      <c r="E299" s="40"/>
      <c r="F299" s="92">
        <f>IF(E299="",IF(G278="Yes",1,0.8),ROUND(IF(AND(E299&gt;=135,E299&lt;=262),1,IF(E299&gt;=366,0.5,IF(E299&lt;135,E299*'Reference Standards'!H$42+'Reference Standards'!H$43,E299*'Reference Standards'!I$42+'Reference Standards'!I$43))),2))</f>
        <v>0.8</v>
      </c>
      <c r="G299" s="308"/>
      <c r="H299" s="351"/>
      <c r="I299" s="352"/>
      <c r="J299" s="315"/>
    </row>
    <row r="300" spans="1:10" ht="15.6" x14ac:dyDescent="0.3">
      <c r="A300" s="316"/>
      <c r="B300" s="316"/>
      <c r="C300" s="13" t="s">
        <v>319</v>
      </c>
      <c r="D300" s="13"/>
      <c r="E300" s="40"/>
      <c r="F300" s="92">
        <f>IF(E300="",IF(G278="Yes",1,0.8),ROUND(IF(AND(E300&gt;=135,E300&lt;=262),1,IF(E300&gt;=366,0.5,IF(E300&lt;135,E300*'Reference Standards'!H$42+'Reference Standards'!H$43,E300*'Reference Standards'!I$42+'Reference Standards'!I$43))),2))</f>
        <v>0.8</v>
      </c>
      <c r="G300" s="308"/>
      <c r="H300" s="351"/>
      <c r="I300" s="352"/>
      <c r="J300" s="315"/>
    </row>
    <row r="301" spans="1:10" ht="15.6" x14ac:dyDescent="0.3">
      <c r="A301" s="316"/>
      <c r="B301" s="316"/>
      <c r="C301" s="13" t="s">
        <v>320</v>
      </c>
      <c r="D301" s="13"/>
      <c r="E301" s="40"/>
      <c r="F301" s="28">
        <f>IF(E301="",IF(G278="Yes",1,0.8),ROUND(IF(E301&gt;=75,1,IF(E301&lt;=0,0,E301*'Reference Standards'!H$46)),2))</f>
        <v>0.8</v>
      </c>
      <c r="G301" s="308"/>
      <c r="H301" s="351"/>
      <c r="I301" s="352"/>
      <c r="J301" s="315"/>
    </row>
    <row r="302" spans="1:10" ht="15.6" x14ac:dyDescent="0.3">
      <c r="A302" s="316"/>
      <c r="B302" s="316"/>
      <c r="C302" s="13" t="s">
        <v>321</v>
      </c>
      <c r="D302" s="13"/>
      <c r="E302" s="40"/>
      <c r="F302" s="28">
        <f>IF(E302="",IF(G278="Yes",1,0.8),ROUND(IF(E302&gt;=75,1,IF(E302&lt;=0,0,E302*'Reference Standards'!H$46)),2))</f>
        <v>0.8</v>
      </c>
      <c r="G302" s="308"/>
      <c r="H302" s="351"/>
      <c r="I302" s="352"/>
      <c r="J302" s="315"/>
    </row>
    <row r="303" spans="1:10" ht="15.6" x14ac:dyDescent="0.3">
      <c r="A303" s="316"/>
      <c r="B303" s="316"/>
      <c r="C303" s="13" t="s">
        <v>322</v>
      </c>
      <c r="D303" s="13"/>
      <c r="E303" s="40"/>
      <c r="F303" s="92">
        <f>IF(E303="",IF(G278="Yes",1,0.8),ROUND(IF(AND(E303&gt;=36.3,E303&lt;=68),1,IF(E303&gt;100,0,IF(E303&lt;36.3,(('Reference Standards'!H$51*(E303^2))+('Reference Standards'!H$52*E303)+'Reference Standards'!H$53),IF(E303&gt;68,(('Reference Standards'!I$51*(E303^2))+('Reference Standards'!I$52*E303)+'Reference Standards'!I$53))))),2))</f>
        <v>0.8</v>
      </c>
      <c r="G303" s="308"/>
      <c r="H303" s="351"/>
      <c r="I303" s="352"/>
      <c r="J303" s="315"/>
    </row>
    <row r="304" spans="1:10" ht="15.6" x14ac:dyDescent="0.3">
      <c r="A304" s="316"/>
      <c r="B304" s="317"/>
      <c r="C304" s="13" t="s">
        <v>323</v>
      </c>
      <c r="D304" s="20"/>
      <c r="E304" s="40"/>
      <c r="F304" s="92">
        <f>IF(E304="",IF(G278="Yes",1,0.8),ROUND(IF(AND(E304&gt;=36.3,E304&lt;=68),1,IF(E304&gt;100,0,IF(E304&lt;36.3,(('Reference Standards'!H$51*(E304^2))+('Reference Standards'!H$52*E304)+'Reference Standards'!H$53),IF(E304&gt;68,(('Reference Standards'!I$51*(E304^2))+('Reference Standards'!I$52*E304)+'Reference Standards'!I$53))))),2))</f>
        <v>0.8</v>
      </c>
      <c r="G304" s="309"/>
      <c r="H304" s="351"/>
      <c r="I304" s="352"/>
      <c r="J304" s="315"/>
    </row>
    <row r="305" spans="1:10" ht="15.6" x14ac:dyDescent="0.3">
      <c r="A305" s="316"/>
      <c r="B305" s="12" t="s">
        <v>87</v>
      </c>
      <c r="C305" s="26" t="s">
        <v>102</v>
      </c>
      <c r="D305" s="13"/>
      <c r="E305" s="7"/>
      <c r="F305" s="27" t="str">
        <f>IF(D281="Ephemeral","",IF(E305="","",IF(OR(D279="Cobble",D279="Gravel"),IF(E305&gt;0.1,1,IF(E305&lt;=0.01,0,ROUND(E305*'Reference Standards'!$H$56+'Reference Standards'!$H$57,2))))))</f>
        <v/>
      </c>
      <c r="G305" s="27" t="str">
        <f>IFERROR(ROUND(AVERAGE(F305),2),"")</f>
        <v/>
      </c>
      <c r="H305" s="351"/>
      <c r="I305" s="352"/>
      <c r="J305" s="315"/>
    </row>
    <row r="306" spans="1:10" ht="15.6" x14ac:dyDescent="0.3">
      <c r="A306" s="316"/>
      <c r="B306" s="321" t="s">
        <v>49</v>
      </c>
      <c r="C306" s="19" t="s">
        <v>50</v>
      </c>
      <c r="D306" s="19"/>
      <c r="E306" s="43"/>
      <c r="F306" s="102">
        <f>IF(D281="Ephemeral","",IF(AND(D279="Bedrock",E306=""),"",IF(E306="",IF(G278="Yes",1,0.8), IF(ISNUMBER($D280), IF($D280&lt;=2,IF(AND(E306&gt;=3,E306&lt;=5),1,IF(OR(E306&lt;=1,E306&gt;=7),0,ROUND(IF(E306&lt;3,E306*'Reference Standards'!H$61+'Reference Standards'!H$62,E306*'Reference Standards'!I$61+'Reference Standards'!I$62),2))),IF(E306&lt;=2.5,1,IF(E306&gt;=5.8,0,ROUND(E306*'Reference Standards'!H$65+'Reference Standards'!H$66,2))))))))</f>
        <v>0.8</v>
      </c>
      <c r="G306" s="307">
        <f>IFERROR(ROUND(AVERAGE(F306:F309),2),"")</f>
        <v>0.8</v>
      </c>
      <c r="H306" s="351"/>
      <c r="I306" s="352"/>
      <c r="J306" s="315"/>
    </row>
    <row r="307" spans="1:10" ht="15.6" x14ac:dyDescent="0.3">
      <c r="A307" s="316"/>
      <c r="B307" s="316"/>
      <c r="C307" s="13" t="s">
        <v>51</v>
      </c>
      <c r="D307" s="13"/>
      <c r="E307" s="42"/>
      <c r="F307" s="28">
        <f>IF(D281="Ephemeral","",IF(AND(D279="Bedrock",E307=""),"",IF(E307="",IF(G278="Yes",1,0.8),IF(E307&gt;=2.4,1,IF(E307&lt;=1,0,ROUND(IF(E307&lt;2.4,E307*'Reference Standards'!$H$70+'Reference Standards'!$H$71),2))))))</f>
        <v>0.8</v>
      </c>
      <c r="G307" s="308"/>
      <c r="H307" s="351"/>
      <c r="I307" s="352"/>
      <c r="J307" s="315"/>
    </row>
    <row r="308" spans="1:10" ht="15.6" x14ac:dyDescent="0.3">
      <c r="A308" s="316"/>
      <c r="B308" s="316"/>
      <c r="C308" s="13" t="s">
        <v>281</v>
      </c>
      <c r="D308" s="13"/>
      <c r="E308" s="42"/>
      <c r="F308" s="133">
        <f>IF(D281="Ephemeral","",IF(AND(D279="Bedrock",E306=""),"",IF(E308="",IF(G278="Yes",1,0.8),IF(LEFT($B281,2)="67",IF(AND(E308&gt;=45,E308&lt;=65),1,IF(OR(E308&lt;=20,E308&gt;=90),0,ROUND(IF(E308&lt;45,E308*'Reference Standards'!H$75+'Reference Standards'!H$76,E308*'Reference Standards'!I$75+'Reference Standards'!I$76),2))),IF(OR(LEFT($B281,2)="68",LEFT($B281,2)="69",LEFT($B281,2)="71"),IF(AND(E308&gt;=30,E308&lt;=50),1,IF(OR(E308&lt;=10,E308&gt;=70),0,ROUND(IF(E308&lt;30,E308*'Reference Standards'!H$80+'Reference Standards'!H$81,E308*'Reference Standards'!I$80+'Reference Standards'!I$81),2))),IF(LEFT($B281,2)="66",IF(AND(E308&gt;=20,E308&lt;=45),1,IF(OR(E308&lt;=0,E308&gt;=90),0,ROUND(IF(E308&lt;20,E308*'Reference Standards'!H$85+'Reference Standards'!H$86,E308*'Reference Standards'!I$85+'Reference Standards'!I$86),2))),IF(OR(LEFT($B281,2)="65",LEFT($B281,2)="74",LEFT($B281,2)="73"),IF(AND(E308&gt;=20,E308&lt;=30),1,IF(OR(E308&lt;=0,E308&gt;=50),0,ROUND(IF(E308&lt;20,E308*'Reference Standards'!H$90+'Reference Standards'!H$91,E308*'Reference Standards'!I$90+'Reference Standards'!I$91),2))))))))))</f>
        <v>0.8</v>
      </c>
      <c r="G308" s="308"/>
      <c r="H308" s="351"/>
      <c r="I308" s="352"/>
      <c r="J308" s="315"/>
    </row>
    <row r="309" spans="1:10" ht="15.6" x14ac:dyDescent="0.3">
      <c r="A309" s="316"/>
      <c r="B309" s="317"/>
      <c r="C309" s="17" t="s">
        <v>173</v>
      </c>
      <c r="D309" s="13"/>
      <c r="E309" s="44"/>
      <c r="F309" s="134" t="str">
        <f>IF(D281="Ephemeral","",IF(E309="","",IF(E309&gt;=1.6,0,IF(E309&lt;=1,1,ROUND('Reference Standards'!$H$94*E309^3+'Reference Standards'!$H$95*E309^2+'Reference Standards'!$H$96*E309+'Reference Standards'!$H$97,2)))))</f>
        <v/>
      </c>
      <c r="G309" s="309"/>
      <c r="H309" s="351"/>
      <c r="I309" s="352"/>
      <c r="J309" s="315"/>
    </row>
    <row r="310" spans="1:10" ht="15.6" x14ac:dyDescent="0.3">
      <c r="A310" s="317"/>
      <c r="B310" s="50" t="s">
        <v>53</v>
      </c>
      <c r="C310" s="69" t="s">
        <v>52</v>
      </c>
      <c r="D310" s="70"/>
      <c r="E310" s="68"/>
      <c r="F310" s="101">
        <f>IF(D281="Ephemeral","",IF(E310="",IF(G278="Yes",1,0.8),IF(AND(B280="E",$D279="Sand",G281="Unconfined Alluvial"),ROUND(IF(OR(E310&gt;1.8,E310&lt;1.3),0,IF(E310&lt;=1.6,1,E310*'Reference Standards'!H$100+'Reference Standards'!H$101)),2),    IF(G281="Unconfined Alluvial",ROUND(IF(OR(E310&lt;1.2, E310&gt;1.5),0,IF(E310&lt;=1.4,1,E310*'Reference Standards'!$H$104+'Reference Standards'!$H$105)),2), IF(G281="Confined Alluvial",ROUND(IF(E310&lt;1.15,0,IF(E310&lt;=1.4,E310*'Reference Standards'!$H$108+'Reference Standards'!$H$109,1)),2),  IF(G281="Colluvial",ROUND(IF(E310&gt;1.3,0,IF(E310&gt;1.2,E310*'Reference Standards'!$H$112+'Reference Standards'!$H$113,1)),2) ))))))</f>
        <v>0.8</v>
      </c>
      <c r="G310" s="28">
        <f>IFERROR(ROUND(AVERAGE(F310),2),"")</f>
        <v>0.8</v>
      </c>
      <c r="H310" s="351"/>
      <c r="I310" s="352"/>
      <c r="J310" s="315"/>
    </row>
    <row r="311" spans="1:10" ht="15.6" x14ac:dyDescent="0.3">
      <c r="A311" s="325" t="s">
        <v>55</v>
      </c>
      <c r="B311" s="22" t="s">
        <v>73</v>
      </c>
      <c r="C311" s="24" t="s">
        <v>285</v>
      </c>
      <c r="D311" s="24"/>
      <c r="E311" s="7"/>
      <c r="F311" s="103">
        <f>IF(D281="Ephemeral","",IF(E311="",IF(G278="Yes",1,0.8),ROUND(IF(E311&gt;=942,0,IF(E311&lt;=487,E311*'Reference Standards'!M$4+'Reference Standards'!M$5,E311*'Reference Standards'!$N$4+'Reference Standards'!$N$5)),2)))</f>
        <v>0.8</v>
      </c>
      <c r="G311" s="29">
        <f>IFERROR(ROUND(AVERAGE(F311),2),"")</f>
        <v>0.8</v>
      </c>
      <c r="H311" s="328">
        <f>IFERROR(ROUND(AVERAGE(G311:G314),2),"")</f>
        <v>0.8</v>
      </c>
      <c r="I311" s="357" t="str">
        <f>IF(H311="","",IF(H311&gt;0.69,"Functioning",IF(H311&gt;0.29,"Functioning At Risk",IF(H311&gt;-1,"Not Functioning"))))</f>
        <v>Functioning</v>
      </c>
      <c r="J311" s="315"/>
    </row>
    <row r="312" spans="1:10" ht="15.6" x14ac:dyDescent="0.3">
      <c r="A312" s="326"/>
      <c r="B312" s="79" t="s">
        <v>289</v>
      </c>
      <c r="C312" s="21" t="s">
        <v>288</v>
      </c>
      <c r="D312" s="21"/>
      <c r="E312" s="41"/>
      <c r="F312" s="104" t="str">
        <f>IF(D281="Ephemeral","",IF(E312="","",IF(OR($B281="65abei",$B281="65j",$B281="66d",$B281="66e",$B281="66ik",$B281="66f",$B281="66g",$B281="66j",$B281="68a",$B281="69de",$B281="74b",AND(OR($B281="67fhi",$B281="67g"),$D278&lt;=2),AND(OR($B281="68c",$B281="68d"),$G279="January - June")),IF(E312&gt;93,0,IF(E312&lt;13,1,ROUND('Reference Standards'!$M$9*E312^2+'Reference Standards'!$M$10*E312+'Reference Standards'!$M$11,2))),IF(OR(AND(OR($B281="67fhi",$B281="67g",$B281="71f",$B281="71g",$B281="71h"),$D278&gt;2),AND(OR($B281="68c",$B281="68d"),$G279="July - December"),$B281="73a",$B281="73b"),IF(E312&gt;94,0,IF(E312&lt;17,1,ROUND('Reference Standards'!$N$9*E312^2+'Reference Standards'!$N$10*E312+'Reference Standards'!$N$11,2))),IF(OR(AND(OR($B281="68b",$B281="71i"),$D278&gt;2),$B281="71e"),IF(E312&gt;91,0,IF(E312&lt;24,1,ROUND('Reference Standards'!$O$9*E312^2+'Reference Standards'!$O$10*E312+'Reference Standards'!$O$11,2))),IF(OR(AND(OR($B281="71f",$B281="71g",$B281="71h",$B281="71i"),$D278&lt;=2),AND($B281="74a",$D278&gt;2)),IF(E312&gt;95,0,IF(E312&lt;=36,1,ROUND('Reference Standards'!$P$9*E312^2+'Reference Standards'!$P$10*E312+'Reference Standards'!$P$11,2)))))))))</f>
        <v/>
      </c>
      <c r="G312" s="48" t="str">
        <f>IFERROR(ROUND(AVERAGE(F312),2),"")</f>
        <v/>
      </c>
      <c r="H312" s="329"/>
      <c r="I312" s="358"/>
      <c r="J312" s="315"/>
    </row>
    <row r="313" spans="1:10" ht="15.6" x14ac:dyDescent="0.3">
      <c r="A313" s="326"/>
      <c r="B313" s="22" t="s">
        <v>67</v>
      </c>
      <c r="C313" s="23" t="s">
        <v>240</v>
      </c>
      <c r="D313" s="23"/>
      <c r="E313" s="40"/>
      <c r="F313" s="104">
        <f>IF(ISNUMBER(E312),"",IF(D281="Ephemeral","",IF(E313="",IF(G278="Yes",1,0.8), IF(ISNUMBER($D278), IF(OR($B281="66e",$B281="66f",$B281="66g"),ROUND(IF(E313&gt;=0.61,0,IF(E313&lt;=0.01,1,IF(E313&lt;=0.06,E313*'Reference Standards'!$O$34+'Reference Standards'!$O$35,E313^2*'Reference Standards'!$M$33+E313*'Reference Standards'!$M$34+'Reference Standards'!$M$35))),2),IF($B281="68b",ROUND(IF(E313&gt;=1.1,0,IF(E313&lt;=0.17,1,IF(E313&lt;=0.22,E313*'Reference Standards'!$P$34+'Reference Standards'!$P$35,E313^2*'Reference Standards'!$N$33+E313*'Reference Standards'!$N$34+'Reference Standards'!$N$35))),2),IF($D278&lt;=2.5,IF($B281="69de",ROUND(IF(E313&gt;=0.22,0,IF(E313&lt;=0.01,1,E313^2*'Reference Standards'!$M$15+E313*'Reference Standards'!$M$16+'Reference Standards'!$M$17)),2),IF($B281="68c",ROUND(IF(E313&gt;=0.87,0,IF(E313&lt;=0.01,1,E313^2*'Reference Standards'!$N$15+E313*'Reference Standards'!$N$16+'Reference Standards'!$N$17)),2),IF($B281="68a",ROUND(IF(E313&gt;=0.81,0,IF(E313&lt;=0.01,1,E313^2*'Reference Standards'!$O$15+E313*'Reference Standards'!$O$16+'Reference Standards'!$O$17)),2),IF($B281="65abei",ROUND(IF(E313&gt;=0.67,0,IF(E313&lt;=0.01,1,IF(E313&lt;=0.18,E313*'Reference Standards'!$R$16+'Reference Standards'!$R$17,E313*'Reference Standards'!$P$16+'Reference Standards'!$P$17))),2),IF($B281="65j",ROUND(IF(E313&gt;=0.32,0,IF(E313&lt;=0.01,1,IF(E313&lt;=0.25,E313*'Reference Standards'!$S$16+'Reference Standards'!$S$17,E313*'Reference Standards'!$Q$16+'Reference Standards'!$Q$17))),2),IF($B281="71f",ROUND(IF(E313&gt;=3,0,IF(E313&lt;=0,1,IF(E313&lt;=0.01,0.7,E313^2*'Reference Standards'!$M$21+E313*'Reference Standards'!$M$22+'Reference Standards'!$M$23))),2),IF($B281="74a",ROUND(IF(E313&gt;=0.14,0,IF(E313&lt;=0.01,1,IF(E313&lt;=0.02,0.7,E313^2*'Reference Standards'!$N$21+E313*'Reference Standards'!$N$22+'Reference Standards'!$N$23))),2),IF(OR($B281="67fhi",$B281="67g"),ROUND(IF(E313&gt;=1.9,0,IF(E313&lt;=0.01,1,IF(E313&lt;=0.05,E313*'Reference Standards'!$Q$22+'Reference Standards'!$Q$23,E313^2*'Reference Standards'!$O$21+E313*'Reference Standards'!$O$22+'Reference Standards'!$O$23))),2),IF($B281="73a",ROUND(IF(E313&gt;=1.44,0,IF(E313&lt;=0.01,1,IF(E313&lt;=0.12,E313*'Reference Standards'!$R$22+'Reference Standards'!$R$23,E313^2*'Reference Standards'!$P$21+E313*'Reference Standards'!$P$22+'Reference Standards'!$P$23))),2),IF($B281="66d",ROUND(IF(E313&gt;=0.46,0,IF(E313&lt;=0.02,1,IF(E313&lt;=0.08,E313*'Reference Standards'!$Q$28+'Reference Standards'!$Q$29,E313^2*'Reference Standards'!$M$27+E313*'Reference Standards'!$M$28+'Reference Standards'!$M$29))),2),IF(OR($B281="71g",$B281="71h",$B281="71i"),ROUND(IF(E313&gt;=3,0,IF(E313&lt;=0.06,1,IF(E313&lt;=0.24,E313*'Reference Standards'!$R$28+'Reference Standards'!$R$29,E313^2*'Reference Standards'!$N$27+E313*'Reference Standards'!$N$28+'Reference Standards'!$N$29))),2),IF($B281="74b",ROUND(IF(E313&gt;=1.3,0,IF(E313&lt;=0.29,1,IF(E313&lt;=0.48,E313*'Reference Standards'!$S$28+'Reference Standards'!$S$29,E313^2*'Reference Standards'!$O$27+E313*'Reference Standards'!$O$28+'Reference Standards'!$O$29))),2),IF($B281="71e",ROUND(IF(E313&gt;=4.3,0,IF(E313&lt;=0.53,1,IF(E313&lt;=0.67,E313*'Reference Standards'!$T$28+'Reference Standards'!$T$29,E313^2*'Reference Standards'!$P$27+E313*'Reference Standards'!$P$28+'Reference Standards'!$P$29))),2)))))))))))))),IF($D278&gt;2.5,IF($B281="73a",ROUND(IF(E313&gt;=0.55,0,IF(E313&lt;=0,1,E313^2*'Reference Standards'!$M$39+E313*'Reference Standards'!$M$40+'Reference Standards'!$M$41)),2),IF($B281="68a",ROUND(IF(E313&gt;=0.54,0,IF(E313&lt;=0,1,IF(E313&lt;=0.01,0.85,E313^2*'Reference Standards'!$N$39+E313*'Reference Standards'!$N$40+'Reference Standards'!$N$41))),2),IF($B281="74a",ROUND(IF(E313&gt;=0.47,0,IF(E313&lt;=0.01,1,IF(E313&lt;=0.02,0.7,E313^2*'Reference Standards'!$O$39+E313*'Reference Standards'!$O$40+'Reference Standards'!$O$41))),2),IF($B281="69de",ROUND(IF(E313&gt;=0.26,0,IF(E313&lt;=0.01,1,IF(E313&lt;=0.02,0.85,E313^2*'Reference Standards'!$P$39+E313*'Reference Standards'!$P$40+'Reference Standards'!$P$41))),2),IF($B281="71f",ROUND(IF(E313&gt;=0.87,0,IF(E313&lt;=0.01,1,IF(E313&lt;=0.04,E313*'Reference Standards'!$Q$46+'Reference Standards'!$Q$47,E313^2*'Reference Standards'!$M$45+E313*'Reference Standards'!$M$46+'Reference Standards'!$M$47))),2),IF($B281="65abei",ROUND(IF(E313&gt;=0.82,0,IF(E313&lt;=0.01,1,IF(E313&lt;=0.06,E313*'Reference Standards'!$R$46+'Reference Standards'!$R$47,E313^2*'Reference Standards'!$N$45+E313*'Reference Standards'!$N$46+'Reference Standards'!$N$47))),2),IF($B281="65j",ROUND(IF(E313&gt;=0.33,0,IF(E313&lt;=0.03,1,IF(E313&lt;=0.09,E313*'Reference Standards'!$S$46+'Reference Standards'!$S$47,E313^2*'Reference Standards'!$O$45+E313*'Reference Standards'!$O$46+'Reference Standards'!$O$47))),2),IF($B281="68c",ROUND(IF(E313&gt;=0.7,0,IF(E313&lt;=0.07,1,IF(E313&lt;=0.12,E313*'Reference Standards'!$T$46+'Reference Standards'!$T$47,E313^2*'Reference Standards'!$P$45+E313*'Reference Standards'!$P$46+'Reference Standards'!$P$47))),2),IF(OR($B281="67fhi",$B281="67g"),ROUND(IF(E313&gt;=1.8,0,IF(E313&lt;=0.08,1,IF(E313&lt;=0.2,E313*'Reference Standards'!$Q$52+'Reference Standards'!$Q$53,E313^2*'Reference Standards'!$M$51+E313*'Reference Standards'!$M$52+'Reference Standards'!$M$53))),2),IF($B281="74b",ROUND(IF(E313&gt;=0.96,0,IF(E313&lt;=0.12,1,IF(E313&lt;=0.16,E313*'Reference Standards'!$R$52+'Reference Standards'!$R$53,E313^2*'Reference Standards'!$N$51+E313*'Reference Standards'!$N$52+'Reference Standards'!$N$53))),2),IF($B281="66d",ROUND(IF(E313&gt;=0.75,0,IF(E313&lt;=0.13,1,IF(E313&lt;=0.2,E313*'Reference Standards'!$S$52+'Reference Standards'!$S$53,E313^2*'Reference Standards'!$O$51+E313*'Reference Standards'!$O$52+'Reference Standards'!$O$53))),2),IF(OR($B281="71g",$B281="71h",$B281="71i"),ROUND(IF(E313&gt;=1.68,0,IF(E313&lt;=0.08,1,IF(E313&lt;=0.23,E313*'Reference Standards'!$T$52+'Reference Standards'!$T$53,E313^2*'Reference Standards'!$P$51+E313*'Reference Standards'!$P$52+'Reference Standards'!$P$53))),2),IF($B281="71e",ROUND(IF(E313&gt;=5.3,0,IF(E313&lt;=0.94,1,IF(E313&lt;=1.4,E313*'Reference Standards'!$Q$56+'Reference Standards'!$Q$57,E313^2*'Reference Standards'!$M$55+E313*'Reference Standards'!$M$56+'Reference Standards'!$M$57))),2))))))))))))))))))))))</f>
        <v>0.8</v>
      </c>
      <c r="G313" s="48">
        <f t="shared" ref="G313:G314" si="6">IFERROR(ROUND(AVERAGE(F313),2),"")</f>
        <v>0.8</v>
      </c>
      <c r="H313" s="329"/>
      <c r="I313" s="358"/>
      <c r="J313" s="315"/>
    </row>
    <row r="314" spans="1:10" ht="15.6" x14ac:dyDescent="0.3">
      <c r="A314" s="327"/>
      <c r="B314" s="78" t="s">
        <v>68</v>
      </c>
      <c r="C314" s="21" t="s">
        <v>239</v>
      </c>
      <c r="D314" s="21"/>
      <c r="E314" s="36"/>
      <c r="F314" s="103">
        <f>IF(ISNUMBER(E312),"", IF(D281="Ephemeral","",IF(E314="",IF(G278="Yes",1,0.8), IF(ISNUMBER($D278), IF($D278&gt;2.5,IF(OR($B281="71h",$B281="71i",$B281="73a",$B281="74a"),IF(E314&lt;=0.01,1,IF(OR($B281="71h",$B281="71i"),IF(E314&gt;0.37,0,ROUND(IF(E314&gt;0.03,'Reference Standards'!$M$73*E314^2+'Reference Standards'!$M$74*E314+'Reference Standards'!$M$75,'Reference Standards'!$Q$74*E314+'Reference Standards'!$Q$75),2)),IF($B281="73a",IF(E314&gt;0.405,0,ROUND(IF(E314&gt;0.046,'Reference Standards'!$N$73*E314^2+'Reference Standards'!$N$74*E314+'Reference Standards'!$N$75,'Reference Standards'!$R$74*E314+'Reference Standards'!$R$75),2)),IF($B281="74a",IF(E314&gt;0.3,0,ROUND(IF(E314&gt;0.052,'Reference Standards'!$O$73*E314^2+'Reference Standards'!$O$74*E314+'Reference Standards'!$O$75,'Reference Standards'!$S$74*E314+'Reference Standards'!$S$75),2)))))),IF(E314&lt;=0.002,1,IF(OR($B281="66d",$B281="66e",$B281="66g"),IF(E314&gt;0.053,0,ROUND(E314^2*'Reference Standards'!$M$61+E314*'Reference Standards'!$M$62+'Reference Standards'!$M$63,2)),IF($B281="68b",IF(E314&gt;0.05,0,ROUND(E314^2*'Reference Standards'!$N$61+E314*'Reference Standards'!$N$62+'Reference Standards'!$N$63,2)),IF(OR($B281="68a",$B281="68c"),IF(E314&gt;0.07,0,ROUND(E314^2*'Reference Standards'!$O$61+E314*'Reference Standards'!$O$62+'Reference Standards'!$O$63,2)),IF(OR($B281="71f",$B281="71g"),IF(E314&gt;0.13,0,ROUND(IF(E314&gt;0.042,E314*'Reference Standards'!$P$62+'Reference Standards'!$P$63,E314*'Reference Standards'!$Q$62+'Reference Standards'!$Q$63),2)),IF($B281="67fhi",IF(E314&gt;0.16,0,ROUND(E314^2*'Reference Standards'!$R$61+E314*'Reference Standards'!$R$62+'Reference Standards'!$R$63,2)),IF($B281="65j",IF(E314&gt;0.035,0,ROUND(IF(E314&lt;=0.003,0.7,E314^2*'Reference Standards'!$M$67+E314*'Reference Standards'!$M$68+'Reference Standards'!$M$69),2)),IF($B281="69de",IF(E314&gt;0.037,0,ROUND(IF(E314&lt;=0.003,0.7,E314^2*'Reference Standards'!$N$67+E314*'Reference Standards'!$N$68+'Reference Standards'!$N$69),2)),IF($B281="71e",IF(E314&gt;0.23,0,ROUND(IF(E314&lt;=0.003,0.7,E314^2*'Reference Standards'!$O$67+E314*'Reference Standards'!$O$68+'Reference Standards'!$O$69),2)),IF($B281="66f",IF(E314&gt;0.06,0,ROUND(IF(E314&lt;=0.003,0.85,IF(E314&lt;=0.004,0.7,E314^2*'Reference Standards'!$P$67+E314*'Reference Standards'!$P$68+'Reference Standards'!$P$69)),2)),IF($B281="67g",IF(E314&gt;0.11,0,ROUND(IF(E314&lt;=0.01,E314*'Reference Standards'!$S$68+'Reference Standards'!$S$69,E314^2*'Reference Standards'!$Q$67+E314*'Reference Standards'!$Q$68+'Reference Standards'!$Q$69),2)),IF($B281="74b",IF(E314&gt;0.49,0,ROUND(IF(E314&lt;=0.01,E314*'Reference Standards'!$S$68+'Reference Standards'!$S$69,E314^2*'Reference Standards'!$R$67+E314*'Reference Standards'!$R$68+'Reference Standards'!$R$69),2)),IF($B281="65abei",IF(E314&gt;0.199,0,ROUND(IF(E314&lt;=0.01,E314*'Reference Standards'!$T$74+'Reference Standards'!$T$75,E314^2*'Reference Standards'!$P$73+E314*'Reference Standards'!$P$74+'Reference Standards'!$P$75),2)))))))))))))))),IF($D278&lt;=2.5,IF(OR($B281="66d",$B281="66e",$B281="66g"),IF(E314&gt;0.05,0,ROUND(IF(E314&lt;=0.002,1,IF(E314&lt;=0.005,E314*'Reference Standards'!$Q$80+'Reference Standards'!$Q$81,E314^2*'Reference Standards'!$M$79+E314*'Reference Standards'!$M$80+'Reference Standards'!$M$81)),2)),IF($B281="67fhi",IF(E314&gt;0.1,0,ROUND(IF(E314&lt;=0.002,1,IF(E314&lt;=0.006,E314*'Reference Standards'!$R$80+'Reference Standards'!$R$81,E314^2*'Reference Standards'!$N$79+E314*'Reference Standards'!$N$80+'Reference Standards'!$N$81)),2)),IF($B281="65abei",IF(E314&gt;0.13,0,ROUND(IF(E314&lt;=0.003,1,IF(E314&lt;=0.008,E314*'Reference Standards'!$S$80+'Reference Standards'!$S$81,E314^2*'Reference Standards'!$O$79+E314*'Reference Standards'!$O$80+'Reference Standards'!$O$81)),2)),IF($B281="68b",IF(E314&gt;0.043,0,ROUND(IF(E314&lt;=0.004,1,IF(E314&lt;=0.005,0.7,E314^2*'Reference Standards'!$P$79+E314*'Reference Standards'!$P$80+'Reference Standards'!$P$81)),2)),IF($B281="69de",IF(E314&gt;=0.034,0,ROUND(IF(E314&lt;=0.003,1,IF(E314&lt;=0.006,E314*'Reference Standards'!$R$85+'Reference Standards'!$R$86,E314*'Reference Standards'!$M$85+'Reference Standards'!$M$86)),2)),IF(OR($B281="68a",$B281="68c"),IF(E314&gt;0.202,0,ROUND(IF(E314&lt;=0.003,1,IF(E314&lt;=0.006,E314*'Reference Standards'!$R$85+'Reference Standards'!$R$86,IF(E314&gt;=0.04,E314*'Reference Standards'!$N$85+'Reference Standards'!$N$86,E314*'Reference Standards'!$P$85+'Reference Standards'!$P$86))),2)),IF(OR($B281="71f",$B281="71g"),IF(E314&gt;0.631,0,ROUND(IF(E314&lt;=0.003,1,IF(E314&lt;=0.006,E314*'Reference Standards'!$R$85+'Reference Standards'!$R$86,IF(E314&gt;=0.17,E314*'Reference Standards'!$O$85+'Reference Standards'!$O$86,E314*'Reference Standards'!$Q$85+'Reference Standards'!$Q$86))),2)),IF($B281="71e",IF(E314&gt;1.23,0,ROUND(IF(E314&lt;=0.004,1,IF(E314&lt;=0.006,E314*'Reference Standards'!$Q$91+'Reference Standards'!$Q$92,E314^2*'Reference Standards'!$M$90+E314*'Reference Standards'!$M$91+'Reference Standards'!$M$92)),2)),IF($B281="67g",IF(E314&gt;0.11,0,ROUND(IF(E314&lt;=0.006,1,IF(E314&lt;=0.011,E314*'Reference Standards'!$R$91+'Reference Standards'!$R$92,E314^2*'Reference Standards'!$N$90+E314*'Reference Standards'!$N$91+'Reference Standards'!$N$92)),2)),IF($B281="65j",IF(E314&gt;0.046,0,ROUND(IF(E314&lt;=0.007,1,IF(E314&lt;=0.012,E314*'Reference Standards'!$S$91+'Reference Standards'!$S$92,E314^2*'Reference Standards'!$O$90+E314*'Reference Standards'!$O$91+'Reference Standards'!$O$92)),2)),IF($B281="66f",IF(E314&gt;0.081,0,ROUND(IF(E314&lt;=0.008,1,IF(E314&lt;=0.011,E314*'Reference Standards'!$T$91+'Reference Standards'!$T$92,E314^2*'Reference Standards'!$P$90+E314*'Reference Standards'!$P$91+'Reference Standards'!$P$92)),2)),IF(OR($B281="71h",$B281="71i"),IF(E314&gt;0.37,0,ROUND(IF(E314&lt;=0.013,1,IF(E314&lt;=0.032,E314*'Reference Standards'!$S$98+'Reference Standards'!$S$99,IF(E314&lt;=0.3,E314*'Reference Standards'!$Q$98+'Reference Standards'!$Q$99,E314*'Reference Standards'!$M$98+'Reference Standards'!$M$99))),2)),IF($B281="73a",IF(E314&gt;0.448,0,ROUND(IF(E314&lt;=0.071,1,IF(E314&lt;=0.086,E314*'Reference Standards'!$U$98+'Reference Standards'!$U$99,IF(E314&lt;=0.165,E314*'Reference Standards'!$R$98+'Reference Standards'!$R$99,E314*'Reference Standards'!$P$98+'Reference Standards'!$P$99))),2)),IF($B281="74b",IF(E314&gt;0.43,0,ROUND(IF(E314&lt;=0.018,1,IF(E314&lt;=0.019,0.85,IF(E314&lt;=0.02,0.7,E314^2*'Reference Standards'!$N$97+E314*'Reference Standards'!$N$98+'Reference Standards'!$N$99))),2)),IF($B281="74a",IF(E314&gt;0.217,0,ROUND(IF(E314&lt;=0.02,1,IF(E314&lt;=0.033,E314*'Reference Standards'!$T$98+'Reference Standards'!$T$99,E314^2*'Reference Standards'!$O$97+E314*'Reference Standards'!$O$98+'Reference Standards'!$O$99)),2)))))))))))))))))))))))</f>
        <v>0.8</v>
      </c>
      <c r="G314" s="48">
        <f t="shared" si="6"/>
        <v>0.8</v>
      </c>
      <c r="H314" s="330"/>
      <c r="I314" s="359"/>
      <c r="J314" s="315"/>
    </row>
    <row r="315" spans="1:10" ht="15.6" x14ac:dyDescent="0.3">
      <c r="A315" s="333" t="s">
        <v>56</v>
      </c>
      <c r="B315" s="341" t="s">
        <v>287</v>
      </c>
      <c r="C315" s="33" t="s">
        <v>278</v>
      </c>
      <c r="D315" s="34"/>
      <c r="E315" s="43"/>
      <c r="F315" s="105">
        <f>IF(OR(D281="Ephemeral",AND(E316&lt;&gt;"",E317&lt;&gt;"",E318&lt;&gt;"")),"",IF(E315="",IF(G278="Yes",1,0.8),IF(OR(B281="73a",B281="73b"),IF(E315&lt;1,0,IF(E315&gt;=30,1,ROUND(IF(E315&lt;22,'Reference Standards'!$W$4*E315+'Reference Standards'!$W$5,'Reference Standards'!$X$4*E315+'Reference Standards'!$X$5),2))), IF(E315&lt;1,0, IF(E315&gt;=42,1, ROUND(IF(E315&lt;32,'Reference Standards'!$Y$4*E315+'Reference Standards'!$Y$5,'Reference Standards'!$Z$4*E315+'Reference Standards'!$Z$5),2))))))</f>
        <v>0.8</v>
      </c>
      <c r="G315" s="356">
        <f>IFERROR(ROUND(AVERAGE(F315:F318),2),"")</f>
        <v>0.8</v>
      </c>
      <c r="H315" s="336">
        <f>IFERROR(ROUND(AVERAGE(G315:G320),2),"")</f>
        <v>0.8</v>
      </c>
      <c r="I315" s="314" t="str">
        <f>IF(H315="","",IF(H315&gt;0.69,"Functioning",IF(H315&gt;0.29,"Functioning At Risk",IF(H315&gt;-1,"Not Functioning"))))</f>
        <v>Functioning</v>
      </c>
      <c r="J315" s="315"/>
    </row>
    <row r="316" spans="1:10" ht="15.6" x14ac:dyDescent="0.3">
      <c r="A316" s="334"/>
      <c r="B316" s="342"/>
      <c r="C316" s="45" t="s">
        <v>282</v>
      </c>
      <c r="D316" s="46"/>
      <c r="E316" s="42"/>
      <c r="F316" s="106" t="str">
        <f>IF(D281="Ephemeral","",IF(E316="","",IF(AND($B281="74b",$D278&lt;=2),IF(E316&lt;0,0,IF(E316&gt;15.6,0.69,ROUND('Reference Standards'!$W$9*E316^2+'Reference Standards'!$W$10*E316+'Reference Standards'!$W$11,2))),IF(AND($B281="65abei",$D278&lt;=2),IF(E316&lt;0,0,IF(E316&gt;=20,0.69,ROUND('Reference Standards'!$X$9*E316^2+'Reference Standards'!$X$10*E316+'Reference Standards'!$X$11,2))),IF(OR(AND($B281="74a",$D$2&gt;2,$G279="January - June"),AND($B281="71i",$D278&gt;2,$G280="SQBANK")),IF(E316&lt;0,0,IF(E316&gt;24.7,0.69,ROUND('Reference Standards'!$Y$9*E316^2+'Reference Standards'!$Y$10*E316+'Reference Standards'!$Y$11,2))),IF(OR($B281="74b",$B281="65abei"),IF(E316&lt;0,0,IF(E316&gt;32.7,0.69,ROUND('Reference Standards'!$Z$9*E316^2+'Reference Standards'!$Z$10*E316+'Reference Standards'!$Z$11,2))),IF(AND($B281="68b",$D278&gt;2),IF(E316&lt;0,0,IF(E316&gt;41.2,0.69,ROUND('Reference Standards'!$AA$9*E316^2+'Reference Standards'!$AA$10*E316+'Reference Standards'!$AA$11,2))),IF(OR(AND($B281="71i",$D278&lt;=2),AND(OR($B281="68c",$B281="68d"),$G279="January - June")),IF(E316&lt;0,0,IF(E316&gt;49.2,0.69,ROUND('Reference Standards'!$W$15*E316^2+'Reference Standards'!$W$16*E316+'Reference Standards'!$W$17,2))),IF(OR(AND($B281="68a",$G279="January - June"),AND(OR($B281="68c",$B281="68d"),$G279="July - December")),IF(E316&lt;0,0,IF(E316&gt;53.4,0.69,ROUND('Reference Standards'!$X$15*E316^2+'Reference Standards'!$X$16*E316+'Reference Standards'!$X$17,2))),IF(OR(AND($B281="71i",$D278&gt;2,$G280="SQKICK"),AND(OR($B281="67fhi",$B281="67g"),$D278&lt;=2),$B281="65j"),IF(E316&lt;0,0,IF(E316&gt;57.8,0.69,ROUND('Reference Standards'!$Y$15*E316^2+'Reference Standards'!$Y$16*E316+'Reference Standards'!$Y$17,2))),IF(OR(AND($B281="74a",$D278&gt;2,$G279="July - December"),AND(OR($B281="67fhi",$B281="67g"),$D278&gt;2),$B281="69de"),IF(E316&lt;0,0,IF(E316&gt;62.5,0.69,ROUND('Reference Standards'!$Z$15*E316^2+'Reference Standards'!$Z$16*E316+'Reference Standards'!$Z$17,2))),  IF(OR($B281="66d",$B281="66e",$B281="66ik",$B281="71e",$B281="71f",$B281="71g",$B281="71h"),IF(E316&lt;0,0,IF(E316&gt;66.5,0.69,ROUND('Reference Standards'!$AA$15*E316^2+'Reference Standards'!$AA$16*E316+'Reference Standards'!$AA$17,2))),IF(OR($B281="66f",$B281="66g",$B281="66j",AND($B281="68a",$G279="July - December")), IF(E316&lt;0,0,IF(E316&gt;69,0.69,ROUND('Reference Standards'!$AB$15*E316^2+'Reference Standards'!$AB$16*E316+'Reference Standards'!$AB$17,2))))   ))))))))))))</f>
        <v/>
      </c>
      <c r="G316" s="356"/>
      <c r="H316" s="336"/>
      <c r="I316" s="314"/>
      <c r="J316" s="315"/>
    </row>
    <row r="317" spans="1:10" ht="15.6" x14ac:dyDescent="0.3">
      <c r="A317" s="334"/>
      <c r="B317" s="342"/>
      <c r="C317" s="45" t="s">
        <v>286</v>
      </c>
      <c r="D317" s="46"/>
      <c r="E317" s="42"/>
      <c r="F317" s="106" t="str">
        <f>IF(D281="Ephemeral","",IF(E317="","",IF(AND($B281="74b",$D278&lt;=2),IF(E317&lt;0,0,IF(E317&gt;8.1,0.69,ROUND('Reference Standards'!$W$21*E317^2+'Reference Standards'!$W$22*E317+'Reference Standards'!$W$23,2))),IF(OR($B281="73a",$B281="73b"),IF(E317&lt;0,0,IF(E317&gt;=28,0.69,ROUND('Reference Standards'!$X$21*E317^2+'Reference Standards'!$X$22*E317+'Reference Standards'!$X$23,2))),IF(AND($B281="74a",$D278&gt;2,$G279="January - June"),IF(E317&lt;0,0,IF(E317&gt;=32.5,0.69,ROUND('Reference Standards'!$Y$21*E317^2+'Reference Standards'!$Y$22*E317+'Reference Standards'!$Y$23,2))),IF(AND($B281="71i",$D278&gt;2,$G280="SQBANK"),IF(E317&lt;0,0,IF(E317&gt;=37,0.69,ROUND('Reference Standards'!$Z$21*E317^2+'Reference Standards'!$Z$22*E317+'Reference Standards'!$Z$23,2))),IF(OR(AND(OR($B281="65abei",$B281="74b"),$D278&gt;2),AND($B281="71i",$D278&gt;2,$G280="SQKICK")),IF(E317&lt;0,0,IF(E317&gt;42.6,0.69,ROUND('Reference Standards'!$AA$21*E317^2+'Reference Standards'!$AA$22*E317+'Reference Standards'!$AA$23,2))),     IF(OR(AND($B281="65abei",$D278&lt;=2),AND(OR($B281="68c",$B281="68d"),$G279="July - December"),$B281="71e"),IF(E317&lt;0,0,IF(E317&gt;=48,0.69,ROUND('Reference Standards'!$W$27*E317^2+'Reference Standards'!$W$28*E317+'Reference Standards'!$W$29,2))),IF(OR($B281="65j",$B281="67fhi",$B281="67g",AND($B281="74a",$G279="July - December",$D278&gt;2),AND($B281="71i",$D278&lt;=2)),IF(E317&lt;0,0,IF(E317&gt;=53,0.69,ROUND('Reference Standards'!$X$27*E317^2+'Reference Standards'!$X$28*E317+'Reference Standards'!$X$29,2))),IF(OR(AND(OR($B281="68b",$B281="71f",$B281="71g",$B281="71h"),$D278&gt;2),$B281="68a"),IF(E317&lt;0,0,IF(E317&gt;=57,0.69,ROUND('Reference Standards'!$Y$27*E317^2+'Reference Standards'!$Y$28*E317+'Reference Standards'!$Y$29,2))),IF(OR($B281="66f",$B281="66g",$B281="66j",AND(OR($B281="71f",$B281="71g",$B281="71h"),$D278&lt;=2)),IF(E317&lt;0,0,IF(E317&gt;=60,0.69,ROUND('Reference Standards'!$Z$27*E317^2+'Reference Standards'!$Z$28*E317+'Reference Standards'!$Z$29,2))),  IF(OR($B281="66d",$B281="66e",$B281="66ik", AND(OR($B281="68c",$B281="68d"),$G279="January - June"),AND($B281="69de",$G279="July - December")),IF(E317&lt;0,0,IF(E317&gt;=67.5,0.69,ROUND('Reference Standards'!$AA$27*E317^2+'Reference Standards'!$AA$28*E317+'Reference Standards'!$AA$29,2))),IF(AND($B281="69de",$G279="January - June"), IF(E317&lt;0,0,IF(E317&gt;=72,0.69,ROUND('Reference Standards'!$AB$27*E317^2+'Reference Standards'!$AB$28*E317+'Reference Standards'!$AB$29,2))))   ))))))))))))</f>
        <v/>
      </c>
      <c r="G317" s="356"/>
      <c r="H317" s="336"/>
      <c r="I317" s="314"/>
      <c r="J317" s="315"/>
    </row>
    <row r="318" spans="1:10" ht="15.6" x14ac:dyDescent="0.3">
      <c r="A318" s="334"/>
      <c r="B318" s="343"/>
      <c r="C318" s="35" t="s">
        <v>283</v>
      </c>
      <c r="D318" s="25"/>
      <c r="E318" s="44"/>
      <c r="F318" s="106" t="str">
        <f>IF(D281="Ephemeral","",IF(E318="","",IF(OR($B281="67fhi",$B281="67g",$B281="71e",$B281="73a",$B281="73b",AND(OR($B281="71f",$B281="71g",$B281="71h"),$D278&gt;2)),IF(E318&gt;100,0,IF(E318&lt;15,0.69,ROUND('Reference Standards'!$W$33*E318^2+'Reference Standards'!$W$34*E318+'Reference Standards'!$W$35,2))),  IF(OR($B281="66d",$B281="66e",$B281="66ik",$B281="66f",$B281="66g",$B281="66j",$B281="68a",$B281="68c",$B281="68d",AND($B281="69de",$G279="July - December"), AND($B281="71i",$D278&lt;=2), AND($B281="71i",$D278&gt;2,$G280="SQBANK" ), AND($B281="74a",$D278&gt;2,$G279="July - December") ),IF(E318&gt;100,0,IF(E318&lt;19,0.69,ROUND('Reference Standards'!$X$33*E318^2+'Reference Standards'!$X$34*E318+'Reference Standards'!$X$35,2))),    IF(OR(AND($B281="69de",$G279="January - June"),AND($B281="71i",$D278&gt;2,$G280="SQKICK" )),IF(E318&gt;100,0,IF(E318&lt;22,0.69,ROUND('Reference Standards'!$Y$33*E318^2+'Reference Standards'!$Y$34*E318+'Reference Standards'!$Y$35,2))),    IF(OR($B281="65j",AND($B281="68b",$D278&gt;2)),IF(E318&gt;100,0,IF(E318&lt;24,0.69,ROUND('Reference Standards'!$Z$33*E318^2+'Reference Standards'!$Z$34*E318+'Reference Standards'!$Z$35,2))),    IF(AND(OR($B281="65abei",$B281="71f",$B281="71g",$B281="71h"),$D278&lt;=2),IF(E318&gt;95,0,IF(E318&lt;33,0.69,ROUND('Reference Standards'!$W$39*E318^2+'Reference Standards'!$W$40*E318+'Reference Standards'!$W$41,2))),   IF(AND(OR($B281="65abei",$B281="74b"),$D278&gt;2),IF(E318&gt;97,0,IF(E318&lt;36,0.69,ROUND('Reference Standards'!$X$39*E318^2+'Reference Standards'!$X$40*E318+'Reference Standards'!$X$41,2))),  IF(AND($B281="74a",$G279="January - June",$D278&gt;2),IF(E318&gt;93,0,IF(E318&lt;52,0.69,ROUND('Reference Standards'!$Y$39*E318^2+'Reference Standards'!$Y$40*E318+'Reference Standards'!$Y$41,2))),   IF(AND($B281="74b",$D278&lt;=2),IF(E318&gt;97,0,IF(E318&lt;62,0.69,ROUND('Reference Standards'!$Z$39*E318^2+'Reference Standards'!$Z$40*E318+'Reference Standards'!$Z$41,2)))  ))))))))))</f>
        <v/>
      </c>
      <c r="G318" s="356"/>
      <c r="H318" s="336"/>
      <c r="I318" s="314"/>
      <c r="J318" s="315"/>
    </row>
    <row r="319" spans="1:10" ht="15.6" x14ac:dyDescent="0.3">
      <c r="A319" s="334"/>
      <c r="B319" s="337" t="s">
        <v>65</v>
      </c>
      <c r="C319" s="33" t="s">
        <v>174</v>
      </c>
      <c r="D319" s="34"/>
      <c r="E319" s="36"/>
      <c r="F319" s="105" t="str">
        <f>IF(D281="Ephemeral","",IF(E319="","",IF(E319=1,0.15,IF(E319=3,0.5,IF(E319=5,0.85,0)))))</f>
        <v/>
      </c>
      <c r="G319" s="338" t="str">
        <f>IFERROR(ROUND(AVERAGE(F319:F320),2),"")</f>
        <v/>
      </c>
      <c r="H319" s="336"/>
      <c r="I319" s="314"/>
      <c r="J319" s="315"/>
    </row>
    <row r="320" spans="1:10" ht="15.6" x14ac:dyDescent="0.3">
      <c r="A320" s="335"/>
      <c r="B320" s="337"/>
      <c r="C320" s="35" t="s">
        <v>279</v>
      </c>
      <c r="D320" s="25"/>
      <c r="E320" s="41"/>
      <c r="F320" s="107" t="str">
        <f>IF(D281="Ephemeral","",IF(E320="","",IF(E320=1,0.15,IF(E320=3,0.5,IF(E320=5,0.85,0)))))</f>
        <v/>
      </c>
      <c r="G320" s="339"/>
      <c r="H320" s="336"/>
      <c r="I320" s="314"/>
      <c r="J320" s="315"/>
    </row>
    <row r="321" spans="1:10" ht="8.4" customHeight="1" x14ac:dyDescent="0.3"/>
    <row r="322" spans="1:10" ht="8.4" customHeight="1" x14ac:dyDescent="0.3"/>
    <row r="323" spans="1:10" ht="21" customHeight="1" x14ac:dyDescent="0.3">
      <c r="A323" s="296" t="s">
        <v>295</v>
      </c>
      <c r="B323" s="297"/>
      <c r="C323" s="297"/>
      <c r="D323" s="297"/>
      <c r="E323" s="297"/>
      <c r="F323" s="297"/>
      <c r="G323" s="297"/>
      <c r="H323" s="297"/>
      <c r="I323" s="297"/>
      <c r="J323" s="298"/>
    </row>
    <row r="324" spans="1:10" ht="18" customHeight="1" x14ac:dyDescent="0.3">
      <c r="A324" s="6" t="s">
        <v>85</v>
      </c>
      <c r="B324" s="7"/>
      <c r="C324" s="6" t="s">
        <v>15</v>
      </c>
      <c r="D324" s="7"/>
      <c r="E324" s="165" t="s">
        <v>387</v>
      </c>
      <c r="F324" s="168"/>
      <c r="G324" s="166"/>
      <c r="H324" s="299" t="s">
        <v>367</v>
      </c>
      <c r="I324" s="300"/>
      <c r="J324" s="7"/>
    </row>
    <row r="325" spans="1:10" ht="18" customHeight="1" x14ac:dyDescent="0.3">
      <c r="A325" s="6" t="s">
        <v>86</v>
      </c>
      <c r="B325" s="39"/>
      <c r="C325" s="6" t="s">
        <v>371</v>
      </c>
      <c r="D325" s="39"/>
      <c r="E325" s="6" t="s">
        <v>94</v>
      </c>
      <c r="F325" s="6"/>
      <c r="G325" s="39"/>
      <c r="H325" s="299" t="s">
        <v>368</v>
      </c>
      <c r="I325" s="300"/>
      <c r="J325" s="7"/>
    </row>
    <row r="326" spans="1:10" ht="18" customHeight="1" x14ac:dyDescent="0.3">
      <c r="A326" s="6" t="s">
        <v>365</v>
      </c>
      <c r="B326" s="39"/>
      <c r="C326" s="6" t="s">
        <v>372</v>
      </c>
      <c r="D326" s="7"/>
      <c r="E326" s="331" t="s">
        <v>150</v>
      </c>
      <c r="F326" s="331"/>
      <c r="G326" s="39"/>
      <c r="H326" s="299" t="s">
        <v>369</v>
      </c>
      <c r="I326" s="300"/>
      <c r="J326" s="7"/>
    </row>
    <row r="327" spans="1:10" ht="18" customHeight="1" x14ac:dyDescent="0.3">
      <c r="A327" s="6" t="s">
        <v>290</v>
      </c>
      <c r="B327" s="39"/>
      <c r="C327" s="6" t="s">
        <v>351</v>
      </c>
      <c r="D327" s="39"/>
      <c r="E327" s="332" t="s">
        <v>260</v>
      </c>
      <c r="F327" s="332"/>
      <c r="G327" s="39"/>
      <c r="H327" s="299" t="s">
        <v>370</v>
      </c>
      <c r="I327" s="300"/>
      <c r="J327" s="7"/>
    </row>
    <row r="328" spans="1:10" ht="7.95" customHeight="1" x14ac:dyDescent="0.3">
      <c r="H328" s="3"/>
      <c r="I328" s="110"/>
      <c r="J328" s="3"/>
    </row>
    <row r="329" spans="1:10" ht="21" x14ac:dyDescent="0.4">
      <c r="A329" s="301" t="s">
        <v>54</v>
      </c>
      <c r="B329" s="302"/>
      <c r="C329" s="302"/>
      <c r="D329" s="302"/>
      <c r="E329" s="302"/>
      <c r="F329" s="303"/>
      <c r="G329" s="304" t="s">
        <v>16</v>
      </c>
      <c r="H329" s="304"/>
      <c r="I329" s="304"/>
      <c r="J329" s="304"/>
    </row>
    <row r="330" spans="1:10" ht="15.6" x14ac:dyDescent="0.3">
      <c r="A330" s="8" t="s">
        <v>1</v>
      </c>
      <c r="B330" s="8" t="s">
        <v>2</v>
      </c>
      <c r="C330" s="305" t="s">
        <v>3</v>
      </c>
      <c r="D330" s="306"/>
      <c r="E330" s="8" t="s">
        <v>13</v>
      </c>
      <c r="F330" s="37" t="s">
        <v>14</v>
      </c>
      <c r="G330" s="8" t="s">
        <v>17</v>
      </c>
      <c r="H330" s="8" t="s">
        <v>18</v>
      </c>
      <c r="I330" s="111" t="s">
        <v>18</v>
      </c>
      <c r="J330" s="8" t="s">
        <v>296</v>
      </c>
    </row>
    <row r="331" spans="1:10" ht="15.75" customHeight="1" x14ac:dyDescent="0.3">
      <c r="A331" s="310" t="s">
        <v>57</v>
      </c>
      <c r="B331" s="94" t="s">
        <v>71</v>
      </c>
      <c r="C331" s="9" t="s">
        <v>313</v>
      </c>
      <c r="D331" s="9"/>
      <c r="E331" s="40"/>
      <c r="F331" s="138">
        <f>IF(E331="", IF(G324="Yes",1,0.8),IF(E331&lt;=0,0,IF(E331&gt;=0.95,1,ROUND('Reference Standards'!B$3*E331+'Reference Standards'!B$4,2))))</f>
        <v>0.8</v>
      </c>
      <c r="G331" s="135">
        <f>IFERROR(ROUND(AVERAGE(F331),2),"")</f>
        <v>0.8</v>
      </c>
      <c r="H331" s="312">
        <f>IFERROR(ROUND(AVERAGE(G331:G332),2),"")</f>
        <v>0.8</v>
      </c>
      <c r="I331" s="314" t="str">
        <f>IF(H331="","",IF(H331&gt;0.69,"Functioning",IF(H331&gt;0.29,"Functioning At Risk",IF(H331&gt;-1,"Not Functioning"))))</f>
        <v>Functioning</v>
      </c>
      <c r="J331" s="315">
        <f>IF(AND(H331="",H333="",H335="",H357="",H361=""),"",ROUND((IF(H331="",0,H331)*0.2),2)+ROUND((IF(H333="",0,H333)*0.2),2)+ROUND((IF(H335="",0,H335)*0.2),2)+ROUND((IF(H357="",0,H357)*0.2),2)+ROUND((IF(H361="",0,H361)*0.2),2))</f>
        <v>0.8</v>
      </c>
    </row>
    <row r="332" spans="1:10" ht="15.6" x14ac:dyDescent="0.3">
      <c r="A332" s="311"/>
      <c r="B332" s="139" t="s">
        <v>97</v>
      </c>
      <c r="C332" s="136" t="s">
        <v>125</v>
      </c>
      <c r="D332" s="137"/>
      <c r="E332" s="7"/>
      <c r="F332" s="138">
        <f>IF(E332="", IF(G324="Yes",1,0.8),IF(E332&gt;=1,1,IF(E332&lt;=0,0,ROUND(E332,2))))</f>
        <v>0.8</v>
      </c>
      <c r="G332" s="135">
        <f>IFERROR(ROUND(AVERAGE(F332),2),"")</f>
        <v>0.8</v>
      </c>
      <c r="H332" s="313"/>
      <c r="I332" s="314"/>
      <c r="J332" s="315"/>
    </row>
    <row r="333" spans="1:10" ht="15.6" x14ac:dyDescent="0.3">
      <c r="A333" s="322" t="s">
        <v>4</v>
      </c>
      <c r="B333" s="324" t="s">
        <v>5</v>
      </c>
      <c r="C333" s="11" t="s">
        <v>6</v>
      </c>
      <c r="D333" s="11"/>
      <c r="E333" s="40"/>
      <c r="F333" s="98">
        <f>IF(D327="Ephemeral","",IF(E333="",IF(G324="Yes",1,0.8),ROUND(IF(E333&gt;1.6,0,IF(E333&lt;=1,1,E333^2*'Reference Standards'!E$3+E333*'Reference Standards'!E$4+'Reference Standards'!E$5)),2)))</f>
        <v>0.8</v>
      </c>
      <c r="G333" s="353">
        <f>IFERROR(ROUND(AVERAGE(F333:F334),2),"")</f>
        <v>0.8</v>
      </c>
      <c r="H333" s="354">
        <f>IFERROR(ROUND(AVERAGE(G333),2),"")</f>
        <v>0.8</v>
      </c>
      <c r="I333" s="346" t="str">
        <f>IF(H333="","",IF(H333&gt;0.69,"Functioning",IF(H333&gt;0.29,"Functioning At Risk",IF(H333&gt;-1,"Not Functioning"))))</f>
        <v>Functioning</v>
      </c>
      <c r="J333" s="315"/>
    </row>
    <row r="334" spans="1:10" ht="15.6" x14ac:dyDescent="0.3">
      <c r="A334" s="323"/>
      <c r="B334" s="324"/>
      <c r="C334" s="11" t="s">
        <v>7</v>
      </c>
      <c r="D334" s="11"/>
      <c r="E334" s="40"/>
      <c r="F334" s="98">
        <f>IF(D327="Ephemeral","",IF(E334="",IF(G324="Yes",1,0.8),(IF(OR(B326="A",B326="B",$B326="Bc"),IF(E334&lt;1.2,0,IF(E334&gt;=2.2,1,ROUND(IF(E334&lt;1.4,E334*'Reference Standards'!$E$14+'Reference Standards'!$E$15,E334*'Reference Standards'!$F$14+'Reference Standards'!$F$15),2))),IF(OR(B326="C",B326="E"),IF(E334&lt;2,0,IF(E334&gt;=5,1,ROUND(IF(E334&lt;2.4,E334*'Reference Standards'!$F$9+'Reference Standards'!$F$10,E334*'Reference Standards'!$E$9+'Reference Standards'!$E$10),2))))))))</f>
        <v>0.8</v>
      </c>
      <c r="G334" s="353"/>
      <c r="H334" s="355"/>
      <c r="I334" s="347"/>
      <c r="J334" s="315"/>
    </row>
    <row r="335" spans="1:10" ht="15.6" x14ac:dyDescent="0.3">
      <c r="A335" s="321" t="s">
        <v>23</v>
      </c>
      <c r="B335" s="348" t="s">
        <v>24</v>
      </c>
      <c r="C335" s="15" t="s">
        <v>280</v>
      </c>
      <c r="D335" s="71"/>
      <c r="E335" s="16"/>
      <c r="F335" s="99" t="str">
        <f>IF(E335="","",IF(OR(LEFT($B327,2)="65",LEFT($B327,2)="66",LEFT($B327,2)="74",LEFT($B327,2)="73"),IF(E335&gt;=850,1,IF(E335&lt;250,ROUND('Reference Standards'!$H$5*(E335)+'Reference Standards'!$H$6,2),ROUND('Reference Standards'!$I$5*E335+'Reference Standards'!$I$6,2))),  IF(E335&gt;=345,1,IF(E335&lt;=180,ROUND('Reference Standards'!J$5*(E335)+'Reference Standards'!J$6,2),ROUND('Reference Standards'!K$5*E335+'Reference Standards'!K$6,2))))    )</f>
        <v/>
      </c>
      <c r="G335" s="318">
        <f>IFERROR(ROUND(AVERAGE(F335:F336),2),"")</f>
        <v>0.8</v>
      </c>
      <c r="H335" s="350">
        <f>IFERROR(ROUND(AVERAGE(G335:G356),2),"")</f>
        <v>0.8</v>
      </c>
      <c r="I335" s="352" t="str">
        <f>IF(H335="","",IF(H335&gt;0.69,"Functioning",IF(H335&gt;0.29,"Functioning At Risk",IF(H335&gt;-1,"Not Functioning"))))</f>
        <v>Functioning</v>
      </c>
      <c r="J335" s="315"/>
    </row>
    <row r="336" spans="1:10" ht="15.6" x14ac:dyDescent="0.3">
      <c r="A336" s="316"/>
      <c r="B336" s="349"/>
      <c r="C336" s="18" t="s">
        <v>267</v>
      </c>
      <c r="D336" s="72"/>
      <c r="E336" s="10"/>
      <c r="F336" s="100">
        <f>IF(ISNUMBER(E335),"",IF(E336="",IF(G324="Yes",1,0.8),IF(OR(LEFT($B327,2)="65",LEFT($B327,2)="66",LEFT($B327,2)="74",LEFT($B327,2)="73"),IF(E336&gt;=30,1,IF(E336&lt;13,ROUND('Reference Standards'!$H$11*(E336)+'Reference Standards'!$H$12,2),ROUND('Reference Standards'!$I$11*E336+'Reference Standards'!$I$12,2))),  IF(E336&gt;=16,1,IF(E336&lt;=9,ROUND('Reference Standards'!J$11*(E336)+'Reference Standards'!J$12,2),ROUND('Reference Standards'!K$11*E336+'Reference Standards'!K$12,2))))    ))</f>
        <v>0.8</v>
      </c>
      <c r="G336" s="320"/>
      <c r="H336" s="350"/>
      <c r="I336" s="352"/>
      <c r="J336" s="315"/>
    </row>
    <row r="337" spans="1:10" ht="15.6" x14ac:dyDescent="0.3">
      <c r="A337" s="316"/>
      <c r="B337" s="316" t="s">
        <v>350</v>
      </c>
      <c r="C337" s="13" t="s">
        <v>66</v>
      </c>
      <c r="D337" s="13"/>
      <c r="E337" s="42"/>
      <c r="F337" s="99" t="str">
        <f>IF(E337="","",ROUND(IF(E337&gt;0.7,0,IF(E337&lt;=0.1,1,E337^3*'Reference Standards'!H$15+E337^2*'Reference Standards'!H$16+E337*'Reference Standards'!H$17+'Reference Standards'!H$18)),2))</f>
        <v/>
      </c>
      <c r="G337" s="318">
        <f>IFERROR(ROUND(AVERAGE(F337:F340),2),"")</f>
        <v>0.8</v>
      </c>
      <c r="H337" s="351"/>
      <c r="I337" s="352"/>
      <c r="J337" s="315"/>
    </row>
    <row r="338" spans="1:10" ht="15.6" x14ac:dyDescent="0.3">
      <c r="A338" s="316"/>
      <c r="B338" s="316"/>
      <c r="C338" s="13" t="s">
        <v>47</v>
      </c>
      <c r="D338" s="13"/>
      <c r="E338" s="42"/>
      <c r="F338" s="28">
        <f>IF(ISNUMBER(E337),"", IF(AND(E337="",E338=""),IF(G324="Yes",1,0.8),IF(OR(E338="Ex/Ex",E338="Ex/VH"),0, IF(OR(E338="Ex/H",E338="VH/Ex",E338="VH/VH", E338="H/Ex",E338="H/VH",E338="M/Ex"),0.1,IF(OR(E338="Ex/M",E338="VH/H",E338="H/H", E338="M/VH"),0.2, IF(OR(E338="Ex/L",E338="VH/M",E338="H/M", E338="M/H",E338="L/Ex"),0.3, IF(OR(E338="Ex/VL",E338="VH/L",E338="H/L"),0.4, IF(OR(E338="VH/VL",E338="H/VL",E338="M/M", E338="L/VH"),0.5, IF(OR(E338="M/L",E338="L/H"),0.6, IF(OR(E338="M/VL",E338="L/M"),0.7, IF(OR(E338="L/L",E338="L/VL"),1)))))))))))</f>
        <v>0.8</v>
      </c>
      <c r="G338" s="319"/>
      <c r="H338" s="351"/>
      <c r="I338" s="352"/>
      <c r="J338" s="315"/>
    </row>
    <row r="339" spans="1:10" ht="15.6" x14ac:dyDescent="0.3">
      <c r="A339" s="316"/>
      <c r="B339" s="316"/>
      <c r="C339" s="14" t="s">
        <v>72</v>
      </c>
      <c r="D339" s="13"/>
      <c r="E339" s="42"/>
      <c r="F339" s="28">
        <f>IF(E339="",IF(G324="Yes",1,0.8),ROUND(IF(E339&gt;40,0,IF(E339&lt;5,1,E339^3*'Reference Standards'!H$21+E339^2*'Reference Standards'!H$22+E339*'Reference Standards'!H$23+'Reference Standards'!H$24)),2))</f>
        <v>0.8</v>
      </c>
      <c r="G339" s="319"/>
      <c r="H339" s="351"/>
      <c r="I339" s="352"/>
      <c r="J339" s="315"/>
    </row>
    <row r="340" spans="1:10" ht="15.6" x14ac:dyDescent="0.3">
      <c r="A340" s="316"/>
      <c r="B340" s="317"/>
      <c r="C340" s="14" t="s">
        <v>349</v>
      </c>
      <c r="D340" s="14"/>
      <c r="E340" s="44"/>
      <c r="F340" s="100">
        <f>IF(E340="",IF(G324="Yes",1,0.8),ROUND(IF(E340&gt;=30,0,IF(E340&lt;=0,1,E340*'Reference Standards'!H$27+'Reference Standards'!H$28)),2))</f>
        <v>0.8</v>
      </c>
      <c r="G340" s="320"/>
      <c r="H340" s="351"/>
      <c r="I340" s="352"/>
      <c r="J340" s="315"/>
    </row>
    <row r="341" spans="1:10" ht="15.6" x14ac:dyDescent="0.3">
      <c r="A341" s="316"/>
      <c r="B341" s="316" t="s">
        <v>48</v>
      </c>
      <c r="C341" s="15" t="s">
        <v>314</v>
      </c>
      <c r="D341" s="19"/>
      <c r="E341" s="36"/>
      <c r="F341" s="92">
        <f>IF(E341="",IF(G324="Yes",1,0.8),ROUND(IF(E341&gt;9.2,1,E341*'Reference Standards'!H$31+'Reference Standards'!H$32),2))</f>
        <v>0.8</v>
      </c>
      <c r="G341" s="307">
        <f>IFERROR(ROUND(AVERAGE(F341:F350),2),"")</f>
        <v>0.8</v>
      </c>
      <c r="H341" s="351"/>
      <c r="I341" s="352"/>
      <c r="J341" s="315"/>
    </row>
    <row r="342" spans="1:10" ht="15.6" x14ac:dyDescent="0.3">
      <c r="A342" s="316"/>
      <c r="B342" s="316"/>
      <c r="C342" s="17" t="s">
        <v>315</v>
      </c>
      <c r="D342" s="13"/>
      <c r="E342" s="40"/>
      <c r="F342" s="92">
        <f>IF(E342="",IF(G324="Yes",1,0.8),ROUND(IF(E342&gt;9.2,1,E342*'Reference Standards'!H$31+'Reference Standards'!H$32),2))</f>
        <v>0.8</v>
      </c>
      <c r="G342" s="308"/>
      <c r="H342" s="351"/>
      <c r="I342" s="352"/>
      <c r="J342" s="315"/>
    </row>
    <row r="343" spans="1:10" ht="15.6" x14ac:dyDescent="0.3">
      <c r="A343" s="316"/>
      <c r="B343" s="316"/>
      <c r="C343" s="17" t="s">
        <v>316</v>
      </c>
      <c r="D343" s="13"/>
      <c r="E343" s="40"/>
      <c r="F343" s="92">
        <f>IF(E343="",IF(G324="Yes",1,0.8),ROUND( IF(E343&gt;=200,1,IF(E343&lt;50, E343^2*'Reference Standards'!H$36+E343*'Reference Standards'!H$37+'Reference Standards'!H$38, E343*'Reference Standards'!I$37+'Reference Standards'!I$38)),2))</f>
        <v>0.8</v>
      </c>
      <c r="G343" s="308"/>
      <c r="H343" s="351"/>
      <c r="I343" s="352"/>
      <c r="J343" s="315"/>
    </row>
    <row r="344" spans="1:10" ht="15.6" x14ac:dyDescent="0.3">
      <c r="A344" s="316"/>
      <c r="B344" s="316"/>
      <c r="C344" s="17" t="s">
        <v>317</v>
      </c>
      <c r="D344" s="13"/>
      <c r="E344" s="40"/>
      <c r="F344" s="92">
        <f>IF(E344="",IF(G324="Yes",1,0.8),ROUND( IF(E344&gt;=200,1,IF(E344&lt;50, E344^2*'Reference Standards'!H$36+E344*'Reference Standards'!H$37+'Reference Standards'!H$38, E344*'Reference Standards'!I$37+'Reference Standards'!I$38)),2))</f>
        <v>0.8</v>
      </c>
      <c r="G344" s="308"/>
      <c r="H344" s="351"/>
      <c r="I344" s="352"/>
      <c r="J344" s="315"/>
    </row>
    <row r="345" spans="1:10" ht="15.6" x14ac:dyDescent="0.3">
      <c r="A345" s="316"/>
      <c r="B345" s="316"/>
      <c r="C345" s="13" t="s">
        <v>318</v>
      </c>
      <c r="D345" s="13"/>
      <c r="E345" s="40"/>
      <c r="F345" s="92">
        <f>IF(E345="",IF(G324="Yes",1,0.8),ROUND(IF(AND(E345&gt;=135,E345&lt;=262),1,IF(E345&gt;=366,0.5,IF(E345&lt;135,E345*'Reference Standards'!H$42+'Reference Standards'!H$43,E345*'Reference Standards'!I$42+'Reference Standards'!I$43))),2))</f>
        <v>0.8</v>
      </c>
      <c r="G345" s="308"/>
      <c r="H345" s="351"/>
      <c r="I345" s="352"/>
      <c r="J345" s="315"/>
    </row>
    <row r="346" spans="1:10" ht="15.6" x14ac:dyDescent="0.3">
      <c r="A346" s="316"/>
      <c r="B346" s="316"/>
      <c r="C346" s="13" t="s">
        <v>319</v>
      </c>
      <c r="D346" s="13"/>
      <c r="E346" s="40"/>
      <c r="F346" s="92">
        <f>IF(E346="",IF(G324="Yes",1,0.8),ROUND(IF(AND(E346&gt;=135,E346&lt;=262),1,IF(E346&gt;=366,0.5,IF(E346&lt;135,E346*'Reference Standards'!H$42+'Reference Standards'!H$43,E346*'Reference Standards'!I$42+'Reference Standards'!I$43))),2))</f>
        <v>0.8</v>
      </c>
      <c r="G346" s="308"/>
      <c r="H346" s="351"/>
      <c r="I346" s="352"/>
      <c r="J346" s="315"/>
    </row>
    <row r="347" spans="1:10" ht="15.6" x14ac:dyDescent="0.3">
      <c r="A347" s="316"/>
      <c r="B347" s="316"/>
      <c r="C347" s="13" t="s">
        <v>320</v>
      </c>
      <c r="D347" s="13"/>
      <c r="E347" s="40"/>
      <c r="F347" s="28">
        <f>IF(E347="",IF(G324="Yes",1,0.8),ROUND(IF(E347&gt;=75,1,IF(E347&lt;=0,0,E347*'Reference Standards'!H$46)),2))</f>
        <v>0.8</v>
      </c>
      <c r="G347" s="308"/>
      <c r="H347" s="351"/>
      <c r="I347" s="352"/>
      <c r="J347" s="315"/>
    </row>
    <row r="348" spans="1:10" ht="15.6" x14ac:dyDescent="0.3">
      <c r="A348" s="316"/>
      <c r="B348" s="316"/>
      <c r="C348" s="13" t="s">
        <v>321</v>
      </c>
      <c r="D348" s="13"/>
      <c r="E348" s="40"/>
      <c r="F348" s="28">
        <f>IF(E348="",IF(G324="Yes",1,0.8),ROUND(IF(E348&gt;=75,1,IF(E348&lt;=0,0,E348*'Reference Standards'!H$46)),2))</f>
        <v>0.8</v>
      </c>
      <c r="G348" s="308"/>
      <c r="H348" s="351"/>
      <c r="I348" s="352"/>
      <c r="J348" s="315"/>
    </row>
    <row r="349" spans="1:10" ht="15.6" x14ac:dyDescent="0.3">
      <c r="A349" s="316"/>
      <c r="B349" s="316"/>
      <c r="C349" s="13" t="s">
        <v>322</v>
      </c>
      <c r="D349" s="13"/>
      <c r="E349" s="40"/>
      <c r="F349" s="92">
        <f>IF(E349="",IF(G324="Yes",1,0.8),ROUND(IF(AND(E349&gt;=36.3,E349&lt;=68),1,IF(E349&gt;100,0,IF(E349&lt;36.3,(('Reference Standards'!H$51*(E349^2))+('Reference Standards'!H$52*E349)+'Reference Standards'!H$53),IF(E349&gt;68,(('Reference Standards'!I$51*(E349^2))+('Reference Standards'!I$52*E349)+'Reference Standards'!I$53))))),2))</f>
        <v>0.8</v>
      </c>
      <c r="G349" s="308"/>
      <c r="H349" s="351"/>
      <c r="I349" s="352"/>
      <c r="J349" s="315"/>
    </row>
    <row r="350" spans="1:10" ht="15.6" x14ac:dyDescent="0.3">
      <c r="A350" s="316"/>
      <c r="B350" s="317"/>
      <c r="C350" s="13" t="s">
        <v>323</v>
      </c>
      <c r="D350" s="20"/>
      <c r="E350" s="40"/>
      <c r="F350" s="92">
        <f>IF(E350="",IF(G324="Yes",1,0.8),ROUND(IF(AND(E350&gt;=36.3,E350&lt;=68),1,IF(E350&gt;100,0,IF(E350&lt;36.3,(('Reference Standards'!H$51*(E350^2))+('Reference Standards'!H$52*E350)+'Reference Standards'!H$53),IF(E350&gt;68,(('Reference Standards'!I$51*(E350^2))+('Reference Standards'!I$52*E350)+'Reference Standards'!I$53))))),2))</f>
        <v>0.8</v>
      </c>
      <c r="G350" s="309"/>
      <c r="H350" s="351"/>
      <c r="I350" s="352"/>
      <c r="J350" s="315"/>
    </row>
    <row r="351" spans="1:10" ht="15.6" x14ac:dyDescent="0.3">
      <c r="A351" s="316"/>
      <c r="B351" s="12" t="s">
        <v>87</v>
      </c>
      <c r="C351" s="26" t="s">
        <v>102</v>
      </c>
      <c r="D351" s="13"/>
      <c r="E351" s="7"/>
      <c r="F351" s="27" t="str">
        <f>IF(D327="Ephemeral","",IF(E351="","",IF(OR(D325="Cobble",D325="Gravel"),IF(E351&gt;0.1,1,IF(E351&lt;=0.01,0,ROUND(E351*'Reference Standards'!$H$56+'Reference Standards'!$H$57,2))))))</f>
        <v/>
      </c>
      <c r="G351" s="27" t="str">
        <f>IFERROR(ROUND(AVERAGE(F351),2),"")</f>
        <v/>
      </c>
      <c r="H351" s="351"/>
      <c r="I351" s="352"/>
      <c r="J351" s="315"/>
    </row>
    <row r="352" spans="1:10" ht="15.6" x14ac:dyDescent="0.3">
      <c r="A352" s="316"/>
      <c r="B352" s="321" t="s">
        <v>49</v>
      </c>
      <c r="C352" s="19" t="s">
        <v>50</v>
      </c>
      <c r="D352" s="19"/>
      <c r="E352" s="43"/>
      <c r="F352" s="102">
        <f>IF(D327="Ephemeral","",IF(AND(D325="Bedrock",E352=""),"",IF(E352="",IF(G324="Yes",1,0.8), IF(ISNUMBER($D326), IF($D326&lt;=2,IF(AND(E352&gt;=3,E352&lt;=5),1,IF(OR(E352&lt;=1,E352&gt;=7),0,ROUND(IF(E352&lt;3,E352*'Reference Standards'!H$61+'Reference Standards'!H$62,E352*'Reference Standards'!I$61+'Reference Standards'!I$62),2))),IF(E352&lt;=2.5,1,IF(E352&gt;=5.8,0,ROUND(E352*'Reference Standards'!H$65+'Reference Standards'!H$66,2))))))))</f>
        <v>0.8</v>
      </c>
      <c r="G352" s="307">
        <f>IFERROR(ROUND(AVERAGE(F352:F355),2),"")</f>
        <v>0.8</v>
      </c>
      <c r="H352" s="351"/>
      <c r="I352" s="352"/>
      <c r="J352" s="315"/>
    </row>
    <row r="353" spans="1:10" ht="15.6" x14ac:dyDescent="0.3">
      <c r="A353" s="316"/>
      <c r="B353" s="316"/>
      <c r="C353" s="13" t="s">
        <v>51</v>
      </c>
      <c r="D353" s="13"/>
      <c r="E353" s="42"/>
      <c r="F353" s="28">
        <f>IF(D327="Ephemeral","",IF(AND(D325="Bedrock",E353=""),"",IF(E353="",IF(G324="Yes",1,0.8),IF(E353&gt;=2.4,1,IF(E353&lt;=1,0,ROUND(IF(E353&lt;2.4,E353*'Reference Standards'!$H$70+'Reference Standards'!$H$71),2))))))</f>
        <v>0.8</v>
      </c>
      <c r="G353" s="308"/>
      <c r="H353" s="351"/>
      <c r="I353" s="352"/>
      <c r="J353" s="315"/>
    </row>
    <row r="354" spans="1:10" ht="15.6" x14ac:dyDescent="0.3">
      <c r="A354" s="316"/>
      <c r="B354" s="316"/>
      <c r="C354" s="13" t="s">
        <v>281</v>
      </c>
      <c r="D354" s="13"/>
      <c r="E354" s="42"/>
      <c r="F354" s="133">
        <f>IF(D327="Ephemeral","",IF(AND(D325="Bedrock",E352=""),"",IF(E354="",IF(G324="Yes",1,0.8),IF(LEFT($B327,2)="67",IF(AND(E354&gt;=45,E354&lt;=65),1,IF(OR(E354&lt;=20,E354&gt;=90),0,ROUND(IF(E354&lt;45,E354*'Reference Standards'!H$75+'Reference Standards'!H$76,E354*'Reference Standards'!I$75+'Reference Standards'!I$76),2))),IF(OR(LEFT($B327,2)="68",LEFT($B327,2)="69",LEFT($B327,2)="71"),IF(AND(E354&gt;=30,E354&lt;=50),1,IF(OR(E354&lt;=10,E354&gt;=70),0,ROUND(IF(E354&lt;30,E354*'Reference Standards'!H$80+'Reference Standards'!H$81,E354*'Reference Standards'!I$80+'Reference Standards'!I$81),2))),IF(LEFT($B327,2)="66",IF(AND(E354&gt;=20,E354&lt;=45),1,IF(OR(E354&lt;=0,E354&gt;=90),0,ROUND(IF(E354&lt;20,E354*'Reference Standards'!H$85+'Reference Standards'!H$86,E354*'Reference Standards'!I$85+'Reference Standards'!I$86),2))),IF(OR(LEFT($B327,2)="65",LEFT($B327,2)="74",LEFT($B327,2)="73"),IF(AND(E354&gt;=20,E354&lt;=30),1,IF(OR(E354&lt;=0,E354&gt;=50),0,ROUND(IF(E354&lt;20,E354*'Reference Standards'!H$90+'Reference Standards'!H$91,E354*'Reference Standards'!I$90+'Reference Standards'!I$91),2))))))))))</f>
        <v>0.8</v>
      </c>
      <c r="G354" s="308"/>
      <c r="H354" s="351"/>
      <c r="I354" s="352"/>
      <c r="J354" s="315"/>
    </row>
    <row r="355" spans="1:10" ht="15.6" x14ac:dyDescent="0.3">
      <c r="A355" s="316"/>
      <c r="B355" s="317"/>
      <c r="C355" s="17" t="s">
        <v>173</v>
      </c>
      <c r="D355" s="13"/>
      <c r="E355" s="44"/>
      <c r="F355" s="134" t="str">
        <f>IF(D327="Ephemeral","",IF(E355="","",IF(E355&gt;=1.6,0,IF(E355&lt;=1,1,ROUND('Reference Standards'!$H$94*E355^3+'Reference Standards'!$H$95*E355^2+'Reference Standards'!$H$96*E355+'Reference Standards'!$H$97,2)))))</f>
        <v/>
      </c>
      <c r="G355" s="309"/>
      <c r="H355" s="351"/>
      <c r="I355" s="352"/>
      <c r="J355" s="315"/>
    </row>
    <row r="356" spans="1:10" ht="15.6" x14ac:dyDescent="0.3">
      <c r="A356" s="317"/>
      <c r="B356" s="50" t="s">
        <v>53</v>
      </c>
      <c r="C356" s="69" t="s">
        <v>52</v>
      </c>
      <c r="D356" s="70"/>
      <c r="E356" s="68"/>
      <c r="F356" s="101">
        <f>IF(D327="Ephemeral","",IF(E356="",IF(G324="Yes",1,0.8),IF(AND(B326="E",$D325="Sand",G327="Unconfined Alluvial"),ROUND(IF(OR(E356&gt;1.8,E356&lt;1.3),0,IF(E356&lt;=1.6,1,E356*'Reference Standards'!H$100+'Reference Standards'!H$101)),2),    IF(G327="Unconfined Alluvial",ROUND(IF(OR(E356&lt;1.2, E356&gt;1.5),0,IF(E356&lt;=1.4,1,E356*'Reference Standards'!$H$104+'Reference Standards'!$H$105)),2), IF(G327="Confined Alluvial",ROUND(IF(E356&lt;1.15,0,IF(E356&lt;=1.4,E356*'Reference Standards'!$H$108+'Reference Standards'!$H$109,1)),2),  IF(G327="Colluvial",ROUND(IF(E356&gt;1.3,0,IF(E356&gt;1.2,E356*'Reference Standards'!$H$112+'Reference Standards'!$H$113,1)),2) ))))))</f>
        <v>0.8</v>
      </c>
      <c r="G356" s="28">
        <f>IFERROR(ROUND(AVERAGE(F356),2),"")</f>
        <v>0.8</v>
      </c>
      <c r="H356" s="351"/>
      <c r="I356" s="352"/>
      <c r="J356" s="315"/>
    </row>
    <row r="357" spans="1:10" ht="15.6" x14ac:dyDescent="0.3">
      <c r="A357" s="325" t="s">
        <v>55</v>
      </c>
      <c r="B357" s="22" t="s">
        <v>73</v>
      </c>
      <c r="C357" s="24" t="s">
        <v>285</v>
      </c>
      <c r="D357" s="24"/>
      <c r="E357" s="7"/>
      <c r="F357" s="103">
        <f>IF(D327="Ephemeral","",IF(E357="",IF(G324="Yes",1,0.8),ROUND(IF(E357&gt;=942,0,IF(E357&lt;=487,E357*'Reference Standards'!M$4+'Reference Standards'!M$5,E357*'Reference Standards'!$N$4+'Reference Standards'!$N$5)),2)))</f>
        <v>0.8</v>
      </c>
      <c r="G357" s="29">
        <f>IFERROR(ROUND(AVERAGE(F357),2),"")</f>
        <v>0.8</v>
      </c>
      <c r="H357" s="328">
        <f>IFERROR(ROUND(AVERAGE(G357:G360),2),"")</f>
        <v>0.8</v>
      </c>
      <c r="I357" s="357" t="str">
        <f>IF(H357="","",IF(H357&gt;0.69,"Functioning",IF(H357&gt;0.29,"Functioning At Risk",IF(H357&gt;-1,"Not Functioning"))))</f>
        <v>Functioning</v>
      </c>
      <c r="J357" s="315"/>
    </row>
    <row r="358" spans="1:10" ht="15.6" x14ac:dyDescent="0.3">
      <c r="A358" s="326"/>
      <c r="B358" s="79" t="s">
        <v>289</v>
      </c>
      <c r="C358" s="21" t="s">
        <v>288</v>
      </c>
      <c r="D358" s="21"/>
      <c r="E358" s="41"/>
      <c r="F358" s="104" t="str">
        <f>IF(D327="Ephemeral","",IF(E358="","",IF(OR($B327="65abei",$B327="65j",$B327="66d",$B327="66e",$B327="66ik",$B327="66f",$B327="66g",$B327="66j",$B327="68a",$B327="69de",$B327="74b",AND(OR($B327="67fhi",$B327="67g"),$D324&lt;=2),AND(OR($B327="68c",$B327="68d"),$G325="January - June")),IF(E358&gt;93,0,IF(E358&lt;13,1,ROUND('Reference Standards'!$M$9*E358^2+'Reference Standards'!$M$10*E358+'Reference Standards'!$M$11,2))),IF(OR(AND(OR($B327="67fhi",$B327="67g",$B327="71f",$B327="71g",$B327="71h"),$D324&gt;2),AND(OR($B327="68c",$B327="68d"),$G325="July - December"),$B327="73a",$B327="73b"),IF(E358&gt;94,0,IF(E358&lt;17,1,ROUND('Reference Standards'!$N$9*E358^2+'Reference Standards'!$N$10*E358+'Reference Standards'!$N$11,2))),IF(OR(AND(OR($B327="68b",$B327="71i"),$D324&gt;2),$B327="71e"),IF(E358&gt;91,0,IF(E358&lt;24,1,ROUND('Reference Standards'!$O$9*E358^2+'Reference Standards'!$O$10*E358+'Reference Standards'!$O$11,2))),IF(OR(AND(OR($B327="71f",$B327="71g",$B327="71h",$B327="71i"),$D324&lt;=2),AND($B327="74a",$D324&gt;2)),IF(E358&gt;95,0,IF(E358&lt;=36,1,ROUND('Reference Standards'!$P$9*E358^2+'Reference Standards'!$P$10*E358+'Reference Standards'!$P$11,2)))))))))</f>
        <v/>
      </c>
      <c r="G358" s="48" t="str">
        <f>IFERROR(ROUND(AVERAGE(F358),2),"")</f>
        <v/>
      </c>
      <c r="H358" s="329"/>
      <c r="I358" s="358"/>
      <c r="J358" s="315"/>
    </row>
    <row r="359" spans="1:10" ht="15.6" x14ac:dyDescent="0.3">
      <c r="A359" s="326"/>
      <c r="B359" s="22" t="s">
        <v>67</v>
      </c>
      <c r="C359" s="23" t="s">
        <v>240</v>
      </c>
      <c r="D359" s="23"/>
      <c r="E359" s="40"/>
      <c r="F359" s="104">
        <f>IF(ISNUMBER(E358),"",IF(D327="Ephemeral","",IF(E359="",IF(G324="Yes",1,0.8), IF(ISNUMBER($D324), IF(OR($B327="66e",$B327="66f",$B327="66g"),ROUND(IF(E359&gt;=0.61,0,IF(E359&lt;=0.01,1,IF(E359&lt;=0.06,E359*'Reference Standards'!$O$34+'Reference Standards'!$O$35,E359^2*'Reference Standards'!$M$33+E359*'Reference Standards'!$M$34+'Reference Standards'!$M$35))),2),IF($B327="68b",ROUND(IF(E359&gt;=1.1,0,IF(E359&lt;=0.17,1,IF(E359&lt;=0.22,E359*'Reference Standards'!$P$34+'Reference Standards'!$P$35,E359^2*'Reference Standards'!$N$33+E359*'Reference Standards'!$N$34+'Reference Standards'!$N$35))),2),IF($D324&lt;=2.5,IF($B327="69de",ROUND(IF(E359&gt;=0.22,0,IF(E359&lt;=0.01,1,E359^2*'Reference Standards'!$M$15+E359*'Reference Standards'!$M$16+'Reference Standards'!$M$17)),2),IF($B327="68c",ROUND(IF(E359&gt;=0.87,0,IF(E359&lt;=0.01,1,E359^2*'Reference Standards'!$N$15+E359*'Reference Standards'!$N$16+'Reference Standards'!$N$17)),2),IF($B327="68a",ROUND(IF(E359&gt;=0.81,0,IF(E359&lt;=0.01,1,E359^2*'Reference Standards'!$O$15+E359*'Reference Standards'!$O$16+'Reference Standards'!$O$17)),2),IF($B327="65abei",ROUND(IF(E359&gt;=0.67,0,IF(E359&lt;=0.01,1,IF(E359&lt;=0.18,E359*'Reference Standards'!$R$16+'Reference Standards'!$R$17,E359*'Reference Standards'!$P$16+'Reference Standards'!$P$17))),2),IF($B327="65j",ROUND(IF(E359&gt;=0.32,0,IF(E359&lt;=0.01,1,IF(E359&lt;=0.25,E359*'Reference Standards'!$S$16+'Reference Standards'!$S$17,E359*'Reference Standards'!$Q$16+'Reference Standards'!$Q$17))),2),IF($B327="71f",ROUND(IF(E359&gt;=3,0,IF(E359&lt;=0,1,IF(E359&lt;=0.01,0.7,E359^2*'Reference Standards'!$M$21+E359*'Reference Standards'!$M$22+'Reference Standards'!$M$23))),2),IF($B327="74a",ROUND(IF(E359&gt;=0.14,0,IF(E359&lt;=0.01,1,IF(E359&lt;=0.02,0.7,E359^2*'Reference Standards'!$N$21+E359*'Reference Standards'!$N$22+'Reference Standards'!$N$23))),2),IF(OR($B327="67fhi",$B327="67g"),ROUND(IF(E359&gt;=1.9,0,IF(E359&lt;=0.01,1,IF(E359&lt;=0.05,E359*'Reference Standards'!$Q$22+'Reference Standards'!$Q$23,E359^2*'Reference Standards'!$O$21+E359*'Reference Standards'!$O$22+'Reference Standards'!$O$23))),2),IF($B327="73a",ROUND(IF(E359&gt;=1.44,0,IF(E359&lt;=0.01,1,IF(E359&lt;=0.12,E359*'Reference Standards'!$R$22+'Reference Standards'!$R$23,E359^2*'Reference Standards'!$P$21+E359*'Reference Standards'!$P$22+'Reference Standards'!$P$23))),2),IF($B327="66d",ROUND(IF(E359&gt;=0.46,0,IF(E359&lt;=0.02,1,IF(E359&lt;=0.08,E359*'Reference Standards'!$Q$28+'Reference Standards'!$Q$29,E359^2*'Reference Standards'!$M$27+E359*'Reference Standards'!$M$28+'Reference Standards'!$M$29))),2),IF(OR($B327="71g",$B327="71h",$B327="71i"),ROUND(IF(E359&gt;=3,0,IF(E359&lt;=0.06,1,IF(E359&lt;=0.24,E359*'Reference Standards'!$R$28+'Reference Standards'!$R$29,E359^2*'Reference Standards'!$N$27+E359*'Reference Standards'!$N$28+'Reference Standards'!$N$29))),2),IF($B327="74b",ROUND(IF(E359&gt;=1.3,0,IF(E359&lt;=0.29,1,IF(E359&lt;=0.48,E359*'Reference Standards'!$S$28+'Reference Standards'!$S$29,E359^2*'Reference Standards'!$O$27+E359*'Reference Standards'!$O$28+'Reference Standards'!$O$29))),2),IF($B327="71e",ROUND(IF(E359&gt;=4.3,0,IF(E359&lt;=0.53,1,IF(E359&lt;=0.67,E359*'Reference Standards'!$T$28+'Reference Standards'!$T$29,E359^2*'Reference Standards'!$P$27+E359*'Reference Standards'!$P$28+'Reference Standards'!$P$29))),2)))))))))))))),IF($D324&gt;2.5,IF($B327="73a",ROUND(IF(E359&gt;=0.55,0,IF(E359&lt;=0,1,E359^2*'Reference Standards'!$M$39+E359*'Reference Standards'!$M$40+'Reference Standards'!$M$41)),2),IF($B327="68a",ROUND(IF(E359&gt;=0.54,0,IF(E359&lt;=0,1,IF(E359&lt;=0.01,0.85,E359^2*'Reference Standards'!$N$39+E359*'Reference Standards'!$N$40+'Reference Standards'!$N$41))),2),IF($B327="74a",ROUND(IF(E359&gt;=0.47,0,IF(E359&lt;=0.01,1,IF(E359&lt;=0.02,0.7,E359^2*'Reference Standards'!$O$39+E359*'Reference Standards'!$O$40+'Reference Standards'!$O$41))),2),IF($B327="69de",ROUND(IF(E359&gt;=0.26,0,IF(E359&lt;=0.01,1,IF(E359&lt;=0.02,0.85,E359^2*'Reference Standards'!$P$39+E359*'Reference Standards'!$P$40+'Reference Standards'!$P$41))),2),IF($B327="71f",ROUND(IF(E359&gt;=0.87,0,IF(E359&lt;=0.01,1,IF(E359&lt;=0.04,E359*'Reference Standards'!$Q$46+'Reference Standards'!$Q$47,E359^2*'Reference Standards'!$M$45+E359*'Reference Standards'!$M$46+'Reference Standards'!$M$47))),2),IF($B327="65abei",ROUND(IF(E359&gt;=0.82,0,IF(E359&lt;=0.01,1,IF(E359&lt;=0.06,E359*'Reference Standards'!$R$46+'Reference Standards'!$R$47,E359^2*'Reference Standards'!$N$45+E359*'Reference Standards'!$N$46+'Reference Standards'!$N$47))),2),IF($B327="65j",ROUND(IF(E359&gt;=0.33,0,IF(E359&lt;=0.03,1,IF(E359&lt;=0.09,E359*'Reference Standards'!$S$46+'Reference Standards'!$S$47,E359^2*'Reference Standards'!$O$45+E359*'Reference Standards'!$O$46+'Reference Standards'!$O$47))),2),IF($B327="68c",ROUND(IF(E359&gt;=0.7,0,IF(E359&lt;=0.07,1,IF(E359&lt;=0.12,E359*'Reference Standards'!$T$46+'Reference Standards'!$T$47,E359^2*'Reference Standards'!$P$45+E359*'Reference Standards'!$P$46+'Reference Standards'!$P$47))),2),IF(OR($B327="67fhi",$B327="67g"),ROUND(IF(E359&gt;=1.8,0,IF(E359&lt;=0.08,1,IF(E359&lt;=0.2,E359*'Reference Standards'!$Q$52+'Reference Standards'!$Q$53,E359^2*'Reference Standards'!$M$51+E359*'Reference Standards'!$M$52+'Reference Standards'!$M$53))),2),IF($B327="74b",ROUND(IF(E359&gt;=0.96,0,IF(E359&lt;=0.12,1,IF(E359&lt;=0.16,E359*'Reference Standards'!$R$52+'Reference Standards'!$R$53,E359^2*'Reference Standards'!$N$51+E359*'Reference Standards'!$N$52+'Reference Standards'!$N$53))),2),IF($B327="66d",ROUND(IF(E359&gt;=0.75,0,IF(E359&lt;=0.13,1,IF(E359&lt;=0.2,E359*'Reference Standards'!$S$52+'Reference Standards'!$S$53,E359^2*'Reference Standards'!$O$51+E359*'Reference Standards'!$O$52+'Reference Standards'!$O$53))),2),IF(OR($B327="71g",$B327="71h",$B327="71i"),ROUND(IF(E359&gt;=1.68,0,IF(E359&lt;=0.08,1,IF(E359&lt;=0.23,E359*'Reference Standards'!$T$52+'Reference Standards'!$T$53,E359^2*'Reference Standards'!$P$51+E359*'Reference Standards'!$P$52+'Reference Standards'!$P$53))),2),IF($B327="71e",ROUND(IF(E359&gt;=5.3,0,IF(E359&lt;=0.94,1,IF(E359&lt;=1.4,E359*'Reference Standards'!$Q$56+'Reference Standards'!$Q$57,E359^2*'Reference Standards'!$M$55+E359*'Reference Standards'!$M$56+'Reference Standards'!$M$57))),2))))))))))))))))))))))</f>
        <v>0.8</v>
      </c>
      <c r="G359" s="48">
        <f t="shared" ref="G359:G360" si="7">IFERROR(ROUND(AVERAGE(F359),2),"")</f>
        <v>0.8</v>
      </c>
      <c r="H359" s="329"/>
      <c r="I359" s="358"/>
      <c r="J359" s="315"/>
    </row>
    <row r="360" spans="1:10" ht="15.6" x14ac:dyDescent="0.3">
      <c r="A360" s="327"/>
      <c r="B360" s="78" t="s">
        <v>68</v>
      </c>
      <c r="C360" s="21" t="s">
        <v>239</v>
      </c>
      <c r="D360" s="21"/>
      <c r="E360" s="36"/>
      <c r="F360" s="103">
        <f>IF(ISNUMBER(E358),"", IF(D327="Ephemeral","",IF(E360="",IF(G324="Yes",1,0.8), IF(ISNUMBER($D324), IF($D324&gt;2.5,IF(OR($B327="71h",$B327="71i",$B327="73a",$B327="74a"),IF(E360&lt;=0.01,1,IF(OR($B327="71h",$B327="71i"),IF(E360&gt;0.37,0,ROUND(IF(E360&gt;0.03,'Reference Standards'!$M$73*E360^2+'Reference Standards'!$M$74*E360+'Reference Standards'!$M$75,'Reference Standards'!$Q$74*E360+'Reference Standards'!$Q$75),2)),IF($B327="73a",IF(E360&gt;0.405,0,ROUND(IF(E360&gt;0.046,'Reference Standards'!$N$73*E360^2+'Reference Standards'!$N$74*E360+'Reference Standards'!$N$75,'Reference Standards'!$R$74*E360+'Reference Standards'!$R$75),2)),IF($B327="74a",IF(E360&gt;0.3,0,ROUND(IF(E360&gt;0.052,'Reference Standards'!$O$73*E360^2+'Reference Standards'!$O$74*E360+'Reference Standards'!$O$75,'Reference Standards'!$S$74*E360+'Reference Standards'!$S$75),2)))))),IF(E360&lt;=0.002,1,IF(OR($B327="66d",$B327="66e",$B327="66g"),IF(E360&gt;0.053,0,ROUND(E360^2*'Reference Standards'!$M$61+E360*'Reference Standards'!$M$62+'Reference Standards'!$M$63,2)),IF($B327="68b",IF(E360&gt;0.05,0,ROUND(E360^2*'Reference Standards'!$N$61+E360*'Reference Standards'!$N$62+'Reference Standards'!$N$63,2)),IF(OR($B327="68a",$B327="68c"),IF(E360&gt;0.07,0,ROUND(E360^2*'Reference Standards'!$O$61+E360*'Reference Standards'!$O$62+'Reference Standards'!$O$63,2)),IF(OR($B327="71f",$B327="71g"),IF(E360&gt;0.13,0,ROUND(IF(E360&gt;0.042,E360*'Reference Standards'!$P$62+'Reference Standards'!$P$63,E360*'Reference Standards'!$Q$62+'Reference Standards'!$Q$63),2)),IF($B327="67fhi",IF(E360&gt;0.16,0,ROUND(E360^2*'Reference Standards'!$R$61+E360*'Reference Standards'!$R$62+'Reference Standards'!$R$63,2)),IF($B327="65j",IF(E360&gt;0.035,0,ROUND(IF(E360&lt;=0.003,0.7,E360^2*'Reference Standards'!$M$67+E360*'Reference Standards'!$M$68+'Reference Standards'!$M$69),2)),IF($B327="69de",IF(E360&gt;0.037,0,ROUND(IF(E360&lt;=0.003,0.7,E360^2*'Reference Standards'!$N$67+E360*'Reference Standards'!$N$68+'Reference Standards'!$N$69),2)),IF($B327="71e",IF(E360&gt;0.23,0,ROUND(IF(E360&lt;=0.003,0.7,E360^2*'Reference Standards'!$O$67+E360*'Reference Standards'!$O$68+'Reference Standards'!$O$69),2)),IF($B327="66f",IF(E360&gt;0.06,0,ROUND(IF(E360&lt;=0.003,0.85,IF(E360&lt;=0.004,0.7,E360^2*'Reference Standards'!$P$67+E360*'Reference Standards'!$P$68+'Reference Standards'!$P$69)),2)),IF($B327="67g",IF(E360&gt;0.11,0,ROUND(IF(E360&lt;=0.01,E360*'Reference Standards'!$S$68+'Reference Standards'!$S$69,E360^2*'Reference Standards'!$Q$67+E360*'Reference Standards'!$Q$68+'Reference Standards'!$Q$69),2)),IF($B327="74b",IF(E360&gt;0.49,0,ROUND(IF(E360&lt;=0.01,E360*'Reference Standards'!$S$68+'Reference Standards'!$S$69,E360^2*'Reference Standards'!$R$67+E360*'Reference Standards'!$R$68+'Reference Standards'!$R$69),2)),IF($B327="65abei",IF(E360&gt;0.199,0,ROUND(IF(E360&lt;=0.01,E360*'Reference Standards'!$T$74+'Reference Standards'!$T$75,E360^2*'Reference Standards'!$P$73+E360*'Reference Standards'!$P$74+'Reference Standards'!$P$75),2)))))))))))))))),IF($D324&lt;=2.5,IF(OR($B327="66d",$B327="66e",$B327="66g"),IF(E360&gt;0.05,0,ROUND(IF(E360&lt;=0.002,1,IF(E360&lt;=0.005,E360*'Reference Standards'!$Q$80+'Reference Standards'!$Q$81,E360^2*'Reference Standards'!$M$79+E360*'Reference Standards'!$M$80+'Reference Standards'!$M$81)),2)),IF($B327="67fhi",IF(E360&gt;0.1,0,ROUND(IF(E360&lt;=0.002,1,IF(E360&lt;=0.006,E360*'Reference Standards'!$R$80+'Reference Standards'!$R$81,E360^2*'Reference Standards'!$N$79+E360*'Reference Standards'!$N$80+'Reference Standards'!$N$81)),2)),IF($B327="65abei",IF(E360&gt;0.13,0,ROUND(IF(E360&lt;=0.003,1,IF(E360&lt;=0.008,E360*'Reference Standards'!$S$80+'Reference Standards'!$S$81,E360^2*'Reference Standards'!$O$79+E360*'Reference Standards'!$O$80+'Reference Standards'!$O$81)),2)),IF($B327="68b",IF(E360&gt;0.043,0,ROUND(IF(E360&lt;=0.004,1,IF(E360&lt;=0.005,0.7,E360^2*'Reference Standards'!$P$79+E360*'Reference Standards'!$P$80+'Reference Standards'!$P$81)),2)),IF($B327="69de",IF(E360&gt;=0.034,0,ROUND(IF(E360&lt;=0.003,1,IF(E360&lt;=0.006,E360*'Reference Standards'!$R$85+'Reference Standards'!$R$86,E360*'Reference Standards'!$M$85+'Reference Standards'!$M$86)),2)),IF(OR($B327="68a",$B327="68c"),IF(E360&gt;0.202,0,ROUND(IF(E360&lt;=0.003,1,IF(E360&lt;=0.006,E360*'Reference Standards'!$R$85+'Reference Standards'!$R$86,IF(E360&gt;=0.04,E360*'Reference Standards'!$N$85+'Reference Standards'!$N$86,E360*'Reference Standards'!$P$85+'Reference Standards'!$P$86))),2)),IF(OR($B327="71f",$B327="71g"),IF(E360&gt;0.631,0,ROUND(IF(E360&lt;=0.003,1,IF(E360&lt;=0.006,E360*'Reference Standards'!$R$85+'Reference Standards'!$R$86,IF(E360&gt;=0.17,E360*'Reference Standards'!$O$85+'Reference Standards'!$O$86,E360*'Reference Standards'!$Q$85+'Reference Standards'!$Q$86))),2)),IF($B327="71e",IF(E360&gt;1.23,0,ROUND(IF(E360&lt;=0.004,1,IF(E360&lt;=0.006,E360*'Reference Standards'!$Q$91+'Reference Standards'!$Q$92,E360^2*'Reference Standards'!$M$90+E360*'Reference Standards'!$M$91+'Reference Standards'!$M$92)),2)),IF($B327="67g",IF(E360&gt;0.11,0,ROUND(IF(E360&lt;=0.006,1,IF(E360&lt;=0.011,E360*'Reference Standards'!$R$91+'Reference Standards'!$R$92,E360^2*'Reference Standards'!$N$90+E360*'Reference Standards'!$N$91+'Reference Standards'!$N$92)),2)),IF($B327="65j",IF(E360&gt;0.046,0,ROUND(IF(E360&lt;=0.007,1,IF(E360&lt;=0.012,E360*'Reference Standards'!$S$91+'Reference Standards'!$S$92,E360^2*'Reference Standards'!$O$90+E360*'Reference Standards'!$O$91+'Reference Standards'!$O$92)),2)),IF($B327="66f",IF(E360&gt;0.081,0,ROUND(IF(E360&lt;=0.008,1,IF(E360&lt;=0.011,E360*'Reference Standards'!$T$91+'Reference Standards'!$T$92,E360^2*'Reference Standards'!$P$90+E360*'Reference Standards'!$P$91+'Reference Standards'!$P$92)),2)),IF(OR($B327="71h",$B327="71i"),IF(E360&gt;0.37,0,ROUND(IF(E360&lt;=0.013,1,IF(E360&lt;=0.032,E360*'Reference Standards'!$S$98+'Reference Standards'!$S$99,IF(E360&lt;=0.3,E360*'Reference Standards'!$Q$98+'Reference Standards'!$Q$99,E360*'Reference Standards'!$M$98+'Reference Standards'!$M$99))),2)),IF($B327="73a",IF(E360&gt;0.448,0,ROUND(IF(E360&lt;=0.071,1,IF(E360&lt;=0.086,E360*'Reference Standards'!$U$98+'Reference Standards'!$U$99,IF(E360&lt;=0.165,E360*'Reference Standards'!$R$98+'Reference Standards'!$R$99,E360*'Reference Standards'!$P$98+'Reference Standards'!$P$99))),2)),IF($B327="74b",IF(E360&gt;0.43,0,ROUND(IF(E360&lt;=0.018,1,IF(E360&lt;=0.019,0.85,IF(E360&lt;=0.02,0.7,E360^2*'Reference Standards'!$N$97+E360*'Reference Standards'!$N$98+'Reference Standards'!$N$99))),2)),IF($B327="74a",IF(E360&gt;0.217,0,ROUND(IF(E360&lt;=0.02,1,IF(E360&lt;=0.033,E360*'Reference Standards'!$T$98+'Reference Standards'!$T$99,E360^2*'Reference Standards'!$O$97+E360*'Reference Standards'!$O$98+'Reference Standards'!$O$99)),2)))))))))))))))))))))))</f>
        <v>0.8</v>
      </c>
      <c r="G360" s="48">
        <f t="shared" si="7"/>
        <v>0.8</v>
      </c>
      <c r="H360" s="330"/>
      <c r="I360" s="359"/>
      <c r="J360" s="315"/>
    </row>
    <row r="361" spans="1:10" ht="15.6" x14ac:dyDescent="0.3">
      <c r="A361" s="333" t="s">
        <v>56</v>
      </c>
      <c r="B361" s="341" t="s">
        <v>287</v>
      </c>
      <c r="C361" s="33" t="s">
        <v>278</v>
      </c>
      <c r="D361" s="34"/>
      <c r="E361" s="43"/>
      <c r="F361" s="105">
        <f>IF(OR(D327="Ephemeral",AND(E362&lt;&gt;"",E363&lt;&gt;"",E364&lt;&gt;"")),"",IF(E361="",IF(G324="Yes",1,0.8),IF(OR(B327="73a",B327="73b"),IF(E361&lt;1,0,IF(E361&gt;=30,1,ROUND(IF(E361&lt;22,'Reference Standards'!$W$4*E361+'Reference Standards'!$W$5,'Reference Standards'!$X$4*E361+'Reference Standards'!$X$5),2))), IF(E361&lt;1,0, IF(E361&gt;=42,1, ROUND(IF(E361&lt;32,'Reference Standards'!$Y$4*E361+'Reference Standards'!$Y$5,'Reference Standards'!$Z$4*E361+'Reference Standards'!$Z$5),2))))))</f>
        <v>0.8</v>
      </c>
      <c r="G361" s="356">
        <f>IFERROR(ROUND(AVERAGE(F361:F364),2),"")</f>
        <v>0.8</v>
      </c>
      <c r="H361" s="336">
        <f>IFERROR(ROUND(AVERAGE(G361:G366),2),"")</f>
        <v>0.8</v>
      </c>
      <c r="I361" s="314" t="str">
        <f>IF(H361="","",IF(H361&gt;0.69,"Functioning",IF(H361&gt;0.29,"Functioning At Risk",IF(H361&gt;-1,"Not Functioning"))))</f>
        <v>Functioning</v>
      </c>
      <c r="J361" s="315"/>
    </row>
    <row r="362" spans="1:10" ht="15.6" x14ac:dyDescent="0.3">
      <c r="A362" s="334"/>
      <c r="B362" s="342"/>
      <c r="C362" s="45" t="s">
        <v>282</v>
      </c>
      <c r="D362" s="46"/>
      <c r="E362" s="42"/>
      <c r="F362" s="106" t="str">
        <f>IF(D327="Ephemeral","",IF(E362="","",IF(AND($B327="74b",$D324&lt;=2),IF(E362&lt;0,0,IF(E362&gt;15.6,0.69,ROUND('Reference Standards'!$W$9*E362^2+'Reference Standards'!$W$10*E362+'Reference Standards'!$W$11,2))),IF(AND($B327="65abei",$D324&lt;=2),IF(E362&lt;0,0,IF(E362&gt;=20,0.69,ROUND('Reference Standards'!$X$9*E362^2+'Reference Standards'!$X$10*E362+'Reference Standards'!$X$11,2))),IF(OR(AND($B327="74a",$D$2&gt;2,$G325="January - June"),AND($B327="71i",$D324&gt;2,$G326="SQBANK")),IF(E362&lt;0,0,IF(E362&gt;24.7,0.69,ROUND('Reference Standards'!$Y$9*E362^2+'Reference Standards'!$Y$10*E362+'Reference Standards'!$Y$11,2))),IF(OR($B327="74b",$B327="65abei"),IF(E362&lt;0,0,IF(E362&gt;32.7,0.69,ROUND('Reference Standards'!$Z$9*E362^2+'Reference Standards'!$Z$10*E362+'Reference Standards'!$Z$11,2))),IF(AND($B327="68b",$D324&gt;2),IF(E362&lt;0,0,IF(E362&gt;41.2,0.69,ROUND('Reference Standards'!$AA$9*E362^2+'Reference Standards'!$AA$10*E362+'Reference Standards'!$AA$11,2))),IF(OR(AND($B327="71i",$D324&lt;=2),AND(OR($B327="68c",$B327="68d"),$G325="January - June")),IF(E362&lt;0,0,IF(E362&gt;49.2,0.69,ROUND('Reference Standards'!$W$15*E362^2+'Reference Standards'!$W$16*E362+'Reference Standards'!$W$17,2))),IF(OR(AND($B327="68a",$G325="January - June"),AND(OR($B327="68c",$B327="68d"),$G325="July - December")),IF(E362&lt;0,0,IF(E362&gt;53.4,0.69,ROUND('Reference Standards'!$X$15*E362^2+'Reference Standards'!$X$16*E362+'Reference Standards'!$X$17,2))),IF(OR(AND($B327="71i",$D324&gt;2,$G326="SQKICK"),AND(OR($B327="67fhi",$B327="67g"),$D324&lt;=2),$B327="65j"),IF(E362&lt;0,0,IF(E362&gt;57.8,0.69,ROUND('Reference Standards'!$Y$15*E362^2+'Reference Standards'!$Y$16*E362+'Reference Standards'!$Y$17,2))),IF(OR(AND($B327="74a",$D324&gt;2,$G325="July - December"),AND(OR($B327="67fhi",$B327="67g"),$D324&gt;2),$B327="69de"),IF(E362&lt;0,0,IF(E362&gt;62.5,0.69,ROUND('Reference Standards'!$Z$15*E362^2+'Reference Standards'!$Z$16*E362+'Reference Standards'!$Z$17,2))),  IF(OR($B327="66d",$B327="66e",$B327="66ik",$B327="71e",$B327="71f",$B327="71g",$B327="71h"),IF(E362&lt;0,0,IF(E362&gt;66.5,0.69,ROUND('Reference Standards'!$AA$15*E362^2+'Reference Standards'!$AA$16*E362+'Reference Standards'!$AA$17,2))),IF(OR($B327="66f",$B327="66g",$B327="66j",AND($B327="68a",$G325="July - December")), IF(E362&lt;0,0,IF(E362&gt;69,0.69,ROUND('Reference Standards'!$AB$15*E362^2+'Reference Standards'!$AB$16*E362+'Reference Standards'!$AB$17,2))))   ))))))))))))</f>
        <v/>
      </c>
      <c r="G362" s="356"/>
      <c r="H362" s="336"/>
      <c r="I362" s="314"/>
      <c r="J362" s="315"/>
    </row>
    <row r="363" spans="1:10" ht="15.6" x14ac:dyDescent="0.3">
      <c r="A363" s="334"/>
      <c r="B363" s="342"/>
      <c r="C363" s="45" t="s">
        <v>286</v>
      </c>
      <c r="D363" s="46"/>
      <c r="E363" s="42"/>
      <c r="F363" s="106" t="str">
        <f>IF(D327="Ephemeral","",IF(E363="","",IF(AND($B327="74b",$D324&lt;=2),IF(E363&lt;0,0,IF(E363&gt;8.1,0.69,ROUND('Reference Standards'!$W$21*E363^2+'Reference Standards'!$W$22*E363+'Reference Standards'!$W$23,2))),IF(OR($B327="73a",$B327="73b"),IF(E363&lt;0,0,IF(E363&gt;=28,0.69,ROUND('Reference Standards'!$X$21*E363^2+'Reference Standards'!$X$22*E363+'Reference Standards'!$X$23,2))),IF(AND($B327="74a",$D324&gt;2,$G325="January - June"),IF(E363&lt;0,0,IF(E363&gt;=32.5,0.69,ROUND('Reference Standards'!$Y$21*E363^2+'Reference Standards'!$Y$22*E363+'Reference Standards'!$Y$23,2))),IF(AND($B327="71i",$D324&gt;2,$G326="SQBANK"),IF(E363&lt;0,0,IF(E363&gt;=37,0.69,ROUND('Reference Standards'!$Z$21*E363^2+'Reference Standards'!$Z$22*E363+'Reference Standards'!$Z$23,2))),IF(OR(AND(OR($B327="65abei",$B327="74b"),$D324&gt;2),AND($B327="71i",$D324&gt;2,$G326="SQKICK")),IF(E363&lt;0,0,IF(E363&gt;42.6,0.69,ROUND('Reference Standards'!$AA$21*E363^2+'Reference Standards'!$AA$22*E363+'Reference Standards'!$AA$23,2))),     IF(OR(AND($B327="65abei",$D324&lt;=2),AND(OR($B327="68c",$B327="68d"),$G325="July - December"),$B327="71e"),IF(E363&lt;0,0,IF(E363&gt;=48,0.69,ROUND('Reference Standards'!$W$27*E363^2+'Reference Standards'!$W$28*E363+'Reference Standards'!$W$29,2))),IF(OR($B327="65j",$B327="67fhi",$B327="67g",AND($B327="74a",$G325="July - December",$D324&gt;2),AND($B327="71i",$D324&lt;=2)),IF(E363&lt;0,0,IF(E363&gt;=53,0.69,ROUND('Reference Standards'!$X$27*E363^2+'Reference Standards'!$X$28*E363+'Reference Standards'!$X$29,2))),IF(OR(AND(OR($B327="68b",$B327="71f",$B327="71g",$B327="71h"),$D324&gt;2),$B327="68a"),IF(E363&lt;0,0,IF(E363&gt;=57,0.69,ROUND('Reference Standards'!$Y$27*E363^2+'Reference Standards'!$Y$28*E363+'Reference Standards'!$Y$29,2))),IF(OR($B327="66f",$B327="66g",$B327="66j",AND(OR($B327="71f",$B327="71g",$B327="71h"),$D324&lt;=2)),IF(E363&lt;0,0,IF(E363&gt;=60,0.69,ROUND('Reference Standards'!$Z$27*E363^2+'Reference Standards'!$Z$28*E363+'Reference Standards'!$Z$29,2))),  IF(OR($B327="66d",$B327="66e",$B327="66ik", AND(OR($B327="68c",$B327="68d"),$G325="January - June"),AND($B327="69de",$G325="July - December")),IF(E363&lt;0,0,IF(E363&gt;=67.5,0.69,ROUND('Reference Standards'!$AA$27*E363^2+'Reference Standards'!$AA$28*E363+'Reference Standards'!$AA$29,2))),IF(AND($B327="69de",$G325="January - June"), IF(E363&lt;0,0,IF(E363&gt;=72,0.69,ROUND('Reference Standards'!$AB$27*E363^2+'Reference Standards'!$AB$28*E363+'Reference Standards'!$AB$29,2))))   ))))))))))))</f>
        <v/>
      </c>
      <c r="G363" s="356"/>
      <c r="H363" s="336"/>
      <c r="I363" s="314"/>
      <c r="J363" s="315"/>
    </row>
    <row r="364" spans="1:10" ht="15.6" x14ac:dyDescent="0.3">
      <c r="A364" s="334"/>
      <c r="B364" s="343"/>
      <c r="C364" s="35" t="s">
        <v>283</v>
      </c>
      <c r="D364" s="25"/>
      <c r="E364" s="44"/>
      <c r="F364" s="106" t="str">
        <f>IF(D327="Ephemeral","",IF(E364="","",IF(OR($B327="67fhi",$B327="67g",$B327="71e",$B327="73a",$B327="73b",AND(OR($B327="71f",$B327="71g",$B327="71h"),$D324&gt;2)),IF(E364&gt;100,0,IF(E364&lt;15,0.69,ROUND('Reference Standards'!$W$33*E364^2+'Reference Standards'!$W$34*E364+'Reference Standards'!$W$35,2))),  IF(OR($B327="66d",$B327="66e",$B327="66ik",$B327="66f",$B327="66g",$B327="66j",$B327="68a",$B327="68c",$B327="68d",AND($B327="69de",$G325="July - December"), AND($B327="71i",$D324&lt;=2), AND($B327="71i",$D324&gt;2,$G326="SQBANK" ), AND($B327="74a",$D324&gt;2,$G325="July - December") ),IF(E364&gt;100,0,IF(E364&lt;19,0.69,ROUND('Reference Standards'!$X$33*E364^2+'Reference Standards'!$X$34*E364+'Reference Standards'!$X$35,2))),    IF(OR(AND($B327="69de",$G325="January - June"),AND($B327="71i",$D324&gt;2,$G326="SQKICK" )),IF(E364&gt;100,0,IF(E364&lt;22,0.69,ROUND('Reference Standards'!$Y$33*E364^2+'Reference Standards'!$Y$34*E364+'Reference Standards'!$Y$35,2))),    IF(OR($B327="65j",AND($B327="68b",$D324&gt;2)),IF(E364&gt;100,0,IF(E364&lt;24,0.69,ROUND('Reference Standards'!$Z$33*E364^2+'Reference Standards'!$Z$34*E364+'Reference Standards'!$Z$35,2))),    IF(AND(OR($B327="65abei",$B327="71f",$B327="71g",$B327="71h"),$D324&lt;=2),IF(E364&gt;95,0,IF(E364&lt;33,0.69,ROUND('Reference Standards'!$W$39*E364^2+'Reference Standards'!$W$40*E364+'Reference Standards'!$W$41,2))),   IF(AND(OR($B327="65abei",$B327="74b"),$D324&gt;2),IF(E364&gt;97,0,IF(E364&lt;36,0.69,ROUND('Reference Standards'!$X$39*E364^2+'Reference Standards'!$X$40*E364+'Reference Standards'!$X$41,2))),  IF(AND($B327="74a",$G325="January - June",$D324&gt;2),IF(E364&gt;93,0,IF(E364&lt;52,0.69,ROUND('Reference Standards'!$Y$39*E364^2+'Reference Standards'!$Y$40*E364+'Reference Standards'!$Y$41,2))),   IF(AND($B327="74b",$D324&lt;=2),IF(E364&gt;97,0,IF(E364&lt;62,0.69,ROUND('Reference Standards'!$Z$39*E364^2+'Reference Standards'!$Z$40*E364+'Reference Standards'!$Z$41,2)))  ))))))))))</f>
        <v/>
      </c>
      <c r="G364" s="356"/>
      <c r="H364" s="336"/>
      <c r="I364" s="314"/>
      <c r="J364" s="315"/>
    </row>
    <row r="365" spans="1:10" ht="15.6" x14ac:dyDescent="0.3">
      <c r="A365" s="334"/>
      <c r="B365" s="337" t="s">
        <v>65</v>
      </c>
      <c r="C365" s="33" t="s">
        <v>174</v>
      </c>
      <c r="D365" s="34"/>
      <c r="E365" s="36"/>
      <c r="F365" s="105" t="str">
        <f>IF(D327="Ephemeral","",IF(E365="","",IF(E365=1,0.15,IF(E365=3,0.5,IF(E365=5,0.85,0)))))</f>
        <v/>
      </c>
      <c r="G365" s="338" t="str">
        <f>IFERROR(ROUND(AVERAGE(F365:F366),2),"")</f>
        <v/>
      </c>
      <c r="H365" s="336"/>
      <c r="I365" s="314"/>
      <c r="J365" s="315"/>
    </row>
    <row r="366" spans="1:10" ht="15.6" x14ac:dyDescent="0.3">
      <c r="A366" s="335"/>
      <c r="B366" s="337"/>
      <c r="C366" s="35" t="s">
        <v>279</v>
      </c>
      <c r="D366" s="25"/>
      <c r="E366" s="41"/>
      <c r="F366" s="107" t="str">
        <f>IF(D327="Ephemeral","",IF(E366="","",IF(E366=1,0.15,IF(E366=3,0.5,IF(E366=5,0.85,0)))))</f>
        <v/>
      </c>
      <c r="G366" s="339"/>
      <c r="H366" s="336"/>
      <c r="I366" s="314"/>
      <c r="J366" s="315"/>
    </row>
    <row r="367" spans="1:10" ht="4.95" customHeight="1" x14ac:dyDescent="0.3"/>
    <row r="368" spans="1:10" ht="4.95" customHeight="1" x14ac:dyDescent="0.3"/>
    <row r="369" spans="1:10" ht="21" customHeight="1" x14ac:dyDescent="0.3">
      <c r="A369" s="296" t="s">
        <v>295</v>
      </c>
      <c r="B369" s="297"/>
      <c r="C369" s="297"/>
      <c r="D369" s="297"/>
      <c r="E369" s="297"/>
      <c r="F369" s="297"/>
      <c r="G369" s="297"/>
      <c r="H369" s="297"/>
      <c r="I369" s="297"/>
      <c r="J369" s="298"/>
    </row>
    <row r="370" spans="1:10" ht="18" customHeight="1" x14ac:dyDescent="0.3">
      <c r="A370" s="6" t="s">
        <v>85</v>
      </c>
      <c r="B370" s="7"/>
      <c r="C370" s="6" t="s">
        <v>15</v>
      </c>
      <c r="D370" s="7"/>
      <c r="E370" s="165" t="s">
        <v>387</v>
      </c>
      <c r="F370" s="168"/>
      <c r="G370" s="166"/>
      <c r="H370" s="299" t="s">
        <v>367</v>
      </c>
      <c r="I370" s="300"/>
      <c r="J370" s="7"/>
    </row>
    <row r="371" spans="1:10" ht="18" customHeight="1" x14ac:dyDescent="0.3">
      <c r="A371" s="6" t="s">
        <v>86</v>
      </c>
      <c r="B371" s="39"/>
      <c r="C371" s="6" t="s">
        <v>371</v>
      </c>
      <c r="D371" s="39"/>
      <c r="E371" s="6" t="s">
        <v>94</v>
      </c>
      <c r="F371" s="6"/>
      <c r="G371" s="39"/>
      <c r="H371" s="299" t="s">
        <v>368</v>
      </c>
      <c r="I371" s="300"/>
      <c r="J371" s="7"/>
    </row>
    <row r="372" spans="1:10" ht="18" customHeight="1" x14ac:dyDescent="0.3">
      <c r="A372" s="6" t="s">
        <v>365</v>
      </c>
      <c r="B372" s="39"/>
      <c r="C372" s="6" t="s">
        <v>372</v>
      </c>
      <c r="D372" s="7"/>
      <c r="E372" s="331" t="s">
        <v>150</v>
      </c>
      <c r="F372" s="331"/>
      <c r="G372" s="39"/>
      <c r="H372" s="299" t="s">
        <v>369</v>
      </c>
      <c r="I372" s="300"/>
      <c r="J372" s="7"/>
    </row>
    <row r="373" spans="1:10" ht="18" customHeight="1" x14ac:dyDescent="0.3">
      <c r="A373" s="6" t="s">
        <v>290</v>
      </c>
      <c r="B373" s="39"/>
      <c r="C373" s="6" t="s">
        <v>351</v>
      </c>
      <c r="D373" s="39"/>
      <c r="E373" s="332" t="s">
        <v>260</v>
      </c>
      <c r="F373" s="332"/>
      <c r="G373" s="39"/>
      <c r="H373" s="299" t="s">
        <v>370</v>
      </c>
      <c r="I373" s="300"/>
      <c r="J373" s="7"/>
    </row>
    <row r="374" spans="1:10" ht="4.95" customHeight="1" x14ac:dyDescent="0.3">
      <c r="H374" s="3"/>
      <c r="I374" s="110"/>
      <c r="J374" s="3"/>
    </row>
    <row r="375" spans="1:10" ht="21" x14ac:dyDescent="0.4">
      <c r="A375" s="301" t="s">
        <v>54</v>
      </c>
      <c r="B375" s="302"/>
      <c r="C375" s="302"/>
      <c r="D375" s="302"/>
      <c r="E375" s="302"/>
      <c r="F375" s="303"/>
      <c r="G375" s="304" t="s">
        <v>16</v>
      </c>
      <c r="H375" s="304"/>
      <c r="I375" s="304"/>
      <c r="J375" s="304"/>
    </row>
    <row r="376" spans="1:10" ht="15.6" x14ac:dyDescent="0.3">
      <c r="A376" s="8" t="s">
        <v>1</v>
      </c>
      <c r="B376" s="8" t="s">
        <v>2</v>
      </c>
      <c r="C376" s="305" t="s">
        <v>3</v>
      </c>
      <c r="D376" s="306"/>
      <c r="E376" s="8" t="s">
        <v>13</v>
      </c>
      <c r="F376" s="37" t="s">
        <v>14</v>
      </c>
      <c r="G376" s="8" t="s">
        <v>17</v>
      </c>
      <c r="H376" s="8" t="s">
        <v>18</v>
      </c>
      <c r="I376" s="111" t="s">
        <v>18</v>
      </c>
      <c r="J376" s="8" t="s">
        <v>296</v>
      </c>
    </row>
    <row r="377" spans="1:10" ht="15.75" customHeight="1" x14ac:dyDescent="0.3">
      <c r="A377" s="310" t="s">
        <v>57</v>
      </c>
      <c r="B377" s="94" t="s">
        <v>71</v>
      </c>
      <c r="C377" s="9" t="s">
        <v>313</v>
      </c>
      <c r="D377" s="9"/>
      <c r="E377" s="40"/>
      <c r="F377" s="138">
        <f>IF(E377="", IF(G370="Yes",1,0.8),IF(E377&lt;=0,0,IF(E377&gt;=0.95,1,ROUND('Reference Standards'!B$3*E377+'Reference Standards'!B$4,2))))</f>
        <v>0.8</v>
      </c>
      <c r="G377" s="135">
        <f>IFERROR(ROUND(AVERAGE(F377),2),"")</f>
        <v>0.8</v>
      </c>
      <c r="H377" s="312">
        <f>IFERROR(ROUND(AVERAGE(G377:G378),2),"")</f>
        <v>0.8</v>
      </c>
      <c r="I377" s="314" t="str">
        <f>IF(H377="","",IF(H377&gt;0.69,"Functioning",IF(H377&gt;0.29,"Functioning At Risk",IF(H377&gt;-1,"Not Functioning"))))</f>
        <v>Functioning</v>
      </c>
      <c r="J377" s="315">
        <f>IF(AND(H377="",H379="",H381="",H403="",H407=""),"",ROUND((IF(H377="",0,H377)*0.2),2)+ROUND((IF(H379="",0,H379)*0.2),2)+ROUND((IF(H381="",0,H381)*0.2),2)+ROUND((IF(H403="",0,H403)*0.2),2)+ROUND((IF(H407="",0,H407)*0.2),2))</f>
        <v>0.8</v>
      </c>
    </row>
    <row r="378" spans="1:10" ht="15.6" x14ac:dyDescent="0.3">
      <c r="A378" s="311"/>
      <c r="B378" s="139" t="s">
        <v>97</v>
      </c>
      <c r="C378" s="136" t="s">
        <v>125</v>
      </c>
      <c r="D378" s="137"/>
      <c r="E378" s="7"/>
      <c r="F378" s="138">
        <f>IF(E378="", IF(G370="Yes",1,0.8),IF(E378&gt;=1,1,IF(E378&lt;=0,0,ROUND(E378,2))))</f>
        <v>0.8</v>
      </c>
      <c r="G378" s="135">
        <f>IFERROR(ROUND(AVERAGE(F378),2),"")</f>
        <v>0.8</v>
      </c>
      <c r="H378" s="313"/>
      <c r="I378" s="314"/>
      <c r="J378" s="315"/>
    </row>
    <row r="379" spans="1:10" ht="15.6" x14ac:dyDescent="0.3">
      <c r="A379" s="322" t="s">
        <v>4</v>
      </c>
      <c r="B379" s="324" t="s">
        <v>5</v>
      </c>
      <c r="C379" s="11" t="s">
        <v>6</v>
      </c>
      <c r="D379" s="11"/>
      <c r="E379" s="40"/>
      <c r="F379" s="98">
        <f>IF(D373="Ephemeral","",IF(E379="",IF(G370="Yes",1,0.8),ROUND(IF(E379&gt;1.6,0,IF(E379&lt;=1,1,E379^2*'Reference Standards'!E$3+E379*'Reference Standards'!E$4+'Reference Standards'!E$5)),2)))</f>
        <v>0.8</v>
      </c>
      <c r="G379" s="353">
        <f>IFERROR(ROUND(AVERAGE(F379:F380),2),"")</f>
        <v>0.8</v>
      </c>
      <c r="H379" s="354">
        <f>IFERROR(ROUND(AVERAGE(G379),2),"")</f>
        <v>0.8</v>
      </c>
      <c r="I379" s="346" t="str">
        <f>IF(H379="","",IF(H379&gt;0.69,"Functioning",IF(H379&gt;0.29,"Functioning At Risk",IF(H379&gt;-1,"Not Functioning"))))</f>
        <v>Functioning</v>
      </c>
      <c r="J379" s="315"/>
    </row>
    <row r="380" spans="1:10" ht="15.6" x14ac:dyDescent="0.3">
      <c r="A380" s="323"/>
      <c r="B380" s="324"/>
      <c r="C380" s="11" t="s">
        <v>7</v>
      </c>
      <c r="D380" s="11"/>
      <c r="E380" s="40"/>
      <c r="F380" s="98">
        <f>IF(D373="Ephemeral","",IF(E380="",IF(G370="Yes",1,0.8),(IF(OR(B372="A",B372="B",$B372="Bc"),IF(E380&lt;1.2,0,IF(E380&gt;=2.2,1,ROUND(IF(E380&lt;1.4,E380*'Reference Standards'!$E$14+'Reference Standards'!$E$15,E380*'Reference Standards'!$F$14+'Reference Standards'!$F$15),2))),IF(OR(B372="C",B372="E"),IF(E380&lt;2,0,IF(E380&gt;=5,1,ROUND(IF(E380&lt;2.4,E380*'Reference Standards'!$F$9+'Reference Standards'!$F$10,E380*'Reference Standards'!$E$9+'Reference Standards'!$E$10),2))))))))</f>
        <v>0.8</v>
      </c>
      <c r="G380" s="353"/>
      <c r="H380" s="355"/>
      <c r="I380" s="347"/>
      <c r="J380" s="315"/>
    </row>
    <row r="381" spans="1:10" ht="15.6" x14ac:dyDescent="0.3">
      <c r="A381" s="321" t="s">
        <v>23</v>
      </c>
      <c r="B381" s="348" t="s">
        <v>24</v>
      </c>
      <c r="C381" s="15" t="s">
        <v>280</v>
      </c>
      <c r="D381" s="71"/>
      <c r="E381" s="16"/>
      <c r="F381" s="99" t="str">
        <f>IF(E381="","",IF(OR(LEFT($B373,2)="65",LEFT($B373,2)="66",LEFT($B373,2)="74",LEFT($B373,2)="73"),IF(E381&gt;=850,1,IF(E381&lt;250,ROUND('Reference Standards'!$H$5*(E381)+'Reference Standards'!$H$6,2),ROUND('Reference Standards'!$I$5*E381+'Reference Standards'!$I$6,2))),  IF(E381&gt;=345,1,IF(E381&lt;=180,ROUND('Reference Standards'!J$5*(E381)+'Reference Standards'!J$6,2),ROUND('Reference Standards'!K$5*E381+'Reference Standards'!K$6,2))))    )</f>
        <v/>
      </c>
      <c r="G381" s="318">
        <f>IFERROR(ROUND(AVERAGE(F381:F382),2),"")</f>
        <v>0.8</v>
      </c>
      <c r="H381" s="350">
        <f>IFERROR(ROUND(AVERAGE(G381:G402),2),"")</f>
        <v>0.8</v>
      </c>
      <c r="I381" s="352" t="str">
        <f>IF(H381="","",IF(H381&gt;0.69,"Functioning",IF(H381&gt;0.29,"Functioning At Risk",IF(H381&gt;-1,"Not Functioning"))))</f>
        <v>Functioning</v>
      </c>
      <c r="J381" s="315"/>
    </row>
    <row r="382" spans="1:10" ht="15.6" x14ac:dyDescent="0.3">
      <c r="A382" s="316"/>
      <c r="B382" s="349"/>
      <c r="C382" s="18" t="s">
        <v>267</v>
      </c>
      <c r="D382" s="72"/>
      <c r="E382" s="10"/>
      <c r="F382" s="100">
        <f>IF(ISNUMBER(E381),"",IF(E382="",IF(G370="Yes",1,0.8),IF(OR(LEFT($B373,2)="65",LEFT($B373,2)="66",LEFT($B373,2)="74",LEFT($B373,2)="73"),IF(E382&gt;=30,1,IF(E382&lt;13,ROUND('Reference Standards'!$H$11*(E382)+'Reference Standards'!$H$12,2),ROUND('Reference Standards'!$I$11*E382+'Reference Standards'!$I$12,2))),  IF(E382&gt;=16,1,IF(E382&lt;=9,ROUND('Reference Standards'!J$11*(E382)+'Reference Standards'!J$12,2),ROUND('Reference Standards'!K$11*E382+'Reference Standards'!K$12,2))))    ))</f>
        <v>0.8</v>
      </c>
      <c r="G382" s="320"/>
      <c r="H382" s="350"/>
      <c r="I382" s="352"/>
      <c r="J382" s="315"/>
    </row>
    <row r="383" spans="1:10" ht="15.6" x14ac:dyDescent="0.3">
      <c r="A383" s="316"/>
      <c r="B383" s="316" t="s">
        <v>350</v>
      </c>
      <c r="C383" s="13" t="s">
        <v>66</v>
      </c>
      <c r="D383" s="13"/>
      <c r="E383" s="42"/>
      <c r="F383" s="99" t="str">
        <f>IF(E383="","",ROUND(IF(E383&gt;0.7,0,IF(E383&lt;=0.1,1,E383^3*'Reference Standards'!H$15+E383^2*'Reference Standards'!H$16+E383*'Reference Standards'!H$17+'Reference Standards'!H$18)),2))</f>
        <v/>
      </c>
      <c r="G383" s="318">
        <f>IFERROR(ROUND(AVERAGE(F383:F386),2),"")</f>
        <v>0.8</v>
      </c>
      <c r="H383" s="351"/>
      <c r="I383" s="352"/>
      <c r="J383" s="315"/>
    </row>
    <row r="384" spans="1:10" ht="15.6" x14ac:dyDescent="0.3">
      <c r="A384" s="316"/>
      <c r="B384" s="316"/>
      <c r="C384" s="13" t="s">
        <v>47</v>
      </c>
      <c r="D384" s="13"/>
      <c r="E384" s="42"/>
      <c r="F384" s="28">
        <f>IF(ISNUMBER(E383),"", IF(AND(E383="",E384=""),IF(G370="Yes",1,0.8),IF(OR(E384="Ex/Ex",E384="Ex/VH"),0, IF(OR(E384="Ex/H",E384="VH/Ex",E384="VH/VH", E384="H/Ex",E384="H/VH",E384="M/Ex"),0.1,IF(OR(E384="Ex/M",E384="VH/H",E384="H/H", E384="M/VH"),0.2, IF(OR(E384="Ex/L",E384="VH/M",E384="H/M", E384="M/H",E384="L/Ex"),0.3, IF(OR(E384="Ex/VL",E384="VH/L",E384="H/L"),0.4, IF(OR(E384="VH/VL",E384="H/VL",E384="M/M", E384="L/VH"),0.5, IF(OR(E384="M/L",E384="L/H"),0.6, IF(OR(E384="M/VL",E384="L/M"),0.7, IF(OR(E384="L/L",E384="L/VL"),1)))))))))))</f>
        <v>0.8</v>
      </c>
      <c r="G384" s="319"/>
      <c r="H384" s="351"/>
      <c r="I384" s="352"/>
      <c r="J384" s="315"/>
    </row>
    <row r="385" spans="1:10" ht="15.6" x14ac:dyDescent="0.3">
      <c r="A385" s="316"/>
      <c r="B385" s="316"/>
      <c r="C385" s="14" t="s">
        <v>72</v>
      </c>
      <c r="D385" s="13"/>
      <c r="E385" s="42"/>
      <c r="F385" s="28">
        <f>IF(E385="",IF(G370="Yes",1,0.8),ROUND(IF(E385&gt;40,0,IF(E385&lt;5,1,E385^3*'Reference Standards'!H$21+E385^2*'Reference Standards'!H$22+E385*'Reference Standards'!H$23+'Reference Standards'!H$24)),2))</f>
        <v>0.8</v>
      </c>
      <c r="G385" s="319"/>
      <c r="H385" s="351"/>
      <c r="I385" s="352"/>
      <c r="J385" s="315"/>
    </row>
    <row r="386" spans="1:10" ht="15.6" x14ac:dyDescent="0.3">
      <c r="A386" s="316"/>
      <c r="B386" s="317"/>
      <c r="C386" s="14" t="s">
        <v>349</v>
      </c>
      <c r="D386" s="14"/>
      <c r="E386" s="44"/>
      <c r="F386" s="100">
        <f>IF(E386="",IF(G370="Yes",1,0.8),ROUND(IF(E386&gt;=30,0,IF(E386&lt;=0,1,E386*'Reference Standards'!H$27+'Reference Standards'!H$28)),2))</f>
        <v>0.8</v>
      </c>
      <c r="G386" s="320"/>
      <c r="H386" s="351"/>
      <c r="I386" s="352"/>
      <c r="J386" s="315"/>
    </row>
    <row r="387" spans="1:10" ht="15.6" x14ac:dyDescent="0.3">
      <c r="A387" s="316"/>
      <c r="B387" s="316" t="s">
        <v>48</v>
      </c>
      <c r="C387" s="15" t="s">
        <v>314</v>
      </c>
      <c r="D387" s="19"/>
      <c r="E387" s="36"/>
      <c r="F387" s="92">
        <f>IF(E387="",IF(G370="Yes",1,0.8),ROUND(IF(E387&gt;9.2,1,E387*'Reference Standards'!H$31+'Reference Standards'!H$32),2))</f>
        <v>0.8</v>
      </c>
      <c r="G387" s="307">
        <f>IFERROR(ROUND(AVERAGE(F387:F396),2),"")</f>
        <v>0.8</v>
      </c>
      <c r="H387" s="351"/>
      <c r="I387" s="352"/>
      <c r="J387" s="315"/>
    </row>
    <row r="388" spans="1:10" ht="15.6" x14ac:dyDescent="0.3">
      <c r="A388" s="316"/>
      <c r="B388" s="316"/>
      <c r="C388" s="17" t="s">
        <v>315</v>
      </c>
      <c r="D388" s="13"/>
      <c r="E388" s="40"/>
      <c r="F388" s="92">
        <f>IF(E388="",IF(G370="Yes",1,0.8),ROUND(IF(E388&gt;9.2,1,E388*'Reference Standards'!H$31+'Reference Standards'!H$32),2))</f>
        <v>0.8</v>
      </c>
      <c r="G388" s="308"/>
      <c r="H388" s="351"/>
      <c r="I388" s="352"/>
      <c r="J388" s="315"/>
    </row>
    <row r="389" spans="1:10" ht="15.6" x14ac:dyDescent="0.3">
      <c r="A389" s="316"/>
      <c r="B389" s="316"/>
      <c r="C389" s="17" t="s">
        <v>316</v>
      </c>
      <c r="D389" s="13"/>
      <c r="E389" s="40"/>
      <c r="F389" s="92">
        <f>IF(E389="",IF(G370="Yes",1,0.8),ROUND( IF(E389&gt;=200,1,IF(E389&lt;50, E389^2*'Reference Standards'!H$36+E389*'Reference Standards'!H$37+'Reference Standards'!H$38, E389*'Reference Standards'!I$37+'Reference Standards'!I$38)),2))</f>
        <v>0.8</v>
      </c>
      <c r="G389" s="308"/>
      <c r="H389" s="351"/>
      <c r="I389" s="352"/>
      <c r="J389" s="315"/>
    </row>
    <row r="390" spans="1:10" ht="15.6" x14ac:dyDescent="0.3">
      <c r="A390" s="316"/>
      <c r="B390" s="316"/>
      <c r="C390" s="17" t="s">
        <v>317</v>
      </c>
      <c r="D390" s="13"/>
      <c r="E390" s="40"/>
      <c r="F390" s="92">
        <f>IF(E390="",IF(G370="Yes",1,0.8),ROUND( IF(E390&gt;=200,1,IF(E390&lt;50, E390^2*'Reference Standards'!H$36+E390*'Reference Standards'!H$37+'Reference Standards'!H$38, E390*'Reference Standards'!I$37+'Reference Standards'!I$38)),2))</f>
        <v>0.8</v>
      </c>
      <c r="G390" s="308"/>
      <c r="H390" s="351"/>
      <c r="I390" s="352"/>
      <c r="J390" s="315"/>
    </row>
    <row r="391" spans="1:10" ht="15.6" x14ac:dyDescent="0.3">
      <c r="A391" s="316"/>
      <c r="B391" s="316"/>
      <c r="C391" s="13" t="s">
        <v>318</v>
      </c>
      <c r="D391" s="13"/>
      <c r="E391" s="40"/>
      <c r="F391" s="92">
        <f>IF(E391="",IF(G370="Yes",1,0.8),ROUND(IF(AND(E391&gt;=135,E391&lt;=262),1,IF(E391&gt;=366,0.5,IF(E391&lt;135,E391*'Reference Standards'!H$42+'Reference Standards'!H$43,E391*'Reference Standards'!I$42+'Reference Standards'!I$43))),2))</f>
        <v>0.8</v>
      </c>
      <c r="G391" s="308"/>
      <c r="H391" s="351"/>
      <c r="I391" s="352"/>
      <c r="J391" s="315"/>
    </row>
    <row r="392" spans="1:10" ht="15.6" x14ac:dyDescent="0.3">
      <c r="A392" s="316"/>
      <c r="B392" s="316"/>
      <c r="C392" s="13" t="s">
        <v>319</v>
      </c>
      <c r="D392" s="13"/>
      <c r="E392" s="40"/>
      <c r="F392" s="92">
        <f>IF(E392="",IF(G370="Yes",1,0.8),ROUND(IF(AND(E392&gt;=135,E392&lt;=262),1,IF(E392&gt;=366,0.5,IF(E392&lt;135,E392*'Reference Standards'!H$42+'Reference Standards'!H$43,E392*'Reference Standards'!I$42+'Reference Standards'!I$43))),2))</f>
        <v>0.8</v>
      </c>
      <c r="G392" s="308"/>
      <c r="H392" s="351"/>
      <c r="I392" s="352"/>
      <c r="J392" s="315"/>
    </row>
    <row r="393" spans="1:10" ht="15.6" x14ac:dyDescent="0.3">
      <c r="A393" s="316"/>
      <c r="B393" s="316"/>
      <c r="C393" s="13" t="s">
        <v>320</v>
      </c>
      <c r="D393" s="13"/>
      <c r="E393" s="40"/>
      <c r="F393" s="28">
        <f>IF(E393="",IF(G370="Yes",1,0.8),ROUND(IF(E393&gt;=75,1,IF(E393&lt;=0,0,E393*'Reference Standards'!H$46)),2))</f>
        <v>0.8</v>
      </c>
      <c r="G393" s="308"/>
      <c r="H393" s="351"/>
      <c r="I393" s="352"/>
      <c r="J393" s="315"/>
    </row>
    <row r="394" spans="1:10" ht="15.6" x14ac:dyDescent="0.3">
      <c r="A394" s="316"/>
      <c r="B394" s="316"/>
      <c r="C394" s="13" t="s">
        <v>321</v>
      </c>
      <c r="D394" s="13"/>
      <c r="E394" s="40"/>
      <c r="F394" s="28">
        <f>IF(E394="",IF(G370="Yes",1,0.8),ROUND(IF(E394&gt;=75,1,IF(E394&lt;=0,0,E394*'Reference Standards'!H$46)),2))</f>
        <v>0.8</v>
      </c>
      <c r="G394" s="308"/>
      <c r="H394" s="351"/>
      <c r="I394" s="352"/>
      <c r="J394" s="315"/>
    </row>
    <row r="395" spans="1:10" ht="15.6" x14ac:dyDescent="0.3">
      <c r="A395" s="316"/>
      <c r="B395" s="316"/>
      <c r="C395" s="13" t="s">
        <v>322</v>
      </c>
      <c r="D395" s="13"/>
      <c r="E395" s="40"/>
      <c r="F395" s="92">
        <f>IF(E395="",IF(G370="Yes",1,0.8),ROUND(IF(AND(E395&gt;=36.3,E395&lt;=68),1,IF(E395&gt;100,0,IF(E395&lt;36.3,(('Reference Standards'!H$51*(E395^2))+('Reference Standards'!H$52*E395)+'Reference Standards'!H$53),IF(E395&gt;68,(('Reference Standards'!I$51*(E395^2))+('Reference Standards'!I$52*E395)+'Reference Standards'!I$53))))),2))</f>
        <v>0.8</v>
      </c>
      <c r="G395" s="308"/>
      <c r="H395" s="351"/>
      <c r="I395" s="352"/>
      <c r="J395" s="315"/>
    </row>
    <row r="396" spans="1:10" ht="15.6" x14ac:dyDescent="0.3">
      <c r="A396" s="316"/>
      <c r="B396" s="317"/>
      <c r="C396" s="13" t="s">
        <v>323</v>
      </c>
      <c r="D396" s="20"/>
      <c r="E396" s="40"/>
      <c r="F396" s="92">
        <f>IF(E396="",IF(G370="Yes",1,0.8),ROUND(IF(AND(E396&gt;=36.3,E396&lt;=68),1,IF(E396&gt;100,0,IF(E396&lt;36.3,(('Reference Standards'!H$51*(E396^2))+('Reference Standards'!H$52*E396)+'Reference Standards'!H$53),IF(E396&gt;68,(('Reference Standards'!I$51*(E396^2))+('Reference Standards'!I$52*E396)+'Reference Standards'!I$53))))),2))</f>
        <v>0.8</v>
      </c>
      <c r="G396" s="309"/>
      <c r="H396" s="351"/>
      <c r="I396" s="352"/>
      <c r="J396" s="315"/>
    </row>
    <row r="397" spans="1:10" ht="15.6" x14ac:dyDescent="0.3">
      <c r="A397" s="316"/>
      <c r="B397" s="12" t="s">
        <v>87</v>
      </c>
      <c r="C397" s="26" t="s">
        <v>102</v>
      </c>
      <c r="D397" s="13"/>
      <c r="E397" s="7"/>
      <c r="F397" s="27" t="str">
        <f>IF(D373="Ephemeral","",IF(E397="","",IF(OR(D371="Cobble",D371="Gravel"),IF(E397&gt;0.1,1,IF(E397&lt;=0.01,0,ROUND(E397*'Reference Standards'!$H$56+'Reference Standards'!$H$57,2))))))</f>
        <v/>
      </c>
      <c r="G397" s="27" t="str">
        <f>IFERROR(ROUND(AVERAGE(F397),2),"")</f>
        <v/>
      </c>
      <c r="H397" s="351"/>
      <c r="I397" s="352"/>
      <c r="J397" s="315"/>
    </row>
    <row r="398" spans="1:10" ht="15.6" x14ac:dyDescent="0.3">
      <c r="A398" s="316"/>
      <c r="B398" s="321" t="s">
        <v>49</v>
      </c>
      <c r="C398" s="19" t="s">
        <v>50</v>
      </c>
      <c r="D398" s="19"/>
      <c r="E398" s="43"/>
      <c r="F398" s="102">
        <f>IF(D373="Ephemeral","",IF(AND(D371="Bedrock",E398=""),"",IF(E398="",IF(G370="Yes",1,0.8), IF(ISNUMBER($D372), IF($D372&lt;=2,IF(AND(E398&gt;=3,E398&lt;=5),1,IF(OR(E398&lt;=1,E398&gt;=7),0,ROUND(IF(E398&lt;3,E398*'Reference Standards'!H$61+'Reference Standards'!H$62,E398*'Reference Standards'!I$61+'Reference Standards'!I$62),2))),IF(E398&lt;=2.5,1,IF(E398&gt;=5.8,0,ROUND(E398*'Reference Standards'!H$65+'Reference Standards'!H$66,2))))))))</f>
        <v>0.8</v>
      </c>
      <c r="G398" s="307">
        <f>IFERROR(ROUND(AVERAGE(F398:F401),2),"")</f>
        <v>0.8</v>
      </c>
      <c r="H398" s="351"/>
      <c r="I398" s="352"/>
      <c r="J398" s="315"/>
    </row>
    <row r="399" spans="1:10" ht="15.6" x14ac:dyDescent="0.3">
      <c r="A399" s="316"/>
      <c r="B399" s="316"/>
      <c r="C399" s="13" t="s">
        <v>51</v>
      </c>
      <c r="D399" s="13"/>
      <c r="E399" s="42"/>
      <c r="F399" s="28">
        <f>IF(D373="Ephemeral","",IF(AND(D371="Bedrock",E399=""),"",IF(E399="",IF(G370="Yes",1,0.8),IF(E399&gt;=2.4,1,IF(E399&lt;=1,0,ROUND(IF(E399&lt;2.4,E399*'Reference Standards'!$H$70+'Reference Standards'!$H$71),2))))))</f>
        <v>0.8</v>
      </c>
      <c r="G399" s="308"/>
      <c r="H399" s="351"/>
      <c r="I399" s="352"/>
      <c r="J399" s="315"/>
    </row>
    <row r="400" spans="1:10" ht="15.6" x14ac:dyDescent="0.3">
      <c r="A400" s="316"/>
      <c r="B400" s="316"/>
      <c r="C400" s="13" t="s">
        <v>281</v>
      </c>
      <c r="D400" s="13"/>
      <c r="E400" s="42"/>
      <c r="F400" s="133">
        <f>IF(D373="Ephemeral","",IF(AND(D371="Bedrock",E398=""),"",IF(E400="",IF(G370="Yes",1,0.8),IF(LEFT($B373,2)="67",IF(AND(E400&gt;=45,E400&lt;=65),1,IF(OR(E400&lt;=20,E400&gt;=90),0,ROUND(IF(E400&lt;45,E400*'Reference Standards'!H$75+'Reference Standards'!H$76,E400*'Reference Standards'!I$75+'Reference Standards'!I$76),2))),IF(OR(LEFT($B373,2)="68",LEFT($B373,2)="69",LEFT($B373,2)="71"),IF(AND(E400&gt;=30,E400&lt;=50),1,IF(OR(E400&lt;=10,E400&gt;=70),0,ROUND(IF(E400&lt;30,E400*'Reference Standards'!H$80+'Reference Standards'!H$81,E400*'Reference Standards'!I$80+'Reference Standards'!I$81),2))),IF(LEFT($B373,2)="66",IF(AND(E400&gt;=20,E400&lt;=45),1,IF(OR(E400&lt;=0,E400&gt;=90),0,ROUND(IF(E400&lt;20,E400*'Reference Standards'!H$85+'Reference Standards'!H$86,E400*'Reference Standards'!I$85+'Reference Standards'!I$86),2))),IF(OR(LEFT($B373,2)="65",LEFT($B373,2)="74",LEFT($B373,2)="73"),IF(AND(E400&gt;=20,E400&lt;=30),1,IF(OR(E400&lt;=0,E400&gt;=50),0,ROUND(IF(E400&lt;20,E400*'Reference Standards'!H$90+'Reference Standards'!H$91,E400*'Reference Standards'!I$90+'Reference Standards'!I$91),2))))))))))</f>
        <v>0.8</v>
      </c>
      <c r="G400" s="308"/>
      <c r="H400" s="351"/>
      <c r="I400" s="352"/>
      <c r="J400" s="315"/>
    </row>
    <row r="401" spans="1:10" ht="15.6" x14ac:dyDescent="0.3">
      <c r="A401" s="316"/>
      <c r="B401" s="317"/>
      <c r="C401" s="17" t="s">
        <v>173</v>
      </c>
      <c r="D401" s="13"/>
      <c r="E401" s="44"/>
      <c r="F401" s="134" t="str">
        <f>IF(D373="Ephemeral","",IF(E401="","",IF(E401&gt;=1.6,0,IF(E401&lt;=1,1,ROUND('Reference Standards'!$H$94*E401^3+'Reference Standards'!$H$95*E401^2+'Reference Standards'!$H$96*E401+'Reference Standards'!$H$97,2)))))</f>
        <v/>
      </c>
      <c r="G401" s="309"/>
      <c r="H401" s="351"/>
      <c r="I401" s="352"/>
      <c r="J401" s="315"/>
    </row>
    <row r="402" spans="1:10" ht="15.6" x14ac:dyDescent="0.3">
      <c r="A402" s="317"/>
      <c r="B402" s="50" t="s">
        <v>53</v>
      </c>
      <c r="C402" s="69" t="s">
        <v>52</v>
      </c>
      <c r="D402" s="70"/>
      <c r="E402" s="68"/>
      <c r="F402" s="101">
        <f>IF(D373="Ephemeral","",IF(E402="",IF(G370="Yes",1,0.8),IF(AND(B372="E",$D371="Sand",G373="Unconfined Alluvial"),ROUND(IF(OR(E402&gt;1.8,E402&lt;1.3),0,IF(E402&lt;=1.6,1,E402*'Reference Standards'!H$100+'Reference Standards'!H$101)),2),    IF(G373="Unconfined Alluvial",ROUND(IF(OR(E402&lt;1.2, E402&gt;1.5),0,IF(E402&lt;=1.4,1,E402*'Reference Standards'!$H$104+'Reference Standards'!$H$105)),2), IF(G373="Confined Alluvial",ROUND(IF(E402&lt;1.15,0,IF(E402&lt;=1.4,E402*'Reference Standards'!$H$108+'Reference Standards'!$H$109,1)),2),  IF(G373="Colluvial",ROUND(IF(E402&gt;1.3,0,IF(E402&gt;1.2,E402*'Reference Standards'!$H$112+'Reference Standards'!$H$113,1)),2) ))))))</f>
        <v>0.8</v>
      </c>
      <c r="G402" s="28">
        <f>IFERROR(ROUND(AVERAGE(F402),2),"")</f>
        <v>0.8</v>
      </c>
      <c r="H402" s="351"/>
      <c r="I402" s="352"/>
      <c r="J402" s="315"/>
    </row>
    <row r="403" spans="1:10" ht="15.6" x14ac:dyDescent="0.3">
      <c r="A403" s="325" t="s">
        <v>55</v>
      </c>
      <c r="B403" s="22" t="s">
        <v>73</v>
      </c>
      <c r="C403" s="24" t="s">
        <v>285</v>
      </c>
      <c r="D403" s="24"/>
      <c r="E403" s="7"/>
      <c r="F403" s="103">
        <f>IF(D373="Ephemeral","",IF(E403="",IF(G370="Yes",1,0.8),ROUND(IF(E403&gt;=942,0,IF(E403&lt;=487,E403*'Reference Standards'!M$4+'Reference Standards'!M$5,E403*'Reference Standards'!$N$4+'Reference Standards'!$N$5)),2)))</f>
        <v>0.8</v>
      </c>
      <c r="G403" s="29">
        <f>IFERROR(ROUND(AVERAGE(F403),2),"")</f>
        <v>0.8</v>
      </c>
      <c r="H403" s="328">
        <f>IFERROR(ROUND(AVERAGE(G403:G406),2),"")</f>
        <v>0.8</v>
      </c>
      <c r="I403" s="357" t="str">
        <f>IF(H403="","",IF(H403&gt;0.69,"Functioning",IF(H403&gt;0.29,"Functioning At Risk",IF(H403&gt;-1,"Not Functioning"))))</f>
        <v>Functioning</v>
      </c>
      <c r="J403" s="315"/>
    </row>
    <row r="404" spans="1:10" ht="15.6" x14ac:dyDescent="0.3">
      <c r="A404" s="326"/>
      <c r="B404" s="79" t="s">
        <v>289</v>
      </c>
      <c r="C404" s="21" t="s">
        <v>288</v>
      </c>
      <c r="D404" s="21"/>
      <c r="E404" s="41"/>
      <c r="F404" s="104" t="str">
        <f>IF(D373="Ephemeral","",IF(E404="","",IF(OR($B373="65abei",$B373="65j",$B373="66d",$B373="66e",$B373="66ik",$B373="66f",$B373="66g",$B373="66j",$B373="68a",$B373="69de",$B373="74b",AND(OR($B373="67fhi",$B373="67g"),$D370&lt;=2),AND(OR($B373="68c",$B373="68d"),$G371="January - June")),IF(E404&gt;93,0,IF(E404&lt;13,1,ROUND('Reference Standards'!$M$9*E404^2+'Reference Standards'!$M$10*E404+'Reference Standards'!$M$11,2))),IF(OR(AND(OR($B373="67fhi",$B373="67g",$B373="71f",$B373="71g",$B373="71h"),$D370&gt;2),AND(OR($B373="68c",$B373="68d"),$G371="July - December"),$B373="73a",$B373="73b"),IF(E404&gt;94,0,IF(E404&lt;17,1,ROUND('Reference Standards'!$N$9*E404^2+'Reference Standards'!$N$10*E404+'Reference Standards'!$N$11,2))),IF(OR(AND(OR($B373="68b",$B373="71i"),$D370&gt;2),$B373="71e"),IF(E404&gt;91,0,IF(E404&lt;24,1,ROUND('Reference Standards'!$O$9*E404^2+'Reference Standards'!$O$10*E404+'Reference Standards'!$O$11,2))),IF(OR(AND(OR($B373="71f",$B373="71g",$B373="71h",$B373="71i"),$D370&lt;=2),AND($B373="74a",$D370&gt;2)),IF(E404&gt;95,0,IF(E404&lt;=36,1,ROUND('Reference Standards'!$P$9*E404^2+'Reference Standards'!$P$10*E404+'Reference Standards'!$P$11,2)))))))))</f>
        <v/>
      </c>
      <c r="G404" s="48" t="str">
        <f>IFERROR(ROUND(AVERAGE(F404),2),"")</f>
        <v/>
      </c>
      <c r="H404" s="329"/>
      <c r="I404" s="358"/>
      <c r="J404" s="315"/>
    </row>
    <row r="405" spans="1:10" ht="15.6" x14ac:dyDescent="0.3">
      <c r="A405" s="326"/>
      <c r="B405" s="22" t="s">
        <v>67</v>
      </c>
      <c r="C405" s="23" t="s">
        <v>240</v>
      </c>
      <c r="D405" s="23"/>
      <c r="E405" s="40"/>
      <c r="F405" s="104">
        <f>IF(ISNUMBER(E404),"",IF(D373="Ephemeral","",IF(E405="",IF(G370="Yes",1,0.8), IF(ISNUMBER($D370), IF(OR($B373="66e",$B373="66f",$B373="66g"),ROUND(IF(E405&gt;=0.61,0,IF(E405&lt;=0.01,1,IF(E405&lt;=0.06,E405*'Reference Standards'!$O$34+'Reference Standards'!$O$35,E405^2*'Reference Standards'!$M$33+E405*'Reference Standards'!$M$34+'Reference Standards'!$M$35))),2),IF($B373="68b",ROUND(IF(E405&gt;=1.1,0,IF(E405&lt;=0.17,1,IF(E405&lt;=0.22,E405*'Reference Standards'!$P$34+'Reference Standards'!$P$35,E405^2*'Reference Standards'!$N$33+E405*'Reference Standards'!$N$34+'Reference Standards'!$N$35))),2),IF($D370&lt;=2.5,IF($B373="69de",ROUND(IF(E405&gt;=0.22,0,IF(E405&lt;=0.01,1,E405^2*'Reference Standards'!$M$15+E405*'Reference Standards'!$M$16+'Reference Standards'!$M$17)),2),IF($B373="68c",ROUND(IF(E405&gt;=0.87,0,IF(E405&lt;=0.01,1,E405^2*'Reference Standards'!$N$15+E405*'Reference Standards'!$N$16+'Reference Standards'!$N$17)),2),IF($B373="68a",ROUND(IF(E405&gt;=0.81,0,IF(E405&lt;=0.01,1,E405^2*'Reference Standards'!$O$15+E405*'Reference Standards'!$O$16+'Reference Standards'!$O$17)),2),IF($B373="65abei",ROUND(IF(E405&gt;=0.67,0,IF(E405&lt;=0.01,1,IF(E405&lt;=0.18,E405*'Reference Standards'!$R$16+'Reference Standards'!$R$17,E405*'Reference Standards'!$P$16+'Reference Standards'!$P$17))),2),IF($B373="65j",ROUND(IF(E405&gt;=0.32,0,IF(E405&lt;=0.01,1,IF(E405&lt;=0.25,E405*'Reference Standards'!$S$16+'Reference Standards'!$S$17,E405*'Reference Standards'!$Q$16+'Reference Standards'!$Q$17))),2),IF($B373="71f",ROUND(IF(E405&gt;=3,0,IF(E405&lt;=0,1,IF(E405&lt;=0.01,0.7,E405^2*'Reference Standards'!$M$21+E405*'Reference Standards'!$M$22+'Reference Standards'!$M$23))),2),IF($B373="74a",ROUND(IF(E405&gt;=0.14,0,IF(E405&lt;=0.01,1,IF(E405&lt;=0.02,0.7,E405^2*'Reference Standards'!$N$21+E405*'Reference Standards'!$N$22+'Reference Standards'!$N$23))),2),IF(OR($B373="67fhi",$B373="67g"),ROUND(IF(E405&gt;=1.9,0,IF(E405&lt;=0.01,1,IF(E405&lt;=0.05,E405*'Reference Standards'!$Q$22+'Reference Standards'!$Q$23,E405^2*'Reference Standards'!$O$21+E405*'Reference Standards'!$O$22+'Reference Standards'!$O$23))),2),IF($B373="73a",ROUND(IF(E405&gt;=1.44,0,IF(E405&lt;=0.01,1,IF(E405&lt;=0.12,E405*'Reference Standards'!$R$22+'Reference Standards'!$R$23,E405^2*'Reference Standards'!$P$21+E405*'Reference Standards'!$P$22+'Reference Standards'!$P$23))),2),IF($B373="66d",ROUND(IF(E405&gt;=0.46,0,IF(E405&lt;=0.02,1,IF(E405&lt;=0.08,E405*'Reference Standards'!$Q$28+'Reference Standards'!$Q$29,E405^2*'Reference Standards'!$M$27+E405*'Reference Standards'!$M$28+'Reference Standards'!$M$29))),2),IF(OR($B373="71g",$B373="71h",$B373="71i"),ROUND(IF(E405&gt;=3,0,IF(E405&lt;=0.06,1,IF(E405&lt;=0.24,E405*'Reference Standards'!$R$28+'Reference Standards'!$R$29,E405^2*'Reference Standards'!$N$27+E405*'Reference Standards'!$N$28+'Reference Standards'!$N$29))),2),IF($B373="74b",ROUND(IF(E405&gt;=1.3,0,IF(E405&lt;=0.29,1,IF(E405&lt;=0.48,E405*'Reference Standards'!$S$28+'Reference Standards'!$S$29,E405^2*'Reference Standards'!$O$27+E405*'Reference Standards'!$O$28+'Reference Standards'!$O$29))),2),IF($B373="71e",ROUND(IF(E405&gt;=4.3,0,IF(E405&lt;=0.53,1,IF(E405&lt;=0.67,E405*'Reference Standards'!$T$28+'Reference Standards'!$T$29,E405^2*'Reference Standards'!$P$27+E405*'Reference Standards'!$P$28+'Reference Standards'!$P$29))),2)))))))))))))),IF($D370&gt;2.5,IF($B373="73a",ROUND(IF(E405&gt;=0.55,0,IF(E405&lt;=0,1,E405^2*'Reference Standards'!$M$39+E405*'Reference Standards'!$M$40+'Reference Standards'!$M$41)),2),IF($B373="68a",ROUND(IF(E405&gt;=0.54,0,IF(E405&lt;=0,1,IF(E405&lt;=0.01,0.85,E405^2*'Reference Standards'!$N$39+E405*'Reference Standards'!$N$40+'Reference Standards'!$N$41))),2),IF($B373="74a",ROUND(IF(E405&gt;=0.47,0,IF(E405&lt;=0.01,1,IF(E405&lt;=0.02,0.7,E405^2*'Reference Standards'!$O$39+E405*'Reference Standards'!$O$40+'Reference Standards'!$O$41))),2),IF($B373="69de",ROUND(IF(E405&gt;=0.26,0,IF(E405&lt;=0.01,1,IF(E405&lt;=0.02,0.85,E405^2*'Reference Standards'!$P$39+E405*'Reference Standards'!$P$40+'Reference Standards'!$P$41))),2),IF($B373="71f",ROUND(IF(E405&gt;=0.87,0,IF(E405&lt;=0.01,1,IF(E405&lt;=0.04,E405*'Reference Standards'!$Q$46+'Reference Standards'!$Q$47,E405^2*'Reference Standards'!$M$45+E405*'Reference Standards'!$M$46+'Reference Standards'!$M$47))),2),IF($B373="65abei",ROUND(IF(E405&gt;=0.82,0,IF(E405&lt;=0.01,1,IF(E405&lt;=0.06,E405*'Reference Standards'!$R$46+'Reference Standards'!$R$47,E405^2*'Reference Standards'!$N$45+E405*'Reference Standards'!$N$46+'Reference Standards'!$N$47))),2),IF($B373="65j",ROUND(IF(E405&gt;=0.33,0,IF(E405&lt;=0.03,1,IF(E405&lt;=0.09,E405*'Reference Standards'!$S$46+'Reference Standards'!$S$47,E405^2*'Reference Standards'!$O$45+E405*'Reference Standards'!$O$46+'Reference Standards'!$O$47))),2),IF($B373="68c",ROUND(IF(E405&gt;=0.7,0,IF(E405&lt;=0.07,1,IF(E405&lt;=0.12,E405*'Reference Standards'!$T$46+'Reference Standards'!$T$47,E405^2*'Reference Standards'!$P$45+E405*'Reference Standards'!$P$46+'Reference Standards'!$P$47))),2),IF(OR($B373="67fhi",$B373="67g"),ROUND(IF(E405&gt;=1.8,0,IF(E405&lt;=0.08,1,IF(E405&lt;=0.2,E405*'Reference Standards'!$Q$52+'Reference Standards'!$Q$53,E405^2*'Reference Standards'!$M$51+E405*'Reference Standards'!$M$52+'Reference Standards'!$M$53))),2),IF($B373="74b",ROUND(IF(E405&gt;=0.96,0,IF(E405&lt;=0.12,1,IF(E405&lt;=0.16,E405*'Reference Standards'!$R$52+'Reference Standards'!$R$53,E405^2*'Reference Standards'!$N$51+E405*'Reference Standards'!$N$52+'Reference Standards'!$N$53))),2),IF($B373="66d",ROUND(IF(E405&gt;=0.75,0,IF(E405&lt;=0.13,1,IF(E405&lt;=0.2,E405*'Reference Standards'!$S$52+'Reference Standards'!$S$53,E405^2*'Reference Standards'!$O$51+E405*'Reference Standards'!$O$52+'Reference Standards'!$O$53))),2),IF(OR($B373="71g",$B373="71h",$B373="71i"),ROUND(IF(E405&gt;=1.68,0,IF(E405&lt;=0.08,1,IF(E405&lt;=0.23,E405*'Reference Standards'!$T$52+'Reference Standards'!$T$53,E405^2*'Reference Standards'!$P$51+E405*'Reference Standards'!$P$52+'Reference Standards'!$P$53))),2),IF($B373="71e",ROUND(IF(E405&gt;=5.3,0,IF(E405&lt;=0.94,1,IF(E405&lt;=1.4,E405*'Reference Standards'!$Q$56+'Reference Standards'!$Q$57,E405^2*'Reference Standards'!$M$55+E405*'Reference Standards'!$M$56+'Reference Standards'!$M$57))),2))))))))))))))))))))))</f>
        <v>0.8</v>
      </c>
      <c r="G405" s="48">
        <f t="shared" ref="G405:G406" si="8">IFERROR(ROUND(AVERAGE(F405),2),"")</f>
        <v>0.8</v>
      </c>
      <c r="H405" s="329"/>
      <c r="I405" s="358"/>
      <c r="J405" s="315"/>
    </row>
    <row r="406" spans="1:10" ht="15.6" x14ac:dyDescent="0.3">
      <c r="A406" s="327"/>
      <c r="B406" s="78" t="s">
        <v>68</v>
      </c>
      <c r="C406" s="21" t="s">
        <v>239</v>
      </c>
      <c r="D406" s="21"/>
      <c r="E406" s="36"/>
      <c r="F406" s="103">
        <f>IF(ISNUMBER(E404),"", IF(D373="Ephemeral","",IF(E406="",IF(G370="Yes",1,0.8), IF(ISNUMBER($D370), IF($D370&gt;2.5,IF(OR($B373="71h",$B373="71i",$B373="73a",$B373="74a"),IF(E406&lt;=0.01,1,IF(OR($B373="71h",$B373="71i"),IF(E406&gt;0.37,0,ROUND(IF(E406&gt;0.03,'Reference Standards'!$M$73*E406^2+'Reference Standards'!$M$74*E406+'Reference Standards'!$M$75,'Reference Standards'!$Q$74*E406+'Reference Standards'!$Q$75),2)),IF($B373="73a",IF(E406&gt;0.405,0,ROUND(IF(E406&gt;0.046,'Reference Standards'!$N$73*E406^2+'Reference Standards'!$N$74*E406+'Reference Standards'!$N$75,'Reference Standards'!$R$74*E406+'Reference Standards'!$R$75),2)),IF($B373="74a",IF(E406&gt;0.3,0,ROUND(IF(E406&gt;0.052,'Reference Standards'!$O$73*E406^2+'Reference Standards'!$O$74*E406+'Reference Standards'!$O$75,'Reference Standards'!$S$74*E406+'Reference Standards'!$S$75),2)))))),IF(E406&lt;=0.002,1,IF(OR($B373="66d",$B373="66e",$B373="66g"),IF(E406&gt;0.053,0,ROUND(E406^2*'Reference Standards'!$M$61+E406*'Reference Standards'!$M$62+'Reference Standards'!$M$63,2)),IF($B373="68b",IF(E406&gt;0.05,0,ROUND(E406^2*'Reference Standards'!$N$61+E406*'Reference Standards'!$N$62+'Reference Standards'!$N$63,2)),IF(OR($B373="68a",$B373="68c"),IF(E406&gt;0.07,0,ROUND(E406^2*'Reference Standards'!$O$61+E406*'Reference Standards'!$O$62+'Reference Standards'!$O$63,2)),IF(OR($B373="71f",$B373="71g"),IF(E406&gt;0.13,0,ROUND(IF(E406&gt;0.042,E406*'Reference Standards'!$P$62+'Reference Standards'!$P$63,E406*'Reference Standards'!$Q$62+'Reference Standards'!$Q$63),2)),IF($B373="67fhi",IF(E406&gt;0.16,0,ROUND(E406^2*'Reference Standards'!$R$61+E406*'Reference Standards'!$R$62+'Reference Standards'!$R$63,2)),IF($B373="65j",IF(E406&gt;0.035,0,ROUND(IF(E406&lt;=0.003,0.7,E406^2*'Reference Standards'!$M$67+E406*'Reference Standards'!$M$68+'Reference Standards'!$M$69),2)),IF($B373="69de",IF(E406&gt;0.037,0,ROUND(IF(E406&lt;=0.003,0.7,E406^2*'Reference Standards'!$N$67+E406*'Reference Standards'!$N$68+'Reference Standards'!$N$69),2)),IF($B373="71e",IF(E406&gt;0.23,0,ROUND(IF(E406&lt;=0.003,0.7,E406^2*'Reference Standards'!$O$67+E406*'Reference Standards'!$O$68+'Reference Standards'!$O$69),2)),IF($B373="66f",IF(E406&gt;0.06,0,ROUND(IF(E406&lt;=0.003,0.85,IF(E406&lt;=0.004,0.7,E406^2*'Reference Standards'!$P$67+E406*'Reference Standards'!$P$68+'Reference Standards'!$P$69)),2)),IF($B373="67g",IF(E406&gt;0.11,0,ROUND(IF(E406&lt;=0.01,E406*'Reference Standards'!$S$68+'Reference Standards'!$S$69,E406^2*'Reference Standards'!$Q$67+E406*'Reference Standards'!$Q$68+'Reference Standards'!$Q$69),2)),IF($B373="74b",IF(E406&gt;0.49,0,ROUND(IF(E406&lt;=0.01,E406*'Reference Standards'!$S$68+'Reference Standards'!$S$69,E406^2*'Reference Standards'!$R$67+E406*'Reference Standards'!$R$68+'Reference Standards'!$R$69),2)),IF($B373="65abei",IF(E406&gt;0.199,0,ROUND(IF(E406&lt;=0.01,E406*'Reference Standards'!$T$74+'Reference Standards'!$T$75,E406^2*'Reference Standards'!$P$73+E406*'Reference Standards'!$P$74+'Reference Standards'!$P$75),2)))))))))))))))),IF($D370&lt;=2.5,IF(OR($B373="66d",$B373="66e",$B373="66g"),IF(E406&gt;0.05,0,ROUND(IF(E406&lt;=0.002,1,IF(E406&lt;=0.005,E406*'Reference Standards'!$Q$80+'Reference Standards'!$Q$81,E406^2*'Reference Standards'!$M$79+E406*'Reference Standards'!$M$80+'Reference Standards'!$M$81)),2)),IF($B373="67fhi",IF(E406&gt;0.1,0,ROUND(IF(E406&lt;=0.002,1,IF(E406&lt;=0.006,E406*'Reference Standards'!$R$80+'Reference Standards'!$R$81,E406^2*'Reference Standards'!$N$79+E406*'Reference Standards'!$N$80+'Reference Standards'!$N$81)),2)),IF($B373="65abei",IF(E406&gt;0.13,0,ROUND(IF(E406&lt;=0.003,1,IF(E406&lt;=0.008,E406*'Reference Standards'!$S$80+'Reference Standards'!$S$81,E406^2*'Reference Standards'!$O$79+E406*'Reference Standards'!$O$80+'Reference Standards'!$O$81)),2)),IF($B373="68b",IF(E406&gt;0.043,0,ROUND(IF(E406&lt;=0.004,1,IF(E406&lt;=0.005,0.7,E406^2*'Reference Standards'!$P$79+E406*'Reference Standards'!$P$80+'Reference Standards'!$P$81)),2)),IF($B373="69de",IF(E406&gt;=0.034,0,ROUND(IF(E406&lt;=0.003,1,IF(E406&lt;=0.006,E406*'Reference Standards'!$R$85+'Reference Standards'!$R$86,E406*'Reference Standards'!$M$85+'Reference Standards'!$M$86)),2)),IF(OR($B373="68a",$B373="68c"),IF(E406&gt;0.202,0,ROUND(IF(E406&lt;=0.003,1,IF(E406&lt;=0.006,E406*'Reference Standards'!$R$85+'Reference Standards'!$R$86,IF(E406&gt;=0.04,E406*'Reference Standards'!$N$85+'Reference Standards'!$N$86,E406*'Reference Standards'!$P$85+'Reference Standards'!$P$86))),2)),IF(OR($B373="71f",$B373="71g"),IF(E406&gt;0.631,0,ROUND(IF(E406&lt;=0.003,1,IF(E406&lt;=0.006,E406*'Reference Standards'!$R$85+'Reference Standards'!$R$86,IF(E406&gt;=0.17,E406*'Reference Standards'!$O$85+'Reference Standards'!$O$86,E406*'Reference Standards'!$Q$85+'Reference Standards'!$Q$86))),2)),IF($B373="71e",IF(E406&gt;1.23,0,ROUND(IF(E406&lt;=0.004,1,IF(E406&lt;=0.006,E406*'Reference Standards'!$Q$91+'Reference Standards'!$Q$92,E406^2*'Reference Standards'!$M$90+E406*'Reference Standards'!$M$91+'Reference Standards'!$M$92)),2)),IF($B373="67g",IF(E406&gt;0.11,0,ROUND(IF(E406&lt;=0.006,1,IF(E406&lt;=0.011,E406*'Reference Standards'!$R$91+'Reference Standards'!$R$92,E406^2*'Reference Standards'!$N$90+E406*'Reference Standards'!$N$91+'Reference Standards'!$N$92)),2)),IF($B373="65j",IF(E406&gt;0.046,0,ROUND(IF(E406&lt;=0.007,1,IF(E406&lt;=0.012,E406*'Reference Standards'!$S$91+'Reference Standards'!$S$92,E406^2*'Reference Standards'!$O$90+E406*'Reference Standards'!$O$91+'Reference Standards'!$O$92)),2)),IF($B373="66f",IF(E406&gt;0.081,0,ROUND(IF(E406&lt;=0.008,1,IF(E406&lt;=0.011,E406*'Reference Standards'!$T$91+'Reference Standards'!$T$92,E406^2*'Reference Standards'!$P$90+E406*'Reference Standards'!$P$91+'Reference Standards'!$P$92)),2)),IF(OR($B373="71h",$B373="71i"),IF(E406&gt;0.37,0,ROUND(IF(E406&lt;=0.013,1,IF(E406&lt;=0.032,E406*'Reference Standards'!$S$98+'Reference Standards'!$S$99,IF(E406&lt;=0.3,E406*'Reference Standards'!$Q$98+'Reference Standards'!$Q$99,E406*'Reference Standards'!$M$98+'Reference Standards'!$M$99))),2)),IF($B373="73a",IF(E406&gt;0.448,0,ROUND(IF(E406&lt;=0.071,1,IF(E406&lt;=0.086,E406*'Reference Standards'!$U$98+'Reference Standards'!$U$99,IF(E406&lt;=0.165,E406*'Reference Standards'!$R$98+'Reference Standards'!$R$99,E406*'Reference Standards'!$P$98+'Reference Standards'!$P$99))),2)),IF($B373="74b",IF(E406&gt;0.43,0,ROUND(IF(E406&lt;=0.018,1,IF(E406&lt;=0.019,0.85,IF(E406&lt;=0.02,0.7,E406^2*'Reference Standards'!$N$97+E406*'Reference Standards'!$N$98+'Reference Standards'!$N$99))),2)),IF($B373="74a",IF(E406&gt;0.217,0,ROUND(IF(E406&lt;=0.02,1,IF(E406&lt;=0.033,E406*'Reference Standards'!$T$98+'Reference Standards'!$T$99,E406^2*'Reference Standards'!$O$97+E406*'Reference Standards'!$O$98+'Reference Standards'!$O$99)),2)))))))))))))))))))))))</f>
        <v>0.8</v>
      </c>
      <c r="G406" s="48">
        <f t="shared" si="8"/>
        <v>0.8</v>
      </c>
      <c r="H406" s="330"/>
      <c r="I406" s="359"/>
      <c r="J406" s="315"/>
    </row>
    <row r="407" spans="1:10" ht="15.6" x14ac:dyDescent="0.3">
      <c r="A407" s="333" t="s">
        <v>56</v>
      </c>
      <c r="B407" s="341" t="s">
        <v>287</v>
      </c>
      <c r="C407" s="33" t="s">
        <v>278</v>
      </c>
      <c r="D407" s="34"/>
      <c r="E407" s="43"/>
      <c r="F407" s="105">
        <f>IF(OR(D373="Ephemeral",AND(E408&lt;&gt;"",E409&lt;&gt;"",E410&lt;&gt;"")),"",IF(E407="",IF(G370="Yes",1,0.8),IF(OR(B373="73a",B373="73b"),IF(E407&lt;1,0,IF(E407&gt;=30,1,ROUND(IF(E407&lt;22,'Reference Standards'!$W$4*E407+'Reference Standards'!$W$5,'Reference Standards'!$X$4*E407+'Reference Standards'!$X$5),2))), IF(E407&lt;1,0, IF(E407&gt;=42,1, ROUND(IF(E407&lt;32,'Reference Standards'!$Y$4*E407+'Reference Standards'!$Y$5,'Reference Standards'!$Z$4*E407+'Reference Standards'!$Z$5),2))))))</f>
        <v>0.8</v>
      </c>
      <c r="G407" s="356">
        <f>IFERROR(ROUND(AVERAGE(F407:F410),2),"")</f>
        <v>0.8</v>
      </c>
      <c r="H407" s="336">
        <f>IFERROR(ROUND(AVERAGE(G407:G412),2),"")</f>
        <v>0.8</v>
      </c>
      <c r="I407" s="314" t="str">
        <f>IF(H407="","",IF(H407&gt;0.69,"Functioning",IF(H407&gt;0.29,"Functioning At Risk",IF(H407&gt;-1,"Not Functioning"))))</f>
        <v>Functioning</v>
      </c>
      <c r="J407" s="315"/>
    </row>
    <row r="408" spans="1:10" ht="15.6" x14ac:dyDescent="0.3">
      <c r="A408" s="334"/>
      <c r="B408" s="342"/>
      <c r="C408" s="45" t="s">
        <v>282</v>
      </c>
      <c r="D408" s="46"/>
      <c r="E408" s="42"/>
      <c r="F408" s="106" t="str">
        <f>IF(D373="Ephemeral","",IF(E408="","",IF(AND($B373="74b",$D370&lt;=2),IF(E408&lt;0,0,IF(E408&gt;15.6,0.69,ROUND('Reference Standards'!$W$9*E408^2+'Reference Standards'!$W$10*E408+'Reference Standards'!$W$11,2))),IF(AND($B373="65abei",$D370&lt;=2),IF(E408&lt;0,0,IF(E408&gt;=20,0.69,ROUND('Reference Standards'!$X$9*E408^2+'Reference Standards'!$X$10*E408+'Reference Standards'!$X$11,2))),IF(OR(AND($B373="74a",$D$2&gt;2,$G371="January - June"),AND($B373="71i",$D370&gt;2,$G372="SQBANK")),IF(E408&lt;0,0,IF(E408&gt;24.7,0.69,ROUND('Reference Standards'!$Y$9*E408^2+'Reference Standards'!$Y$10*E408+'Reference Standards'!$Y$11,2))),IF(OR($B373="74b",$B373="65abei"),IF(E408&lt;0,0,IF(E408&gt;32.7,0.69,ROUND('Reference Standards'!$Z$9*E408^2+'Reference Standards'!$Z$10*E408+'Reference Standards'!$Z$11,2))),IF(AND($B373="68b",$D370&gt;2),IF(E408&lt;0,0,IF(E408&gt;41.2,0.69,ROUND('Reference Standards'!$AA$9*E408^2+'Reference Standards'!$AA$10*E408+'Reference Standards'!$AA$11,2))),IF(OR(AND($B373="71i",$D370&lt;=2),AND(OR($B373="68c",$B373="68d"),$G371="January - June")),IF(E408&lt;0,0,IF(E408&gt;49.2,0.69,ROUND('Reference Standards'!$W$15*E408^2+'Reference Standards'!$W$16*E408+'Reference Standards'!$W$17,2))),IF(OR(AND($B373="68a",$G371="January - June"),AND(OR($B373="68c",$B373="68d"),$G371="July - December")),IF(E408&lt;0,0,IF(E408&gt;53.4,0.69,ROUND('Reference Standards'!$X$15*E408^2+'Reference Standards'!$X$16*E408+'Reference Standards'!$X$17,2))),IF(OR(AND($B373="71i",$D370&gt;2,$G372="SQKICK"),AND(OR($B373="67fhi",$B373="67g"),$D370&lt;=2),$B373="65j"),IF(E408&lt;0,0,IF(E408&gt;57.8,0.69,ROUND('Reference Standards'!$Y$15*E408^2+'Reference Standards'!$Y$16*E408+'Reference Standards'!$Y$17,2))),IF(OR(AND($B373="74a",$D370&gt;2,$G371="July - December"),AND(OR($B373="67fhi",$B373="67g"),$D370&gt;2),$B373="69de"),IF(E408&lt;0,0,IF(E408&gt;62.5,0.69,ROUND('Reference Standards'!$Z$15*E408^2+'Reference Standards'!$Z$16*E408+'Reference Standards'!$Z$17,2))),  IF(OR($B373="66d",$B373="66e",$B373="66ik",$B373="71e",$B373="71f",$B373="71g",$B373="71h"),IF(E408&lt;0,0,IF(E408&gt;66.5,0.69,ROUND('Reference Standards'!$AA$15*E408^2+'Reference Standards'!$AA$16*E408+'Reference Standards'!$AA$17,2))),IF(OR($B373="66f",$B373="66g",$B373="66j",AND($B373="68a",$G371="July - December")), IF(E408&lt;0,0,IF(E408&gt;69,0.69,ROUND('Reference Standards'!$AB$15*E408^2+'Reference Standards'!$AB$16*E408+'Reference Standards'!$AB$17,2))))   ))))))))))))</f>
        <v/>
      </c>
      <c r="G408" s="356"/>
      <c r="H408" s="336"/>
      <c r="I408" s="314"/>
      <c r="J408" s="315"/>
    </row>
    <row r="409" spans="1:10" ht="15.6" x14ac:dyDescent="0.3">
      <c r="A409" s="334"/>
      <c r="B409" s="342"/>
      <c r="C409" s="45" t="s">
        <v>286</v>
      </c>
      <c r="D409" s="46"/>
      <c r="E409" s="42"/>
      <c r="F409" s="106" t="str">
        <f>IF(D373="Ephemeral","",IF(E409="","",IF(AND($B373="74b",$D370&lt;=2),IF(E409&lt;0,0,IF(E409&gt;8.1,0.69,ROUND('Reference Standards'!$W$21*E409^2+'Reference Standards'!$W$22*E409+'Reference Standards'!$W$23,2))),IF(OR($B373="73a",$B373="73b"),IF(E409&lt;0,0,IF(E409&gt;=28,0.69,ROUND('Reference Standards'!$X$21*E409^2+'Reference Standards'!$X$22*E409+'Reference Standards'!$X$23,2))),IF(AND($B373="74a",$D370&gt;2,$G371="January - June"),IF(E409&lt;0,0,IF(E409&gt;=32.5,0.69,ROUND('Reference Standards'!$Y$21*E409^2+'Reference Standards'!$Y$22*E409+'Reference Standards'!$Y$23,2))),IF(AND($B373="71i",$D370&gt;2,$G372="SQBANK"),IF(E409&lt;0,0,IF(E409&gt;=37,0.69,ROUND('Reference Standards'!$Z$21*E409^2+'Reference Standards'!$Z$22*E409+'Reference Standards'!$Z$23,2))),IF(OR(AND(OR($B373="65abei",$B373="74b"),$D370&gt;2),AND($B373="71i",$D370&gt;2,$G372="SQKICK")),IF(E409&lt;0,0,IF(E409&gt;42.6,0.69,ROUND('Reference Standards'!$AA$21*E409^2+'Reference Standards'!$AA$22*E409+'Reference Standards'!$AA$23,2))),     IF(OR(AND($B373="65abei",$D370&lt;=2),AND(OR($B373="68c",$B373="68d"),$G371="July - December"),$B373="71e"),IF(E409&lt;0,0,IF(E409&gt;=48,0.69,ROUND('Reference Standards'!$W$27*E409^2+'Reference Standards'!$W$28*E409+'Reference Standards'!$W$29,2))),IF(OR($B373="65j",$B373="67fhi",$B373="67g",AND($B373="74a",$G371="July - December",$D370&gt;2),AND($B373="71i",$D370&lt;=2)),IF(E409&lt;0,0,IF(E409&gt;=53,0.69,ROUND('Reference Standards'!$X$27*E409^2+'Reference Standards'!$X$28*E409+'Reference Standards'!$X$29,2))),IF(OR(AND(OR($B373="68b",$B373="71f",$B373="71g",$B373="71h"),$D370&gt;2),$B373="68a"),IF(E409&lt;0,0,IF(E409&gt;=57,0.69,ROUND('Reference Standards'!$Y$27*E409^2+'Reference Standards'!$Y$28*E409+'Reference Standards'!$Y$29,2))),IF(OR($B373="66f",$B373="66g",$B373="66j",AND(OR($B373="71f",$B373="71g",$B373="71h"),$D370&lt;=2)),IF(E409&lt;0,0,IF(E409&gt;=60,0.69,ROUND('Reference Standards'!$Z$27*E409^2+'Reference Standards'!$Z$28*E409+'Reference Standards'!$Z$29,2))),  IF(OR($B373="66d",$B373="66e",$B373="66ik", AND(OR($B373="68c",$B373="68d"),$G371="January - June"),AND($B373="69de",$G371="July - December")),IF(E409&lt;0,0,IF(E409&gt;=67.5,0.69,ROUND('Reference Standards'!$AA$27*E409^2+'Reference Standards'!$AA$28*E409+'Reference Standards'!$AA$29,2))),IF(AND($B373="69de",$G371="January - June"), IF(E409&lt;0,0,IF(E409&gt;=72,0.69,ROUND('Reference Standards'!$AB$27*E409^2+'Reference Standards'!$AB$28*E409+'Reference Standards'!$AB$29,2))))   ))))))))))))</f>
        <v/>
      </c>
      <c r="G409" s="356"/>
      <c r="H409" s="336"/>
      <c r="I409" s="314"/>
      <c r="J409" s="315"/>
    </row>
    <row r="410" spans="1:10" ht="15.6" x14ac:dyDescent="0.3">
      <c r="A410" s="334"/>
      <c r="B410" s="343"/>
      <c r="C410" s="35" t="s">
        <v>283</v>
      </c>
      <c r="D410" s="25"/>
      <c r="E410" s="44"/>
      <c r="F410" s="106" t="str">
        <f>IF(D373="Ephemeral","",IF(E410="","",IF(OR($B373="67fhi",$B373="67g",$B373="71e",$B373="73a",$B373="73b",AND(OR($B373="71f",$B373="71g",$B373="71h"),$D370&gt;2)),IF(E410&gt;100,0,IF(E410&lt;15,0.69,ROUND('Reference Standards'!$W$33*E410^2+'Reference Standards'!$W$34*E410+'Reference Standards'!$W$35,2))),  IF(OR($B373="66d",$B373="66e",$B373="66ik",$B373="66f",$B373="66g",$B373="66j",$B373="68a",$B373="68c",$B373="68d",AND($B373="69de",$G371="July - December"), AND($B373="71i",$D370&lt;=2), AND($B373="71i",$D370&gt;2,$G372="SQBANK" ), AND($B373="74a",$D370&gt;2,$G371="July - December") ),IF(E410&gt;100,0,IF(E410&lt;19,0.69,ROUND('Reference Standards'!$X$33*E410^2+'Reference Standards'!$X$34*E410+'Reference Standards'!$X$35,2))),    IF(OR(AND($B373="69de",$G371="January - June"),AND($B373="71i",$D370&gt;2,$G372="SQKICK" )),IF(E410&gt;100,0,IF(E410&lt;22,0.69,ROUND('Reference Standards'!$Y$33*E410^2+'Reference Standards'!$Y$34*E410+'Reference Standards'!$Y$35,2))),    IF(OR($B373="65j",AND($B373="68b",$D370&gt;2)),IF(E410&gt;100,0,IF(E410&lt;24,0.69,ROUND('Reference Standards'!$Z$33*E410^2+'Reference Standards'!$Z$34*E410+'Reference Standards'!$Z$35,2))),    IF(AND(OR($B373="65abei",$B373="71f",$B373="71g",$B373="71h"),$D370&lt;=2),IF(E410&gt;95,0,IF(E410&lt;33,0.69,ROUND('Reference Standards'!$W$39*E410^2+'Reference Standards'!$W$40*E410+'Reference Standards'!$W$41,2))),   IF(AND(OR($B373="65abei",$B373="74b"),$D370&gt;2),IF(E410&gt;97,0,IF(E410&lt;36,0.69,ROUND('Reference Standards'!$X$39*E410^2+'Reference Standards'!$X$40*E410+'Reference Standards'!$X$41,2))),  IF(AND($B373="74a",$G371="January - June",$D370&gt;2),IF(E410&gt;93,0,IF(E410&lt;52,0.69,ROUND('Reference Standards'!$Y$39*E410^2+'Reference Standards'!$Y$40*E410+'Reference Standards'!$Y$41,2))),   IF(AND($B373="74b",$D370&lt;=2),IF(E410&gt;97,0,IF(E410&lt;62,0.69,ROUND('Reference Standards'!$Z$39*E410^2+'Reference Standards'!$Z$40*E410+'Reference Standards'!$Z$41,2)))  ))))))))))</f>
        <v/>
      </c>
      <c r="G410" s="356"/>
      <c r="H410" s="336"/>
      <c r="I410" s="314"/>
      <c r="J410" s="315"/>
    </row>
    <row r="411" spans="1:10" ht="15.6" x14ac:dyDescent="0.3">
      <c r="A411" s="334"/>
      <c r="B411" s="337" t="s">
        <v>65</v>
      </c>
      <c r="C411" s="33" t="s">
        <v>174</v>
      </c>
      <c r="D411" s="34"/>
      <c r="E411" s="36"/>
      <c r="F411" s="105" t="str">
        <f>IF(D373="Ephemeral","",IF(E411="","",IF(E411=1,0.15,IF(E411=3,0.5,IF(E411=5,0.85,0)))))</f>
        <v/>
      </c>
      <c r="G411" s="338" t="str">
        <f>IFERROR(ROUND(AVERAGE(F411:F412),2),"")</f>
        <v/>
      </c>
      <c r="H411" s="336"/>
      <c r="I411" s="314"/>
      <c r="J411" s="315"/>
    </row>
    <row r="412" spans="1:10" ht="15.6" x14ac:dyDescent="0.3">
      <c r="A412" s="335"/>
      <c r="B412" s="337"/>
      <c r="C412" s="35" t="s">
        <v>279</v>
      </c>
      <c r="D412" s="25"/>
      <c r="E412" s="41"/>
      <c r="F412" s="107" t="str">
        <f>IF(D373="Ephemeral","",IF(E412="","",IF(E412=1,0.15,IF(E412=3,0.5,IF(E412=5,0.85,0)))))</f>
        <v/>
      </c>
      <c r="G412" s="339"/>
      <c r="H412" s="336"/>
      <c r="I412" s="314"/>
      <c r="J412" s="315"/>
    </row>
    <row r="413" spans="1:10" ht="6.6" customHeight="1" x14ac:dyDescent="0.3"/>
    <row r="414" spans="1:10" ht="6.6" customHeight="1" x14ac:dyDescent="0.3"/>
    <row r="415" spans="1:10" ht="21" customHeight="1" x14ac:dyDescent="0.3">
      <c r="A415" s="296" t="s">
        <v>295</v>
      </c>
      <c r="B415" s="297"/>
      <c r="C415" s="297"/>
      <c r="D415" s="297"/>
      <c r="E415" s="297"/>
      <c r="F415" s="297"/>
      <c r="G415" s="297"/>
      <c r="H415" s="297"/>
      <c r="I415" s="297"/>
      <c r="J415" s="298"/>
    </row>
    <row r="416" spans="1:10" ht="16.2" customHeight="1" x14ac:dyDescent="0.3">
      <c r="A416" s="6" t="s">
        <v>85</v>
      </c>
      <c r="B416" s="7"/>
      <c r="C416" s="6" t="s">
        <v>15</v>
      </c>
      <c r="D416" s="7"/>
      <c r="E416" s="165" t="s">
        <v>387</v>
      </c>
      <c r="F416" s="168"/>
      <c r="G416" s="166"/>
      <c r="H416" s="299" t="s">
        <v>367</v>
      </c>
      <c r="I416" s="300"/>
      <c r="J416" s="7"/>
    </row>
    <row r="417" spans="1:10" ht="16.2" customHeight="1" x14ac:dyDescent="0.3">
      <c r="A417" s="6" t="s">
        <v>86</v>
      </c>
      <c r="B417" s="39"/>
      <c r="C417" s="6" t="s">
        <v>371</v>
      </c>
      <c r="D417" s="39"/>
      <c r="E417" s="6" t="s">
        <v>94</v>
      </c>
      <c r="F417" s="6"/>
      <c r="G417" s="39"/>
      <c r="H417" s="299" t="s">
        <v>368</v>
      </c>
      <c r="I417" s="300"/>
      <c r="J417" s="7"/>
    </row>
    <row r="418" spans="1:10" ht="16.2" customHeight="1" x14ac:dyDescent="0.3">
      <c r="A418" s="6" t="s">
        <v>365</v>
      </c>
      <c r="B418" s="39"/>
      <c r="C418" s="6" t="s">
        <v>372</v>
      </c>
      <c r="D418" s="7"/>
      <c r="E418" s="331" t="s">
        <v>150</v>
      </c>
      <c r="F418" s="331"/>
      <c r="G418" s="39"/>
      <c r="H418" s="299" t="s">
        <v>369</v>
      </c>
      <c r="I418" s="300"/>
      <c r="J418" s="7"/>
    </row>
    <row r="419" spans="1:10" ht="16.2" customHeight="1" x14ac:dyDescent="0.3">
      <c r="A419" s="6" t="s">
        <v>290</v>
      </c>
      <c r="B419" s="39"/>
      <c r="C419" s="6" t="s">
        <v>351</v>
      </c>
      <c r="D419" s="39"/>
      <c r="E419" s="332" t="s">
        <v>260</v>
      </c>
      <c r="F419" s="332"/>
      <c r="G419" s="39"/>
      <c r="H419" s="299" t="s">
        <v>370</v>
      </c>
      <c r="I419" s="300"/>
      <c r="J419" s="7"/>
    </row>
    <row r="420" spans="1:10" ht="6" customHeight="1" x14ac:dyDescent="0.3">
      <c r="H420" s="3"/>
      <c r="I420" s="110"/>
      <c r="J420" s="3"/>
    </row>
    <row r="421" spans="1:10" ht="21" x14ac:dyDescent="0.4">
      <c r="A421" s="301" t="s">
        <v>54</v>
      </c>
      <c r="B421" s="302"/>
      <c r="C421" s="302"/>
      <c r="D421" s="302"/>
      <c r="E421" s="302"/>
      <c r="F421" s="303"/>
      <c r="G421" s="304" t="s">
        <v>16</v>
      </c>
      <c r="H421" s="304"/>
      <c r="I421" s="304"/>
      <c r="J421" s="304"/>
    </row>
    <row r="422" spans="1:10" ht="15.6" x14ac:dyDescent="0.3">
      <c r="A422" s="8" t="s">
        <v>1</v>
      </c>
      <c r="B422" s="8" t="s">
        <v>2</v>
      </c>
      <c r="C422" s="305" t="s">
        <v>3</v>
      </c>
      <c r="D422" s="306"/>
      <c r="E422" s="8" t="s">
        <v>13</v>
      </c>
      <c r="F422" s="37" t="s">
        <v>14</v>
      </c>
      <c r="G422" s="8" t="s">
        <v>17</v>
      </c>
      <c r="H422" s="8" t="s">
        <v>18</v>
      </c>
      <c r="I422" s="111" t="s">
        <v>18</v>
      </c>
      <c r="J422" s="8" t="s">
        <v>296</v>
      </c>
    </row>
    <row r="423" spans="1:10" ht="15.6" x14ac:dyDescent="0.3">
      <c r="A423" s="310" t="s">
        <v>57</v>
      </c>
      <c r="B423" s="94" t="s">
        <v>71</v>
      </c>
      <c r="C423" s="9" t="s">
        <v>313</v>
      </c>
      <c r="D423" s="9"/>
      <c r="E423" s="40"/>
      <c r="F423" s="138">
        <f>IF(E423="", IF(G416="Yes",1,0.8),IF(E423&lt;=0,0,IF(E423&gt;=0.95,1,ROUND('Reference Standards'!B$3*E423+'Reference Standards'!B$4,2))))</f>
        <v>0.8</v>
      </c>
      <c r="G423" s="135">
        <f>IFERROR(ROUND(AVERAGE(F423),2),"")</f>
        <v>0.8</v>
      </c>
      <c r="H423" s="312">
        <f>IFERROR(ROUND(AVERAGE(G423:G424),2),"")</f>
        <v>0.8</v>
      </c>
      <c r="I423" s="314" t="str">
        <f>IF(H423="","",IF(H423&gt;0.69,"Functioning",IF(H423&gt;0.29,"Functioning At Risk",IF(H423&gt;-1,"Not Functioning"))))</f>
        <v>Functioning</v>
      </c>
      <c r="J423" s="315">
        <f>IF(AND(H423="",H425="",H427="",H449="",H453=""),"",ROUND((IF(H423="",0,H423)*0.2),2)+ROUND((IF(H425="",0,H425)*0.2),2)+ROUND((IF(H427="",0,H427)*0.2),2)+ROUND((IF(H449="",0,H449)*0.2),2)+ROUND((IF(H453="",0,H453)*0.2),2))</f>
        <v>0.8</v>
      </c>
    </row>
    <row r="424" spans="1:10" ht="15.6" x14ac:dyDescent="0.3">
      <c r="A424" s="311"/>
      <c r="B424" s="139" t="s">
        <v>97</v>
      </c>
      <c r="C424" s="136" t="s">
        <v>125</v>
      </c>
      <c r="D424" s="137"/>
      <c r="E424" s="7"/>
      <c r="F424" s="138">
        <f>IF(E424="", IF(G416="Yes",1,0.8),IF(E424&gt;=1,1,IF(E424&lt;=0,0,ROUND(E424,2))))</f>
        <v>0.8</v>
      </c>
      <c r="G424" s="135">
        <f>IFERROR(ROUND(AVERAGE(F424),2),"")</f>
        <v>0.8</v>
      </c>
      <c r="H424" s="313"/>
      <c r="I424" s="314"/>
      <c r="J424" s="315"/>
    </row>
    <row r="425" spans="1:10" ht="15.6" x14ac:dyDescent="0.3">
      <c r="A425" s="322" t="s">
        <v>4</v>
      </c>
      <c r="B425" s="324" t="s">
        <v>5</v>
      </c>
      <c r="C425" s="11" t="s">
        <v>6</v>
      </c>
      <c r="D425" s="11"/>
      <c r="E425" s="40"/>
      <c r="F425" s="98">
        <f>IF(D419="Ephemeral","",IF(E425="",IF(G416="Yes",1,0.8),ROUND(IF(E425&gt;1.6,0,IF(E425&lt;=1,1,E425^2*'Reference Standards'!E$3+E425*'Reference Standards'!E$4+'Reference Standards'!E$5)),2)))</f>
        <v>0.8</v>
      </c>
      <c r="G425" s="353">
        <f>IFERROR(ROUND(AVERAGE(F425:F426),2),"")</f>
        <v>0.8</v>
      </c>
      <c r="H425" s="354">
        <f>IFERROR(ROUND(AVERAGE(G425),2),"")</f>
        <v>0.8</v>
      </c>
      <c r="I425" s="346" t="str">
        <f>IF(H425="","",IF(H425&gt;0.69,"Functioning",IF(H425&gt;0.29,"Functioning At Risk",IF(H425&gt;-1,"Not Functioning"))))</f>
        <v>Functioning</v>
      </c>
      <c r="J425" s="315"/>
    </row>
    <row r="426" spans="1:10" ht="15.6" x14ac:dyDescent="0.3">
      <c r="A426" s="323"/>
      <c r="B426" s="324"/>
      <c r="C426" s="11" t="s">
        <v>7</v>
      </c>
      <c r="D426" s="11"/>
      <c r="E426" s="40"/>
      <c r="F426" s="98">
        <f>IF(D419="Ephemeral","",IF(E426="",IF(G416="Yes",1,0.8),(IF(OR(B418="A",B418="B",$B418="Bc"),IF(E426&lt;1.2,0,IF(E426&gt;=2.2,1,ROUND(IF(E426&lt;1.4,E426*'Reference Standards'!$E$14+'Reference Standards'!$E$15,E426*'Reference Standards'!$F$14+'Reference Standards'!$F$15),2))),IF(OR(B418="C",B418="E"),IF(E426&lt;2,0,IF(E426&gt;=5,1,ROUND(IF(E426&lt;2.4,E426*'Reference Standards'!$F$9+'Reference Standards'!$F$10,E426*'Reference Standards'!$E$9+'Reference Standards'!$E$10),2))))))))</f>
        <v>0.8</v>
      </c>
      <c r="G426" s="353"/>
      <c r="H426" s="355"/>
      <c r="I426" s="347"/>
      <c r="J426" s="315"/>
    </row>
    <row r="427" spans="1:10" ht="15.75" customHeight="1" x14ac:dyDescent="0.3">
      <c r="A427" s="321" t="s">
        <v>23</v>
      </c>
      <c r="B427" s="348" t="s">
        <v>24</v>
      </c>
      <c r="C427" s="15" t="s">
        <v>280</v>
      </c>
      <c r="D427" s="71"/>
      <c r="E427" s="16"/>
      <c r="F427" s="99" t="str">
        <f>IF(E427="","",IF(OR(LEFT($B419,2)="65",LEFT($B419,2)="66",LEFT($B419,2)="74",LEFT($B419,2)="73"),IF(E427&gt;=850,1,IF(E427&lt;250,ROUND('Reference Standards'!$H$5*(E427)+'Reference Standards'!$H$6,2),ROUND('Reference Standards'!$I$5*E427+'Reference Standards'!$I$6,2))),  IF(E427&gt;=345,1,IF(E427&lt;=180,ROUND('Reference Standards'!J$5*(E427)+'Reference Standards'!J$6,2),ROUND('Reference Standards'!K$5*E427+'Reference Standards'!K$6,2))))    )</f>
        <v/>
      </c>
      <c r="G427" s="318">
        <f>IFERROR(ROUND(AVERAGE(F427:F428),2),"")</f>
        <v>0.8</v>
      </c>
      <c r="H427" s="350">
        <f>IFERROR(ROUND(AVERAGE(G427:G448),2),"")</f>
        <v>0.8</v>
      </c>
      <c r="I427" s="352" t="str">
        <f>IF(H427="","",IF(H427&gt;0.69,"Functioning",IF(H427&gt;0.29,"Functioning At Risk",IF(H427&gt;-1,"Not Functioning"))))</f>
        <v>Functioning</v>
      </c>
      <c r="J427" s="315"/>
    </row>
    <row r="428" spans="1:10" ht="15.6" x14ac:dyDescent="0.3">
      <c r="A428" s="316"/>
      <c r="B428" s="349"/>
      <c r="C428" s="18" t="s">
        <v>267</v>
      </c>
      <c r="D428" s="72"/>
      <c r="E428" s="10"/>
      <c r="F428" s="100">
        <f>IF(ISNUMBER(E427),"",IF(E428="",IF(G416="Yes",1,0.8),IF(OR(LEFT($B419,2)="65",LEFT($B419,2)="66",LEFT($B419,2)="74",LEFT($B419,2)="73"),IF(E428&gt;=30,1,IF(E428&lt;13,ROUND('Reference Standards'!$H$11*(E428)+'Reference Standards'!$H$12,2),ROUND('Reference Standards'!$I$11*E428+'Reference Standards'!$I$12,2))),  IF(E428&gt;=16,1,IF(E428&lt;=9,ROUND('Reference Standards'!J$11*(E428)+'Reference Standards'!J$12,2),ROUND('Reference Standards'!K$11*E428+'Reference Standards'!K$12,2))))    ))</f>
        <v>0.8</v>
      </c>
      <c r="G428" s="320"/>
      <c r="H428" s="350"/>
      <c r="I428" s="352"/>
      <c r="J428" s="315"/>
    </row>
    <row r="429" spans="1:10" ht="15.6" x14ac:dyDescent="0.3">
      <c r="A429" s="316"/>
      <c r="B429" s="316" t="s">
        <v>350</v>
      </c>
      <c r="C429" s="13" t="s">
        <v>66</v>
      </c>
      <c r="D429" s="13"/>
      <c r="E429" s="42"/>
      <c r="F429" s="99" t="str">
        <f>IF(E429="","",ROUND(IF(E429&gt;0.7,0,IF(E429&lt;=0.1,1,E429^3*'Reference Standards'!H$15+E429^2*'Reference Standards'!H$16+E429*'Reference Standards'!H$17+'Reference Standards'!H$18)),2))</f>
        <v/>
      </c>
      <c r="G429" s="318">
        <f>IFERROR(ROUND(AVERAGE(F429:F432),2),"")</f>
        <v>0.8</v>
      </c>
      <c r="H429" s="351"/>
      <c r="I429" s="352"/>
      <c r="J429" s="315"/>
    </row>
    <row r="430" spans="1:10" ht="15.6" x14ac:dyDescent="0.3">
      <c r="A430" s="316"/>
      <c r="B430" s="316"/>
      <c r="C430" s="13" t="s">
        <v>47</v>
      </c>
      <c r="D430" s="13"/>
      <c r="E430" s="42"/>
      <c r="F430" s="28">
        <f>IF(ISNUMBER(E429),"", IF(AND(E429="",E430=""),IF(G416="Yes",1,0.8),IF(OR(E430="Ex/Ex",E430="Ex/VH"),0, IF(OR(E430="Ex/H",E430="VH/Ex",E430="VH/VH", E430="H/Ex",E430="H/VH",E430="M/Ex"),0.1,IF(OR(E430="Ex/M",E430="VH/H",E430="H/H", E430="M/VH"),0.2, IF(OR(E430="Ex/L",E430="VH/M",E430="H/M", E430="M/H",E430="L/Ex"),0.3, IF(OR(E430="Ex/VL",E430="VH/L",E430="H/L"),0.4, IF(OR(E430="VH/VL",E430="H/VL",E430="M/M", E430="L/VH"),0.5, IF(OR(E430="M/L",E430="L/H"),0.6, IF(OR(E430="M/VL",E430="L/M"),0.7, IF(OR(E430="L/L",E430="L/VL"),1)))))))))))</f>
        <v>0.8</v>
      </c>
      <c r="G430" s="319"/>
      <c r="H430" s="351"/>
      <c r="I430" s="352"/>
      <c r="J430" s="315"/>
    </row>
    <row r="431" spans="1:10" ht="15.6" x14ac:dyDescent="0.3">
      <c r="A431" s="316"/>
      <c r="B431" s="316"/>
      <c r="C431" s="14" t="s">
        <v>72</v>
      </c>
      <c r="D431" s="13"/>
      <c r="E431" s="42"/>
      <c r="F431" s="28">
        <f>IF(E431="",IF(G416="Yes",1,0.8),ROUND(IF(E431&gt;40,0,IF(E431&lt;5,1,E431^3*'Reference Standards'!H$21+E431^2*'Reference Standards'!H$22+E431*'Reference Standards'!H$23+'Reference Standards'!H$24)),2))</f>
        <v>0.8</v>
      </c>
      <c r="G431" s="319"/>
      <c r="H431" s="351"/>
      <c r="I431" s="352"/>
      <c r="J431" s="315"/>
    </row>
    <row r="432" spans="1:10" ht="15.6" x14ac:dyDescent="0.3">
      <c r="A432" s="316"/>
      <c r="B432" s="317"/>
      <c r="C432" s="14" t="s">
        <v>349</v>
      </c>
      <c r="D432" s="14"/>
      <c r="E432" s="44"/>
      <c r="F432" s="100">
        <f>IF(E432="",IF(G416="Yes",1,0.8),ROUND(IF(E432&gt;=30,0,IF(E432&lt;=0,1,E432*'Reference Standards'!H$27+'Reference Standards'!H$28)),2))</f>
        <v>0.8</v>
      </c>
      <c r="G432" s="320"/>
      <c r="H432" s="351"/>
      <c r="I432" s="352"/>
      <c r="J432" s="315"/>
    </row>
    <row r="433" spans="1:10" ht="15.6" x14ac:dyDescent="0.3">
      <c r="A433" s="316"/>
      <c r="B433" s="316" t="s">
        <v>48</v>
      </c>
      <c r="C433" s="15" t="s">
        <v>314</v>
      </c>
      <c r="D433" s="19"/>
      <c r="E433" s="36"/>
      <c r="F433" s="92">
        <f>IF(E433="",IF(G416="Yes",1,0.8),ROUND(IF(E433&gt;9.2,1,E433*'Reference Standards'!H$31+'Reference Standards'!H$32),2))</f>
        <v>0.8</v>
      </c>
      <c r="G433" s="307">
        <f>IFERROR(ROUND(AVERAGE(F433:F442),2),"")</f>
        <v>0.8</v>
      </c>
      <c r="H433" s="351"/>
      <c r="I433" s="352"/>
      <c r="J433" s="315"/>
    </row>
    <row r="434" spans="1:10" ht="15.6" x14ac:dyDescent="0.3">
      <c r="A434" s="316"/>
      <c r="B434" s="316"/>
      <c r="C434" s="17" t="s">
        <v>315</v>
      </c>
      <c r="D434" s="13"/>
      <c r="E434" s="40"/>
      <c r="F434" s="92">
        <f>IF(E434="",IF(G416="Yes",1,0.8),ROUND(IF(E434&gt;9.2,1,E434*'Reference Standards'!H$31+'Reference Standards'!H$32),2))</f>
        <v>0.8</v>
      </c>
      <c r="G434" s="308"/>
      <c r="H434" s="351"/>
      <c r="I434" s="352"/>
      <c r="J434" s="315"/>
    </row>
    <row r="435" spans="1:10" ht="15.6" x14ac:dyDescent="0.3">
      <c r="A435" s="316"/>
      <c r="B435" s="316"/>
      <c r="C435" s="17" t="s">
        <v>316</v>
      </c>
      <c r="D435" s="13"/>
      <c r="E435" s="40"/>
      <c r="F435" s="92">
        <f>IF(E435="",IF(G416="Yes",1,0.8),ROUND( IF(E435&gt;=200,1,IF(E435&lt;50, E435^2*'Reference Standards'!H$36+E435*'Reference Standards'!H$37+'Reference Standards'!H$38, E435*'Reference Standards'!I$37+'Reference Standards'!I$38)),2))</f>
        <v>0.8</v>
      </c>
      <c r="G435" s="308"/>
      <c r="H435" s="351"/>
      <c r="I435" s="352"/>
      <c r="J435" s="315"/>
    </row>
    <row r="436" spans="1:10" ht="15.6" x14ac:dyDescent="0.3">
      <c r="A436" s="316"/>
      <c r="B436" s="316"/>
      <c r="C436" s="17" t="s">
        <v>317</v>
      </c>
      <c r="D436" s="13"/>
      <c r="E436" s="40"/>
      <c r="F436" s="92">
        <f>IF(E436="",IF(G416="Yes",1,0.8),ROUND( IF(E436&gt;=200,1,IF(E436&lt;50, E436^2*'Reference Standards'!H$36+E436*'Reference Standards'!H$37+'Reference Standards'!H$38, E436*'Reference Standards'!I$37+'Reference Standards'!I$38)),2))</f>
        <v>0.8</v>
      </c>
      <c r="G436" s="308"/>
      <c r="H436" s="351"/>
      <c r="I436" s="352"/>
      <c r="J436" s="315"/>
    </row>
    <row r="437" spans="1:10" ht="15.6" x14ac:dyDescent="0.3">
      <c r="A437" s="316"/>
      <c r="B437" s="316"/>
      <c r="C437" s="13" t="s">
        <v>318</v>
      </c>
      <c r="D437" s="13"/>
      <c r="E437" s="40"/>
      <c r="F437" s="92">
        <f>IF(E437="",IF(G416="Yes",1,0.8),ROUND(IF(AND(E437&gt;=135,E437&lt;=262),1,IF(E437&gt;=366,0.5,IF(E437&lt;135,E437*'Reference Standards'!H$42+'Reference Standards'!H$43,E437*'Reference Standards'!I$42+'Reference Standards'!I$43))),2))</f>
        <v>0.8</v>
      </c>
      <c r="G437" s="308"/>
      <c r="H437" s="351"/>
      <c r="I437" s="352"/>
      <c r="J437" s="315"/>
    </row>
    <row r="438" spans="1:10" ht="15.6" x14ac:dyDescent="0.3">
      <c r="A438" s="316"/>
      <c r="B438" s="316"/>
      <c r="C438" s="13" t="s">
        <v>319</v>
      </c>
      <c r="D438" s="13"/>
      <c r="E438" s="40"/>
      <c r="F438" s="92">
        <f>IF(E438="",IF(G416="Yes",1,0.8),ROUND(IF(AND(E438&gt;=135,E438&lt;=262),1,IF(E438&gt;=366,0.5,IF(E438&lt;135,E438*'Reference Standards'!H$42+'Reference Standards'!H$43,E438*'Reference Standards'!I$42+'Reference Standards'!I$43))),2))</f>
        <v>0.8</v>
      </c>
      <c r="G438" s="308"/>
      <c r="H438" s="351"/>
      <c r="I438" s="352"/>
      <c r="J438" s="315"/>
    </row>
    <row r="439" spans="1:10" ht="15.6" x14ac:dyDescent="0.3">
      <c r="A439" s="316"/>
      <c r="B439" s="316"/>
      <c r="C439" s="13" t="s">
        <v>320</v>
      </c>
      <c r="D439" s="13"/>
      <c r="E439" s="40"/>
      <c r="F439" s="28">
        <f>IF(E439="",IF(G416="Yes",1,0.8),ROUND(IF(E439&gt;=75,1,IF(E439&lt;=0,0,E439*'Reference Standards'!H$46)),2))</f>
        <v>0.8</v>
      </c>
      <c r="G439" s="308"/>
      <c r="H439" s="351"/>
      <c r="I439" s="352"/>
      <c r="J439" s="315"/>
    </row>
    <row r="440" spans="1:10" ht="15.6" x14ac:dyDescent="0.3">
      <c r="A440" s="316"/>
      <c r="B440" s="316"/>
      <c r="C440" s="13" t="s">
        <v>321</v>
      </c>
      <c r="D440" s="13"/>
      <c r="E440" s="40"/>
      <c r="F440" s="28">
        <f>IF(E440="",IF(G416="Yes",1,0.8),ROUND(IF(E440&gt;=75,1,IF(E440&lt;=0,0,E440*'Reference Standards'!H$46)),2))</f>
        <v>0.8</v>
      </c>
      <c r="G440" s="308"/>
      <c r="H440" s="351"/>
      <c r="I440" s="352"/>
      <c r="J440" s="315"/>
    </row>
    <row r="441" spans="1:10" ht="15.6" x14ac:dyDescent="0.3">
      <c r="A441" s="316"/>
      <c r="B441" s="316"/>
      <c r="C441" s="13" t="s">
        <v>322</v>
      </c>
      <c r="D441" s="13"/>
      <c r="E441" s="40"/>
      <c r="F441" s="92">
        <f>IF(E441="",IF(G416="Yes",1,0.8),ROUND(IF(AND(E441&gt;=36.3,E441&lt;=68),1,IF(E441&gt;100,0,IF(E441&lt;36.3,(('Reference Standards'!H$51*(E441^2))+('Reference Standards'!H$52*E441)+'Reference Standards'!H$53),IF(E441&gt;68,(('Reference Standards'!I$51*(E441^2))+('Reference Standards'!I$52*E441)+'Reference Standards'!I$53))))),2))</f>
        <v>0.8</v>
      </c>
      <c r="G441" s="308"/>
      <c r="H441" s="351"/>
      <c r="I441" s="352"/>
      <c r="J441" s="315"/>
    </row>
    <row r="442" spans="1:10" ht="15.6" x14ac:dyDescent="0.3">
      <c r="A442" s="316"/>
      <c r="B442" s="317"/>
      <c r="C442" s="13" t="s">
        <v>323</v>
      </c>
      <c r="D442" s="20"/>
      <c r="E442" s="40"/>
      <c r="F442" s="92">
        <f>IF(E442="",IF(G416="Yes",1,0.8),ROUND(IF(AND(E442&gt;=36.3,E442&lt;=68),1,IF(E442&gt;100,0,IF(E442&lt;36.3,(('Reference Standards'!H$51*(E442^2))+('Reference Standards'!H$52*E442)+'Reference Standards'!H$53),IF(E442&gt;68,(('Reference Standards'!I$51*(E442^2))+('Reference Standards'!I$52*E442)+'Reference Standards'!I$53))))),2))</f>
        <v>0.8</v>
      </c>
      <c r="G442" s="309"/>
      <c r="H442" s="351"/>
      <c r="I442" s="352"/>
      <c r="J442" s="315"/>
    </row>
    <row r="443" spans="1:10" ht="15.6" x14ac:dyDescent="0.3">
      <c r="A443" s="316"/>
      <c r="B443" s="12" t="s">
        <v>87</v>
      </c>
      <c r="C443" s="26" t="s">
        <v>102</v>
      </c>
      <c r="D443" s="13"/>
      <c r="E443" s="7"/>
      <c r="F443" s="27" t="str">
        <f>IF(D419="Ephemeral","",IF(E443="","",IF(OR(D417="Cobble",D417="Gravel"),IF(E443&gt;0.1,1,IF(E443&lt;=0.01,0,ROUND(E443*'Reference Standards'!$H$56+'Reference Standards'!$H$57,2))))))</f>
        <v/>
      </c>
      <c r="G443" s="27" t="str">
        <f>IFERROR(ROUND(AVERAGE(F443),2),"")</f>
        <v/>
      </c>
      <c r="H443" s="351"/>
      <c r="I443" s="352"/>
      <c r="J443" s="315"/>
    </row>
    <row r="444" spans="1:10" ht="15.6" x14ac:dyDescent="0.3">
      <c r="A444" s="316"/>
      <c r="B444" s="321" t="s">
        <v>49</v>
      </c>
      <c r="C444" s="19" t="s">
        <v>50</v>
      </c>
      <c r="D444" s="19"/>
      <c r="E444" s="43"/>
      <c r="F444" s="102">
        <f>IF(D419="Ephemeral","",IF(AND(D417="Bedrock",E444=""),"",IF(E444="",IF(G416="Yes",1,0.8), IF(ISNUMBER($D418), IF($D418&lt;=2,IF(AND(E444&gt;=3,E444&lt;=5),1,IF(OR(E444&lt;=1,E444&gt;=7),0,ROUND(IF(E444&lt;3,E444*'Reference Standards'!H$61+'Reference Standards'!H$62,E444*'Reference Standards'!I$61+'Reference Standards'!I$62),2))),IF(E444&lt;=2.5,1,IF(E444&gt;=5.8,0,ROUND(E444*'Reference Standards'!H$65+'Reference Standards'!H$66,2))))))))</f>
        <v>0.8</v>
      </c>
      <c r="G444" s="307">
        <f>IFERROR(ROUND(AVERAGE(F444:F447),2),"")</f>
        <v>0.8</v>
      </c>
      <c r="H444" s="351"/>
      <c r="I444" s="352"/>
      <c r="J444" s="315"/>
    </row>
    <row r="445" spans="1:10" ht="15.6" x14ac:dyDescent="0.3">
      <c r="A445" s="316"/>
      <c r="B445" s="316"/>
      <c r="C445" s="13" t="s">
        <v>51</v>
      </c>
      <c r="D445" s="13"/>
      <c r="E445" s="42"/>
      <c r="F445" s="28">
        <f>IF(D419="Ephemeral","",IF(AND(D417="Bedrock",E445=""),"",IF(E445="",IF(G416="Yes",1,0.8),IF(E445&gt;=2.4,1,IF(E445&lt;=1,0,ROUND(IF(E445&lt;2.4,E445*'Reference Standards'!$H$70+'Reference Standards'!$H$71),2))))))</f>
        <v>0.8</v>
      </c>
      <c r="G445" s="308"/>
      <c r="H445" s="351"/>
      <c r="I445" s="352"/>
      <c r="J445" s="315"/>
    </row>
    <row r="446" spans="1:10" ht="15.6" x14ac:dyDescent="0.3">
      <c r="A446" s="316"/>
      <c r="B446" s="316"/>
      <c r="C446" s="13" t="s">
        <v>281</v>
      </c>
      <c r="D446" s="13"/>
      <c r="E446" s="42"/>
      <c r="F446" s="133">
        <f>IF(D419="Ephemeral","",IF(AND(D417="Bedrock",E444=""),"",IF(E446="",IF(G416="Yes",1,0.8),IF(LEFT($B419,2)="67",IF(AND(E446&gt;=45,E446&lt;=65),1,IF(OR(E446&lt;=20,E446&gt;=90),0,ROUND(IF(E446&lt;45,E446*'Reference Standards'!H$75+'Reference Standards'!H$76,E446*'Reference Standards'!I$75+'Reference Standards'!I$76),2))),IF(OR(LEFT($B419,2)="68",LEFT($B419,2)="69",LEFT($B419,2)="71"),IF(AND(E446&gt;=30,E446&lt;=50),1,IF(OR(E446&lt;=10,E446&gt;=70),0,ROUND(IF(E446&lt;30,E446*'Reference Standards'!H$80+'Reference Standards'!H$81,E446*'Reference Standards'!I$80+'Reference Standards'!I$81),2))),IF(LEFT($B419,2)="66",IF(AND(E446&gt;=20,E446&lt;=45),1,IF(OR(E446&lt;=0,E446&gt;=90),0,ROUND(IF(E446&lt;20,E446*'Reference Standards'!H$85+'Reference Standards'!H$86,E446*'Reference Standards'!I$85+'Reference Standards'!I$86),2))),IF(OR(LEFT($B419,2)="65",LEFT($B419,2)="74",LEFT($B419,2)="73"),IF(AND(E446&gt;=20,E446&lt;=30),1,IF(OR(E446&lt;=0,E446&gt;=50),0,ROUND(IF(E446&lt;20,E446*'Reference Standards'!H$90+'Reference Standards'!H$91,E446*'Reference Standards'!I$90+'Reference Standards'!I$91),2))))))))))</f>
        <v>0.8</v>
      </c>
      <c r="G446" s="308"/>
      <c r="H446" s="351"/>
      <c r="I446" s="352"/>
      <c r="J446" s="315"/>
    </row>
    <row r="447" spans="1:10" ht="15.6" x14ac:dyDescent="0.3">
      <c r="A447" s="316"/>
      <c r="B447" s="317"/>
      <c r="C447" s="17" t="s">
        <v>173</v>
      </c>
      <c r="D447" s="13"/>
      <c r="E447" s="44"/>
      <c r="F447" s="134" t="str">
        <f>IF(D419="Ephemeral","",IF(E447="","",IF(E447&gt;=1.6,0,IF(E447&lt;=1,1,ROUND('Reference Standards'!$H$94*E447^3+'Reference Standards'!$H$95*E447^2+'Reference Standards'!$H$96*E447+'Reference Standards'!$H$97,2)))))</f>
        <v/>
      </c>
      <c r="G447" s="309"/>
      <c r="H447" s="351"/>
      <c r="I447" s="352"/>
      <c r="J447" s="315"/>
    </row>
    <row r="448" spans="1:10" ht="15.6" x14ac:dyDescent="0.3">
      <c r="A448" s="317"/>
      <c r="B448" s="50" t="s">
        <v>53</v>
      </c>
      <c r="C448" s="69" t="s">
        <v>52</v>
      </c>
      <c r="D448" s="70"/>
      <c r="E448" s="68"/>
      <c r="F448" s="101">
        <f>IF(D419="Ephemeral","",IF(E448="",IF(G416="Yes",1,0.8),IF(AND(B418="E",$D417="Sand",G419="Unconfined Alluvial"),ROUND(IF(OR(E448&gt;1.8,E448&lt;1.3),0,IF(E448&lt;=1.6,1,E448*'Reference Standards'!H$100+'Reference Standards'!H$101)),2),    IF(G419="Unconfined Alluvial",ROUND(IF(OR(E448&lt;1.2, E448&gt;1.5),0,IF(E448&lt;=1.4,1,E448*'Reference Standards'!$H$104+'Reference Standards'!$H$105)),2), IF(G419="Confined Alluvial",ROUND(IF(E448&lt;1.15,0,IF(E448&lt;=1.4,E448*'Reference Standards'!$H$108+'Reference Standards'!$H$109,1)),2),  IF(G419="Colluvial",ROUND(IF(E448&gt;1.3,0,IF(E448&gt;1.2,E448*'Reference Standards'!$H$112+'Reference Standards'!$H$113,1)),2) ))))))</f>
        <v>0.8</v>
      </c>
      <c r="G448" s="28">
        <f>IFERROR(ROUND(AVERAGE(F448),2),"")</f>
        <v>0.8</v>
      </c>
      <c r="H448" s="351"/>
      <c r="I448" s="352"/>
      <c r="J448" s="315"/>
    </row>
    <row r="449" spans="1:10" ht="15.6" x14ac:dyDescent="0.3">
      <c r="A449" s="325" t="s">
        <v>55</v>
      </c>
      <c r="B449" s="22" t="s">
        <v>73</v>
      </c>
      <c r="C449" s="24" t="s">
        <v>285</v>
      </c>
      <c r="D449" s="24"/>
      <c r="E449" s="7"/>
      <c r="F449" s="103">
        <f>IF(D419="Ephemeral","",IF(E449="",IF(G416="Yes",1,0.8),ROUND(IF(E449&gt;=942,0,IF(E449&lt;=487,E449*'Reference Standards'!M$4+'Reference Standards'!M$5,E449*'Reference Standards'!$N$4+'Reference Standards'!$N$5)),2)))</f>
        <v>0.8</v>
      </c>
      <c r="G449" s="29">
        <f>IFERROR(ROUND(AVERAGE(F449),2),"")</f>
        <v>0.8</v>
      </c>
      <c r="H449" s="328">
        <f>IFERROR(ROUND(AVERAGE(G449:G452),2),"")</f>
        <v>0.8</v>
      </c>
      <c r="I449" s="357" t="str">
        <f>IF(H449="","",IF(H449&gt;0.69,"Functioning",IF(H449&gt;0.29,"Functioning At Risk",IF(H449&gt;-1,"Not Functioning"))))</f>
        <v>Functioning</v>
      </c>
      <c r="J449" s="315"/>
    </row>
    <row r="450" spans="1:10" ht="15.6" x14ac:dyDescent="0.3">
      <c r="A450" s="326"/>
      <c r="B450" s="79" t="s">
        <v>289</v>
      </c>
      <c r="C450" s="21" t="s">
        <v>288</v>
      </c>
      <c r="D450" s="21"/>
      <c r="E450" s="41"/>
      <c r="F450" s="104" t="str">
        <f>IF(D419="Ephemeral","",IF(E450="","",IF(OR($B419="65abei",$B419="65j",$B419="66d",$B419="66e",$B419="66ik",$B419="66f",$B419="66g",$B419="66j",$B419="68a",$B419="69de",$B419="74b",AND(OR($B419="67fhi",$B419="67g"),$D416&lt;=2),AND(OR($B419="68c",$B419="68d"),$G417="January - June")),IF(E450&gt;93,0,IF(E450&lt;13,1,ROUND('Reference Standards'!$M$9*E450^2+'Reference Standards'!$M$10*E450+'Reference Standards'!$M$11,2))),IF(OR(AND(OR($B419="67fhi",$B419="67g",$B419="71f",$B419="71g",$B419="71h"),$D416&gt;2),AND(OR($B419="68c",$B419="68d"),$G417="July - December"),$B419="73a",$B419="73b"),IF(E450&gt;94,0,IF(E450&lt;17,1,ROUND('Reference Standards'!$N$9*E450^2+'Reference Standards'!$N$10*E450+'Reference Standards'!$N$11,2))),IF(OR(AND(OR($B419="68b",$B419="71i"),$D416&gt;2),$B419="71e"),IF(E450&gt;91,0,IF(E450&lt;24,1,ROUND('Reference Standards'!$O$9*E450^2+'Reference Standards'!$O$10*E450+'Reference Standards'!$O$11,2))),IF(OR(AND(OR($B419="71f",$B419="71g",$B419="71h",$B419="71i"),$D416&lt;=2),AND($B419="74a",$D416&gt;2)),IF(E450&gt;95,0,IF(E450&lt;=36,1,ROUND('Reference Standards'!$P$9*E450^2+'Reference Standards'!$P$10*E450+'Reference Standards'!$P$11,2)))))))))</f>
        <v/>
      </c>
      <c r="G450" s="48" t="str">
        <f>IFERROR(ROUND(AVERAGE(F450),2),"")</f>
        <v/>
      </c>
      <c r="H450" s="329"/>
      <c r="I450" s="358"/>
      <c r="J450" s="315"/>
    </row>
    <row r="451" spans="1:10" ht="15.6" x14ac:dyDescent="0.3">
      <c r="A451" s="326"/>
      <c r="B451" s="22" t="s">
        <v>67</v>
      </c>
      <c r="C451" s="23" t="s">
        <v>240</v>
      </c>
      <c r="D451" s="23"/>
      <c r="E451" s="40"/>
      <c r="F451" s="104">
        <f>IF(ISNUMBER(E450),"",IF(D419="Ephemeral","",IF(E451="",IF(G416="Yes",1,0.8), IF(ISNUMBER($D416), IF(OR($B419="66e",$B419="66f",$B419="66g"),ROUND(IF(E451&gt;=0.61,0,IF(E451&lt;=0.01,1,IF(E451&lt;=0.06,E451*'Reference Standards'!$O$34+'Reference Standards'!$O$35,E451^2*'Reference Standards'!$M$33+E451*'Reference Standards'!$M$34+'Reference Standards'!$M$35))),2),IF($B419="68b",ROUND(IF(E451&gt;=1.1,0,IF(E451&lt;=0.17,1,IF(E451&lt;=0.22,E451*'Reference Standards'!$P$34+'Reference Standards'!$P$35,E451^2*'Reference Standards'!$N$33+E451*'Reference Standards'!$N$34+'Reference Standards'!$N$35))),2),IF($D416&lt;=2.5,IF($B419="69de",ROUND(IF(E451&gt;=0.22,0,IF(E451&lt;=0.01,1,E451^2*'Reference Standards'!$M$15+E451*'Reference Standards'!$M$16+'Reference Standards'!$M$17)),2),IF($B419="68c",ROUND(IF(E451&gt;=0.87,0,IF(E451&lt;=0.01,1,E451^2*'Reference Standards'!$N$15+E451*'Reference Standards'!$N$16+'Reference Standards'!$N$17)),2),IF($B419="68a",ROUND(IF(E451&gt;=0.81,0,IF(E451&lt;=0.01,1,E451^2*'Reference Standards'!$O$15+E451*'Reference Standards'!$O$16+'Reference Standards'!$O$17)),2),IF($B419="65abei",ROUND(IF(E451&gt;=0.67,0,IF(E451&lt;=0.01,1,IF(E451&lt;=0.18,E451*'Reference Standards'!$R$16+'Reference Standards'!$R$17,E451*'Reference Standards'!$P$16+'Reference Standards'!$P$17))),2),IF($B419="65j",ROUND(IF(E451&gt;=0.32,0,IF(E451&lt;=0.01,1,IF(E451&lt;=0.25,E451*'Reference Standards'!$S$16+'Reference Standards'!$S$17,E451*'Reference Standards'!$Q$16+'Reference Standards'!$Q$17))),2),IF($B419="71f",ROUND(IF(E451&gt;=3,0,IF(E451&lt;=0,1,IF(E451&lt;=0.01,0.7,E451^2*'Reference Standards'!$M$21+E451*'Reference Standards'!$M$22+'Reference Standards'!$M$23))),2),IF($B419="74a",ROUND(IF(E451&gt;=0.14,0,IF(E451&lt;=0.01,1,IF(E451&lt;=0.02,0.7,E451^2*'Reference Standards'!$N$21+E451*'Reference Standards'!$N$22+'Reference Standards'!$N$23))),2),IF(OR($B419="67fhi",$B419="67g"),ROUND(IF(E451&gt;=1.9,0,IF(E451&lt;=0.01,1,IF(E451&lt;=0.05,E451*'Reference Standards'!$Q$22+'Reference Standards'!$Q$23,E451^2*'Reference Standards'!$O$21+E451*'Reference Standards'!$O$22+'Reference Standards'!$O$23))),2),IF($B419="73a",ROUND(IF(E451&gt;=1.44,0,IF(E451&lt;=0.01,1,IF(E451&lt;=0.12,E451*'Reference Standards'!$R$22+'Reference Standards'!$R$23,E451^2*'Reference Standards'!$P$21+E451*'Reference Standards'!$P$22+'Reference Standards'!$P$23))),2),IF($B419="66d",ROUND(IF(E451&gt;=0.46,0,IF(E451&lt;=0.02,1,IF(E451&lt;=0.08,E451*'Reference Standards'!$Q$28+'Reference Standards'!$Q$29,E451^2*'Reference Standards'!$M$27+E451*'Reference Standards'!$M$28+'Reference Standards'!$M$29))),2),IF(OR($B419="71g",$B419="71h",$B419="71i"),ROUND(IF(E451&gt;=3,0,IF(E451&lt;=0.06,1,IF(E451&lt;=0.24,E451*'Reference Standards'!$R$28+'Reference Standards'!$R$29,E451^2*'Reference Standards'!$N$27+E451*'Reference Standards'!$N$28+'Reference Standards'!$N$29))),2),IF($B419="74b",ROUND(IF(E451&gt;=1.3,0,IF(E451&lt;=0.29,1,IF(E451&lt;=0.48,E451*'Reference Standards'!$S$28+'Reference Standards'!$S$29,E451^2*'Reference Standards'!$O$27+E451*'Reference Standards'!$O$28+'Reference Standards'!$O$29))),2),IF($B419="71e",ROUND(IF(E451&gt;=4.3,0,IF(E451&lt;=0.53,1,IF(E451&lt;=0.67,E451*'Reference Standards'!$T$28+'Reference Standards'!$T$29,E451^2*'Reference Standards'!$P$27+E451*'Reference Standards'!$P$28+'Reference Standards'!$P$29))),2)))))))))))))),IF($D416&gt;2.5,IF($B419="73a",ROUND(IF(E451&gt;=0.55,0,IF(E451&lt;=0,1,E451^2*'Reference Standards'!$M$39+E451*'Reference Standards'!$M$40+'Reference Standards'!$M$41)),2),IF($B419="68a",ROUND(IF(E451&gt;=0.54,0,IF(E451&lt;=0,1,IF(E451&lt;=0.01,0.85,E451^2*'Reference Standards'!$N$39+E451*'Reference Standards'!$N$40+'Reference Standards'!$N$41))),2),IF($B419="74a",ROUND(IF(E451&gt;=0.47,0,IF(E451&lt;=0.01,1,IF(E451&lt;=0.02,0.7,E451^2*'Reference Standards'!$O$39+E451*'Reference Standards'!$O$40+'Reference Standards'!$O$41))),2),IF($B419="69de",ROUND(IF(E451&gt;=0.26,0,IF(E451&lt;=0.01,1,IF(E451&lt;=0.02,0.85,E451^2*'Reference Standards'!$P$39+E451*'Reference Standards'!$P$40+'Reference Standards'!$P$41))),2),IF($B419="71f",ROUND(IF(E451&gt;=0.87,0,IF(E451&lt;=0.01,1,IF(E451&lt;=0.04,E451*'Reference Standards'!$Q$46+'Reference Standards'!$Q$47,E451^2*'Reference Standards'!$M$45+E451*'Reference Standards'!$M$46+'Reference Standards'!$M$47))),2),IF($B419="65abei",ROUND(IF(E451&gt;=0.82,0,IF(E451&lt;=0.01,1,IF(E451&lt;=0.06,E451*'Reference Standards'!$R$46+'Reference Standards'!$R$47,E451^2*'Reference Standards'!$N$45+E451*'Reference Standards'!$N$46+'Reference Standards'!$N$47))),2),IF($B419="65j",ROUND(IF(E451&gt;=0.33,0,IF(E451&lt;=0.03,1,IF(E451&lt;=0.09,E451*'Reference Standards'!$S$46+'Reference Standards'!$S$47,E451^2*'Reference Standards'!$O$45+E451*'Reference Standards'!$O$46+'Reference Standards'!$O$47))),2),IF($B419="68c",ROUND(IF(E451&gt;=0.7,0,IF(E451&lt;=0.07,1,IF(E451&lt;=0.12,E451*'Reference Standards'!$T$46+'Reference Standards'!$T$47,E451^2*'Reference Standards'!$P$45+E451*'Reference Standards'!$P$46+'Reference Standards'!$P$47))),2),IF(OR($B419="67fhi",$B419="67g"),ROUND(IF(E451&gt;=1.8,0,IF(E451&lt;=0.08,1,IF(E451&lt;=0.2,E451*'Reference Standards'!$Q$52+'Reference Standards'!$Q$53,E451^2*'Reference Standards'!$M$51+E451*'Reference Standards'!$M$52+'Reference Standards'!$M$53))),2),IF($B419="74b",ROUND(IF(E451&gt;=0.96,0,IF(E451&lt;=0.12,1,IF(E451&lt;=0.16,E451*'Reference Standards'!$R$52+'Reference Standards'!$R$53,E451^2*'Reference Standards'!$N$51+E451*'Reference Standards'!$N$52+'Reference Standards'!$N$53))),2),IF($B419="66d",ROUND(IF(E451&gt;=0.75,0,IF(E451&lt;=0.13,1,IF(E451&lt;=0.2,E451*'Reference Standards'!$S$52+'Reference Standards'!$S$53,E451^2*'Reference Standards'!$O$51+E451*'Reference Standards'!$O$52+'Reference Standards'!$O$53))),2),IF(OR($B419="71g",$B419="71h",$B419="71i"),ROUND(IF(E451&gt;=1.68,0,IF(E451&lt;=0.08,1,IF(E451&lt;=0.23,E451*'Reference Standards'!$T$52+'Reference Standards'!$T$53,E451^2*'Reference Standards'!$P$51+E451*'Reference Standards'!$P$52+'Reference Standards'!$P$53))),2),IF($B419="71e",ROUND(IF(E451&gt;=5.3,0,IF(E451&lt;=0.94,1,IF(E451&lt;=1.4,E451*'Reference Standards'!$Q$56+'Reference Standards'!$Q$57,E451^2*'Reference Standards'!$M$55+E451*'Reference Standards'!$M$56+'Reference Standards'!$M$57))),2))))))))))))))))))))))</f>
        <v>0.8</v>
      </c>
      <c r="G451" s="48">
        <f t="shared" ref="G451:G452" si="9">IFERROR(ROUND(AVERAGE(F451),2),"")</f>
        <v>0.8</v>
      </c>
      <c r="H451" s="329"/>
      <c r="I451" s="358"/>
      <c r="J451" s="315"/>
    </row>
    <row r="452" spans="1:10" ht="15.6" x14ac:dyDescent="0.3">
      <c r="A452" s="327"/>
      <c r="B452" s="78" t="s">
        <v>68</v>
      </c>
      <c r="C452" s="21" t="s">
        <v>239</v>
      </c>
      <c r="D452" s="21"/>
      <c r="E452" s="36"/>
      <c r="F452" s="103">
        <f>IF(ISNUMBER(E450),"", IF(D419="Ephemeral","",IF(E452="",IF(G416="Yes",1,0.8), IF(ISNUMBER($D416), IF($D416&gt;2.5,IF(OR($B419="71h",$B419="71i",$B419="73a",$B419="74a"),IF(E452&lt;=0.01,1,IF(OR($B419="71h",$B419="71i"),IF(E452&gt;0.37,0,ROUND(IF(E452&gt;0.03,'Reference Standards'!$M$73*E452^2+'Reference Standards'!$M$74*E452+'Reference Standards'!$M$75,'Reference Standards'!$Q$74*E452+'Reference Standards'!$Q$75),2)),IF($B419="73a",IF(E452&gt;0.405,0,ROUND(IF(E452&gt;0.046,'Reference Standards'!$N$73*E452^2+'Reference Standards'!$N$74*E452+'Reference Standards'!$N$75,'Reference Standards'!$R$74*E452+'Reference Standards'!$R$75),2)),IF($B419="74a",IF(E452&gt;0.3,0,ROUND(IF(E452&gt;0.052,'Reference Standards'!$O$73*E452^2+'Reference Standards'!$O$74*E452+'Reference Standards'!$O$75,'Reference Standards'!$S$74*E452+'Reference Standards'!$S$75),2)))))),IF(E452&lt;=0.002,1,IF(OR($B419="66d",$B419="66e",$B419="66g"),IF(E452&gt;0.053,0,ROUND(E452^2*'Reference Standards'!$M$61+E452*'Reference Standards'!$M$62+'Reference Standards'!$M$63,2)),IF($B419="68b",IF(E452&gt;0.05,0,ROUND(E452^2*'Reference Standards'!$N$61+E452*'Reference Standards'!$N$62+'Reference Standards'!$N$63,2)),IF(OR($B419="68a",$B419="68c"),IF(E452&gt;0.07,0,ROUND(E452^2*'Reference Standards'!$O$61+E452*'Reference Standards'!$O$62+'Reference Standards'!$O$63,2)),IF(OR($B419="71f",$B419="71g"),IF(E452&gt;0.13,0,ROUND(IF(E452&gt;0.042,E452*'Reference Standards'!$P$62+'Reference Standards'!$P$63,E452*'Reference Standards'!$Q$62+'Reference Standards'!$Q$63),2)),IF($B419="67fhi",IF(E452&gt;0.16,0,ROUND(E452^2*'Reference Standards'!$R$61+E452*'Reference Standards'!$R$62+'Reference Standards'!$R$63,2)),IF($B419="65j",IF(E452&gt;0.035,0,ROUND(IF(E452&lt;=0.003,0.7,E452^2*'Reference Standards'!$M$67+E452*'Reference Standards'!$M$68+'Reference Standards'!$M$69),2)),IF($B419="69de",IF(E452&gt;0.037,0,ROUND(IF(E452&lt;=0.003,0.7,E452^2*'Reference Standards'!$N$67+E452*'Reference Standards'!$N$68+'Reference Standards'!$N$69),2)),IF($B419="71e",IF(E452&gt;0.23,0,ROUND(IF(E452&lt;=0.003,0.7,E452^2*'Reference Standards'!$O$67+E452*'Reference Standards'!$O$68+'Reference Standards'!$O$69),2)),IF($B419="66f",IF(E452&gt;0.06,0,ROUND(IF(E452&lt;=0.003,0.85,IF(E452&lt;=0.004,0.7,E452^2*'Reference Standards'!$P$67+E452*'Reference Standards'!$P$68+'Reference Standards'!$P$69)),2)),IF($B419="67g",IF(E452&gt;0.11,0,ROUND(IF(E452&lt;=0.01,E452*'Reference Standards'!$S$68+'Reference Standards'!$S$69,E452^2*'Reference Standards'!$Q$67+E452*'Reference Standards'!$Q$68+'Reference Standards'!$Q$69),2)),IF($B419="74b",IF(E452&gt;0.49,0,ROUND(IF(E452&lt;=0.01,E452*'Reference Standards'!$S$68+'Reference Standards'!$S$69,E452^2*'Reference Standards'!$R$67+E452*'Reference Standards'!$R$68+'Reference Standards'!$R$69),2)),IF($B419="65abei",IF(E452&gt;0.199,0,ROUND(IF(E452&lt;=0.01,E452*'Reference Standards'!$T$74+'Reference Standards'!$T$75,E452^2*'Reference Standards'!$P$73+E452*'Reference Standards'!$P$74+'Reference Standards'!$P$75),2)))))))))))))))),IF($D416&lt;=2.5,IF(OR($B419="66d",$B419="66e",$B419="66g"),IF(E452&gt;0.05,0,ROUND(IF(E452&lt;=0.002,1,IF(E452&lt;=0.005,E452*'Reference Standards'!$Q$80+'Reference Standards'!$Q$81,E452^2*'Reference Standards'!$M$79+E452*'Reference Standards'!$M$80+'Reference Standards'!$M$81)),2)),IF($B419="67fhi",IF(E452&gt;0.1,0,ROUND(IF(E452&lt;=0.002,1,IF(E452&lt;=0.006,E452*'Reference Standards'!$R$80+'Reference Standards'!$R$81,E452^2*'Reference Standards'!$N$79+E452*'Reference Standards'!$N$80+'Reference Standards'!$N$81)),2)),IF($B419="65abei",IF(E452&gt;0.13,0,ROUND(IF(E452&lt;=0.003,1,IF(E452&lt;=0.008,E452*'Reference Standards'!$S$80+'Reference Standards'!$S$81,E452^2*'Reference Standards'!$O$79+E452*'Reference Standards'!$O$80+'Reference Standards'!$O$81)),2)),IF($B419="68b",IF(E452&gt;0.043,0,ROUND(IF(E452&lt;=0.004,1,IF(E452&lt;=0.005,0.7,E452^2*'Reference Standards'!$P$79+E452*'Reference Standards'!$P$80+'Reference Standards'!$P$81)),2)),IF($B419="69de",IF(E452&gt;=0.034,0,ROUND(IF(E452&lt;=0.003,1,IF(E452&lt;=0.006,E452*'Reference Standards'!$R$85+'Reference Standards'!$R$86,E452*'Reference Standards'!$M$85+'Reference Standards'!$M$86)),2)),IF(OR($B419="68a",$B419="68c"),IF(E452&gt;0.202,0,ROUND(IF(E452&lt;=0.003,1,IF(E452&lt;=0.006,E452*'Reference Standards'!$R$85+'Reference Standards'!$R$86,IF(E452&gt;=0.04,E452*'Reference Standards'!$N$85+'Reference Standards'!$N$86,E452*'Reference Standards'!$P$85+'Reference Standards'!$P$86))),2)),IF(OR($B419="71f",$B419="71g"),IF(E452&gt;0.631,0,ROUND(IF(E452&lt;=0.003,1,IF(E452&lt;=0.006,E452*'Reference Standards'!$R$85+'Reference Standards'!$R$86,IF(E452&gt;=0.17,E452*'Reference Standards'!$O$85+'Reference Standards'!$O$86,E452*'Reference Standards'!$Q$85+'Reference Standards'!$Q$86))),2)),IF($B419="71e",IF(E452&gt;1.23,0,ROUND(IF(E452&lt;=0.004,1,IF(E452&lt;=0.006,E452*'Reference Standards'!$Q$91+'Reference Standards'!$Q$92,E452^2*'Reference Standards'!$M$90+E452*'Reference Standards'!$M$91+'Reference Standards'!$M$92)),2)),IF($B419="67g",IF(E452&gt;0.11,0,ROUND(IF(E452&lt;=0.006,1,IF(E452&lt;=0.011,E452*'Reference Standards'!$R$91+'Reference Standards'!$R$92,E452^2*'Reference Standards'!$N$90+E452*'Reference Standards'!$N$91+'Reference Standards'!$N$92)),2)),IF($B419="65j",IF(E452&gt;0.046,0,ROUND(IF(E452&lt;=0.007,1,IF(E452&lt;=0.012,E452*'Reference Standards'!$S$91+'Reference Standards'!$S$92,E452^2*'Reference Standards'!$O$90+E452*'Reference Standards'!$O$91+'Reference Standards'!$O$92)),2)),IF($B419="66f",IF(E452&gt;0.081,0,ROUND(IF(E452&lt;=0.008,1,IF(E452&lt;=0.011,E452*'Reference Standards'!$T$91+'Reference Standards'!$T$92,E452^2*'Reference Standards'!$P$90+E452*'Reference Standards'!$P$91+'Reference Standards'!$P$92)),2)),IF(OR($B419="71h",$B419="71i"),IF(E452&gt;0.37,0,ROUND(IF(E452&lt;=0.013,1,IF(E452&lt;=0.032,E452*'Reference Standards'!$S$98+'Reference Standards'!$S$99,IF(E452&lt;=0.3,E452*'Reference Standards'!$Q$98+'Reference Standards'!$Q$99,E452*'Reference Standards'!$M$98+'Reference Standards'!$M$99))),2)),IF($B419="73a",IF(E452&gt;0.448,0,ROUND(IF(E452&lt;=0.071,1,IF(E452&lt;=0.086,E452*'Reference Standards'!$U$98+'Reference Standards'!$U$99,IF(E452&lt;=0.165,E452*'Reference Standards'!$R$98+'Reference Standards'!$R$99,E452*'Reference Standards'!$P$98+'Reference Standards'!$P$99))),2)),IF($B419="74b",IF(E452&gt;0.43,0,ROUND(IF(E452&lt;=0.018,1,IF(E452&lt;=0.019,0.85,IF(E452&lt;=0.02,0.7,E452^2*'Reference Standards'!$N$97+E452*'Reference Standards'!$N$98+'Reference Standards'!$N$99))),2)),IF($B419="74a",IF(E452&gt;0.217,0,ROUND(IF(E452&lt;=0.02,1,IF(E452&lt;=0.033,E452*'Reference Standards'!$T$98+'Reference Standards'!$T$99,E452^2*'Reference Standards'!$O$97+E452*'Reference Standards'!$O$98+'Reference Standards'!$O$99)),2)))))))))))))))))))))))</f>
        <v>0.8</v>
      </c>
      <c r="G452" s="48">
        <f t="shared" si="9"/>
        <v>0.8</v>
      </c>
      <c r="H452" s="330"/>
      <c r="I452" s="359"/>
      <c r="J452" s="315"/>
    </row>
    <row r="453" spans="1:10" ht="15.75" customHeight="1" x14ac:dyDescent="0.3">
      <c r="A453" s="333" t="s">
        <v>56</v>
      </c>
      <c r="B453" s="341" t="s">
        <v>287</v>
      </c>
      <c r="C453" s="33" t="s">
        <v>278</v>
      </c>
      <c r="D453" s="34"/>
      <c r="E453" s="43"/>
      <c r="F453" s="105">
        <f>IF(OR(D419="Ephemeral",AND(E454&lt;&gt;"",E455&lt;&gt;"",E456&lt;&gt;"")),"",IF(E453="",IF(G416="Yes",1,0.8),IF(OR(B419="73a",B419="73b"),IF(E453&lt;1,0,IF(E453&gt;=30,1,ROUND(IF(E453&lt;22,'Reference Standards'!$W$4*E453+'Reference Standards'!$W$5,'Reference Standards'!$X$4*E453+'Reference Standards'!$X$5),2))), IF(E453&lt;1,0, IF(E453&gt;=42,1, ROUND(IF(E453&lt;32,'Reference Standards'!$Y$4*E453+'Reference Standards'!$Y$5,'Reference Standards'!$Z$4*E453+'Reference Standards'!$Z$5),2))))))</f>
        <v>0.8</v>
      </c>
      <c r="G453" s="356">
        <f>IFERROR(ROUND(AVERAGE(F453:F456),2),"")</f>
        <v>0.8</v>
      </c>
      <c r="H453" s="336">
        <f>IFERROR(ROUND(AVERAGE(G453:G458),2),"")</f>
        <v>0.8</v>
      </c>
      <c r="I453" s="314" t="str">
        <f>IF(H453="","",IF(H453&gt;0.69,"Functioning",IF(H453&gt;0.29,"Functioning At Risk",IF(H453&gt;-1,"Not Functioning"))))</f>
        <v>Functioning</v>
      </c>
      <c r="J453" s="315"/>
    </row>
    <row r="454" spans="1:10" ht="15.6" x14ac:dyDescent="0.3">
      <c r="A454" s="334"/>
      <c r="B454" s="342"/>
      <c r="C454" s="45" t="s">
        <v>282</v>
      </c>
      <c r="D454" s="46"/>
      <c r="E454" s="42"/>
      <c r="F454" s="106" t="str">
        <f>IF(D419="Ephemeral","",IF(E454="","",IF(AND($B419="74b",$D416&lt;=2),IF(E454&lt;0,0,IF(E454&gt;15.6,0.69,ROUND('Reference Standards'!$W$9*E454^2+'Reference Standards'!$W$10*E454+'Reference Standards'!$W$11,2))),IF(AND($B419="65abei",$D416&lt;=2),IF(E454&lt;0,0,IF(E454&gt;=20,0.69,ROUND('Reference Standards'!$X$9*E454^2+'Reference Standards'!$X$10*E454+'Reference Standards'!$X$11,2))),IF(OR(AND($B419="74a",$D$2&gt;2,$G417="January - June"),AND($B419="71i",$D416&gt;2,$G418="SQBANK")),IF(E454&lt;0,0,IF(E454&gt;24.7,0.69,ROUND('Reference Standards'!$Y$9*E454^2+'Reference Standards'!$Y$10*E454+'Reference Standards'!$Y$11,2))),IF(OR($B419="74b",$B419="65abei"),IF(E454&lt;0,0,IF(E454&gt;32.7,0.69,ROUND('Reference Standards'!$Z$9*E454^2+'Reference Standards'!$Z$10*E454+'Reference Standards'!$Z$11,2))),IF(AND($B419="68b",$D416&gt;2),IF(E454&lt;0,0,IF(E454&gt;41.2,0.69,ROUND('Reference Standards'!$AA$9*E454^2+'Reference Standards'!$AA$10*E454+'Reference Standards'!$AA$11,2))),IF(OR(AND($B419="71i",$D416&lt;=2),AND(OR($B419="68c",$B419="68d"),$G417="January - June")),IF(E454&lt;0,0,IF(E454&gt;49.2,0.69,ROUND('Reference Standards'!$W$15*E454^2+'Reference Standards'!$W$16*E454+'Reference Standards'!$W$17,2))),IF(OR(AND($B419="68a",$G417="January - June"),AND(OR($B419="68c",$B419="68d"),$G417="July - December")),IF(E454&lt;0,0,IF(E454&gt;53.4,0.69,ROUND('Reference Standards'!$X$15*E454^2+'Reference Standards'!$X$16*E454+'Reference Standards'!$X$17,2))),IF(OR(AND($B419="71i",$D416&gt;2,$G418="SQKICK"),AND(OR($B419="67fhi",$B419="67g"),$D416&lt;=2),$B419="65j"),IF(E454&lt;0,0,IF(E454&gt;57.8,0.69,ROUND('Reference Standards'!$Y$15*E454^2+'Reference Standards'!$Y$16*E454+'Reference Standards'!$Y$17,2))),IF(OR(AND($B419="74a",$D416&gt;2,$G417="July - December"),AND(OR($B419="67fhi",$B419="67g"),$D416&gt;2),$B419="69de"),IF(E454&lt;0,0,IF(E454&gt;62.5,0.69,ROUND('Reference Standards'!$Z$15*E454^2+'Reference Standards'!$Z$16*E454+'Reference Standards'!$Z$17,2))),  IF(OR($B419="66d",$B419="66e",$B419="66ik",$B419="71e",$B419="71f",$B419="71g",$B419="71h"),IF(E454&lt;0,0,IF(E454&gt;66.5,0.69,ROUND('Reference Standards'!$AA$15*E454^2+'Reference Standards'!$AA$16*E454+'Reference Standards'!$AA$17,2))),IF(OR($B419="66f",$B419="66g",$B419="66j",AND($B419="68a",$G417="July - December")), IF(E454&lt;0,0,IF(E454&gt;69,0.69,ROUND('Reference Standards'!$AB$15*E454^2+'Reference Standards'!$AB$16*E454+'Reference Standards'!$AB$17,2))))   ))))))))))))</f>
        <v/>
      </c>
      <c r="G454" s="356"/>
      <c r="H454" s="336"/>
      <c r="I454" s="314"/>
      <c r="J454" s="315"/>
    </row>
    <row r="455" spans="1:10" ht="15.6" x14ac:dyDescent="0.3">
      <c r="A455" s="334"/>
      <c r="B455" s="342"/>
      <c r="C455" s="45" t="s">
        <v>286</v>
      </c>
      <c r="D455" s="46"/>
      <c r="E455" s="42"/>
      <c r="F455" s="106" t="str">
        <f>IF(D419="Ephemeral","",IF(E455="","",IF(AND($B419="74b",$D416&lt;=2),IF(E455&lt;0,0,IF(E455&gt;8.1,0.69,ROUND('Reference Standards'!$W$21*E455^2+'Reference Standards'!$W$22*E455+'Reference Standards'!$W$23,2))),IF(OR($B419="73a",$B419="73b"),IF(E455&lt;0,0,IF(E455&gt;=28,0.69,ROUND('Reference Standards'!$X$21*E455^2+'Reference Standards'!$X$22*E455+'Reference Standards'!$X$23,2))),IF(AND($B419="74a",$D416&gt;2,$G417="January - June"),IF(E455&lt;0,0,IF(E455&gt;=32.5,0.69,ROUND('Reference Standards'!$Y$21*E455^2+'Reference Standards'!$Y$22*E455+'Reference Standards'!$Y$23,2))),IF(AND($B419="71i",$D416&gt;2,$G418="SQBANK"),IF(E455&lt;0,0,IF(E455&gt;=37,0.69,ROUND('Reference Standards'!$Z$21*E455^2+'Reference Standards'!$Z$22*E455+'Reference Standards'!$Z$23,2))),IF(OR(AND(OR($B419="65abei",$B419="74b"),$D416&gt;2),AND($B419="71i",$D416&gt;2,$G418="SQKICK")),IF(E455&lt;0,0,IF(E455&gt;42.6,0.69,ROUND('Reference Standards'!$AA$21*E455^2+'Reference Standards'!$AA$22*E455+'Reference Standards'!$AA$23,2))),     IF(OR(AND($B419="65abei",$D416&lt;=2),AND(OR($B419="68c",$B419="68d"),$G417="July - December"),$B419="71e"),IF(E455&lt;0,0,IF(E455&gt;=48,0.69,ROUND('Reference Standards'!$W$27*E455^2+'Reference Standards'!$W$28*E455+'Reference Standards'!$W$29,2))),IF(OR($B419="65j",$B419="67fhi",$B419="67g",AND($B419="74a",$G417="July - December",$D416&gt;2),AND($B419="71i",$D416&lt;=2)),IF(E455&lt;0,0,IF(E455&gt;=53,0.69,ROUND('Reference Standards'!$X$27*E455^2+'Reference Standards'!$X$28*E455+'Reference Standards'!$X$29,2))),IF(OR(AND(OR($B419="68b",$B419="71f",$B419="71g",$B419="71h"),$D416&gt;2),$B419="68a"),IF(E455&lt;0,0,IF(E455&gt;=57,0.69,ROUND('Reference Standards'!$Y$27*E455^2+'Reference Standards'!$Y$28*E455+'Reference Standards'!$Y$29,2))),IF(OR($B419="66f",$B419="66g",$B419="66j",AND(OR($B419="71f",$B419="71g",$B419="71h"),$D416&lt;=2)),IF(E455&lt;0,0,IF(E455&gt;=60,0.69,ROUND('Reference Standards'!$Z$27*E455^2+'Reference Standards'!$Z$28*E455+'Reference Standards'!$Z$29,2))),  IF(OR($B419="66d",$B419="66e",$B419="66ik", AND(OR($B419="68c",$B419="68d"),$G417="January - June"),AND($B419="69de",$G417="July - December")),IF(E455&lt;0,0,IF(E455&gt;=67.5,0.69,ROUND('Reference Standards'!$AA$27*E455^2+'Reference Standards'!$AA$28*E455+'Reference Standards'!$AA$29,2))),IF(AND($B419="69de",$G417="January - June"), IF(E455&lt;0,0,IF(E455&gt;=72,0.69,ROUND('Reference Standards'!$AB$27*E455^2+'Reference Standards'!$AB$28*E455+'Reference Standards'!$AB$29,2))))   ))))))))))))</f>
        <v/>
      </c>
      <c r="G455" s="356"/>
      <c r="H455" s="336"/>
      <c r="I455" s="314"/>
      <c r="J455" s="315"/>
    </row>
    <row r="456" spans="1:10" ht="15.6" x14ac:dyDescent="0.3">
      <c r="A456" s="334"/>
      <c r="B456" s="343"/>
      <c r="C456" s="35" t="s">
        <v>283</v>
      </c>
      <c r="D456" s="25"/>
      <c r="E456" s="44"/>
      <c r="F456" s="106" t="str">
        <f>IF(D419="Ephemeral","",IF(E456="","",IF(OR($B419="67fhi",$B419="67g",$B419="71e",$B419="73a",$B419="73b",AND(OR($B419="71f",$B419="71g",$B419="71h"),$D416&gt;2)),IF(E456&gt;100,0,IF(E456&lt;15,0.69,ROUND('Reference Standards'!$W$33*E456^2+'Reference Standards'!$W$34*E456+'Reference Standards'!$W$35,2))),  IF(OR($B419="66d",$B419="66e",$B419="66ik",$B419="66f",$B419="66g",$B419="66j",$B419="68a",$B419="68c",$B419="68d",AND($B419="69de",$G417="July - December"), AND($B419="71i",$D416&lt;=2), AND($B419="71i",$D416&gt;2,$G418="SQBANK" ), AND($B419="74a",$D416&gt;2,$G417="July - December") ),IF(E456&gt;100,0,IF(E456&lt;19,0.69,ROUND('Reference Standards'!$X$33*E456^2+'Reference Standards'!$X$34*E456+'Reference Standards'!$X$35,2))),    IF(OR(AND($B419="69de",$G417="January - June"),AND($B419="71i",$D416&gt;2,$G418="SQKICK" )),IF(E456&gt;100,0,IF(E456&lt;22,0.69,ROUND('Reference Standards'!$Y$33*E456^2+'Reference Standards'!$Y$34*E456+'Reference Standards'!$Y$35,2))),    IF(OR($B419="65j",AND($B419="68b",$D416&gt;2)),IF(E456&gt;100,0,IF(E456&lt;24,0.69,ROUND('Reference Standards'!$Z$33*E456^2+'Reference Standards'!$Z$34*E456+'Reference Standards'!$Z$35,2))),    IF(AND(OR($B419="65abei",$B419="71f",$B419="71g",$B419="71h"),$D416&lt;=2),IF(E456&gt;95,0,IF(E456&lt;33,0.69,ROUND('Reference Standards'!$W$39*E456^2+'Reference Standards'!$W$40*E456+'Reference Standards'!$W$41,2))),   IF(AND(OR($B419="65abei",$B419="74b"),$D416&gt;2),IF(E456&gt;97,0,IF(E456&lt;36,0.69,ROUND('Reference Standards'!$X$39*E456^2+'Reference Standards'!$X$40*E456+'Reference Standards'!$X$41,2))),  IF(AND($B419="74a",$G417="January - June",$D416&gt;2),IF(E456&gt;93,0,IF(E456&lt;52,0.69,ROUND('Reference Standards'!$Y$39*E456^2+'Reference Standards'!$Y$40*E456+'Reference Standards'!$Y$41,2))),   IF(AND($B419="74b",$D416&lt;=2),IF(E456&gt;97,0,IF(E456&lt;62,0.69,ROUND('Reference Standards'!$Z$39*E456^2+'Reference Standards'!$Z$40*E456+'Reference Standards'!$Z$41,2)))  ))))))))))</f>
        <v/>
      </c>
      <c r="G456" s="356"/>
      <c r="H456" s="336"/>
      <c r="I456" s="314"/>
      <c r="J456" s="315"/>
    </row>
    <row r="457" spans="1:10" ht="15.6" x14ac:dyDescent="0.3">
      <c r="A457" s="334"/>
      <c r="B457" s="337" t="s">
        <v>65</v>
      </c>
      <c r="C457" s="33" t="s">
        <v>174</v>
      </c>
      <c r="D457" s="34"/>
      <c r="E457" s="36"/>
      <c r="F457" s="105" t="str">
        <f>IF(D419="Ephemeral","",IF(E457="","",IF(E457=1,0.15,IF(E457=3,0.5,IF(E457=5,0.85,0)))))</f>
        <v/>
      </c>
      <c r="G457" s="338" t="str">
        <f>IFERROR(ROUND(AVERAGE(F457:F458),2),"")</f>
        <v/>
      </c>
      <c r="H457" s="336"/>
      <c r="I457" s="314"/>
      <c r="J457" s="315"/>
    </row>
    <row r="458" spans="1:10" ht="15.6" x14ac:dyDescent="0.3">
      <c r="A458" s="335"/>
      <c r="B458" s="337"/>
      <c r="C458" s="35" t="s">
        <v>279</v>
      </c>
      <c r="D458" s="25"/>
      <c r="E458" s="41"/>
      <c r="F458" s="107" t="str">
        <f>IF(D419="Ephemeral","",IF(E458="","",IF(E458=1,0.15,IF(E458=3,0.5,IF(E458=5,0.85,0)))))</f>
        <v/>
      </c>
      <c r="G458" s="339"/>
      <c r="H458" s="336"/>
      <c r="I458" s="314"/>
      <c r="J458" s="315"/>
    </row>
  </sheetData>
  <sheetProtection algorithmName="SHA-512" hashValue="09+RLxfrAiRHdqMqP6CO3NOaHtRluRD97eYEGmstBLDYYoQGyQM/+aEmCdOXWu7bUU5WS/r5K5xDli9UACKNOQ==" saltValue="ybcx9DzAPf4cfK3DN8+r0w==" spinCount="100000" sheet="1" formatColumns="0" formatRows="0"/>
  <dataConsolidate/>
  <mergeCells count="402">
    <mergeCell ref="G365:G366"/>
    <mergeCell ref="E373:F373"/>
    <mergeCell ref="E326:F326"/>
    <mergeCell ref="E327:F327"/>
    <mergeCell ref="A381:A402"/>
    <mergeCell ref="B381:B382"/>
    <mergeCell ref="E372:F372"/>
    <mergeCell ref="B383:B386"/>
    <mergeCell ref="G383:G386"/>
    <mergeCell ref="B387:B396"/>
    <mergeCell ref="G387:G396"/>
    <mergeCell ref="B398:B401"/>
    <mergeCell ref="G398:G401"/>
    <mergeCell ref="A375:F375"/>
    <mergeCell ref="G375:J375"/>
    <mergeCell ref="C376:D376"/>
    <mergeCell ref="A357:A360"/>
    <mergeCell ref="H357:H360"/>
    <mergeCell ref="I357:I360"/>
    <mergeCell ref="A361:A366"/>
    <mergeCell ref="B361:B364"/>
    <mergeCell ref="G361:G364"/>
    <mergeCell ref="H361:H366"/>
    <mergeCell ref="I361:I366"/>
    <mergeCell ref="J377:J412"/>
    <mergeCell ref="A453:A458"/>
    <mergeCell ref="B453:B456"/>
    <mergeCell ref="G453:G456"/>
    <mergeCell ref="H453:H458"/>
    <mergeCell ref="I453:I458"/>
    <mergeCell ref="B457:B458"/>
    <mergeCell ref="G457:G458"/>
    <mergeCell ref="A421:F421"/>
    <mergeCell ref="G421:J421"/>
    <mergeCell ref="C422:D422"/>
    <mergeCell ref="J423:J458"/>
    <mergeCell ref="A425:A426"/>
    <mergeCell ref="B425:B426"/>
    <mergeCell ref="G425:G426"/>
    <mergeCell ref="H425:H426"/>
    <mergeCell ref="I425:I426"/>
    <mergeCell ref="A427:A448"/>
    <mergeCell ref="B427:B428"/>
    <mergeCell ref="G427:G428"/>
    <mergeCell ref="H427:H448"/>
    <mergeCell ref="I427:I448"/>
    <mergeCell ref="B429:B432"/>
    <mergeCell ref="B444:B447"/>
    <mergeCell ref="A449:A452"/>
    <mergeCell ref="H449:H452"/>
    <mergeCell ref="I449:I452"/>
    <mergeCell ref="H377:H378"/>
    <mergeCell ref="I377:I378"/>
    <mergeCell ref="A379:A380"/>
    <mergeCell ref="B379:B380"/>
    <mergeCell ref="G379:G380"/>
    <mergeCell ref="H379:H380"/>
    <mergeCell ref="I379:I380"/>
    <mergeCell ref="A377:A378"/>
    <mergeCell ref="G381:G382"/>
    <mergeCell ref="H381:H402"/>
    <mergeCell ref="I381:I402"/>
    <mergeCell ref="A403:A406"/>
    <mergeCell ref="H403:H406"/>
    <mergeCell ref="I403:I406"/>
    <mergeCell ref="A407:A412"/>
    <mergeCell ref="B407:B410"/>
    <mergeCell ref="G407:G410"/>
    <mergeCell ref="I407:I412"/>
    <mergeCell ref="B411:B412"/>
    <mergeCell ref="G411:G412"/>
    <mergeCell ref="G433:G442"/>
    <mergeCell ref="G333:G334"/>
    <mergeCell ref="H333:H334"/>
    <mergeCell ref="I333:I334"/>
    <mergeCell ref="A335:A356"/>
    <mergeCell ref="B335:B336"/>
    <mergeCell ref="G335:G336"/>
    <mergeCell ref="H335:H356"/>
    <mergeCell ref="I335:I356"/>
    <mergeCell ref="G444:G447"/>
    <mergeCell ref="A423:A424"/>
    <mergeCell ref="H423:H424"/>
    <mergeCell ref="I423:I424"/>
    <mergeCell ref="B365:B366"/>
    <mergeCell ref="E418:F418"/>
    <mergeCell ref="E419:F419"/>
    <mergeCell ref="G429:G432"/>
    <mergeCell ref="B433:B442"/>
    <mergeCell ref="H407:H412"/>
    <mergeCell ref="H373:I373"/>
    <mergeCell ref="A415:J415"/>
    <mergeCell ref="H416:I416"/>
    <mergeCell ref="H417:I417"/>
    <mergeCell ref="H418:I418"/>
    <mergeCell ref="H419:I419"/>
    <mergeCell ref="J285:J320"/>
    <mergeCell ref="B291:B294"/>
    <mergeCell ref="G291:G294"/>
    <mergeCell ref="B295:B304"/>
    <mergeCell ref="G295:G304"/>
    <mergeCell ref="B306:B309"/>
    <mergeCell ref="G306:G309"/>
    <mergeCell ref="A285:A286"/>
    <mergeCell ref="H285:H286"/>
    <mergeCell ref="I285:I286"/>
    <mergeCell ref="A311:A314"/>
    <mergeCell ref="H311:H314"/>
    <mergeCell ref="I311:I314"/>
    <mergeCell ref="A315:A320"/>
    <mergeCell ref="B315:B318"/>
    <mergeCell ref="G315:G318"/>
    <mergeCell ref="H315:H320"/>
    <mergeCell ref="I315:I320"/>
    <mergeCell ref="B319:B320"/>
    <mergeCell ref="G319:G320"/>
    <mergeCell ref="A287:A288"/>
    <mergeCell ref="B287:B288"/>
    <mergeCell ref="G287:G288"/>
    <mergeCell ref="H287:H288"/>
    <mergeCell ref="I287:I288"/>
    <mergeCell ref="A289:A310"/>
    <mergeCell ref="B289:B290"/>
    <mergeCell ref="G289:G290"/>
    <mergeCell ref="H289:H310"/>
    <mergeCell ref="I289:I310"/>
    <mergeCell ref="C284:D284"/>
    <mergeCell ref="H281:I281"/>
    <mergeCell ref="A243:A264"/>
    <mergeCell ref="B243:B244"/>
    <mergeCell ref="G243:G244"/>
    <mergeCell ref="H243:H264"/>
    <mergeCell ref="I243:I264"/>
    <mergeCell ref="A265:A268"/>
    <mergeCell ref="H265:H268"/>
    <mergeCell ref="I265:I268"/>
    <mergeCell ref="A269:A274"/>
    <mergeCell ref="B269:B272"/>
    <mergeCell ref="G269:G272"/>
    <mergeCell ref="H269:H274"/>
    <mergeCell ref="I269:I274"/>
    <mergeCell ref="B273:B274"/>
    <mergeCell ref="G273:G274"/>
    <mergeCell ref="G237:J237"/>
    <mergeCell ref="C238:D238"/>
    <mergeCell ref="A283:F283"/>
    <mergeCell ref="G283:J283"/>
    <mergeCell ref="J239:J274"/>
    <mergeCell ref="B245:B248"/>
    <mergeCell ref="G245:G248"/>
    <mergeCell ref="B249:B258"/>
    <mergeCell ref="G249:G258"/>
    <mergeCell ref="B260:B263"/>
    <mergeCell ref="G260:G263"/>
    <mergeCell ref="A239:A240"/>
    <mergeCell ref="H239:H240"/>
    <mergeCell ref="I239:I240"/>
    <mergeCell ref="A241:A242"/>
    <mergeCell ref="B241:B242"/>
    <mergeCell ref="E280:F280"/>
    <mergeCell ref="E281:F281"/>
    <mergeCell ref="A277:J277"/>
    <mergeCell ref="H278:I278"/>
    <mergeCell ref="H279:I279"/>
    <mergeCell ref="H280:I280"/>
    <mergeCell ref="I219:I222"/>
    <mergeCell ref="A223:A228"/>
    <mergeCell ref="B223:B226"/>
    <mergeCell ref="G223:G226"/>
    <mergeCell ref="H223:H228"/>
    <mergeCell ref="I223:I228"/>
    <mergeCell ref="B227:B228"/>
    <mergeCell ref="G227:G228"/>
    <mergeCell ref="H241:H242"/>
    <mergeCell ref="I241:I242"/>
    <mergeCell ref="E234:F234"/>
    <mergeCell ref="E235:F235"/>
    <mergeCell ref="G241:G242"/>
    <mergeCell ref="A231:J231"/>
    <mergeCell ref="H232:I232"/>
    <mergeCell ref="H233:I233"/>
    <mergeCell ref="H234:I234"/>
    <mergeCell ref="H235:I235"/>
    <mergeCell ref="J193:J228"/>
    <mergeCell ref="B199:B202"/>
    <mergeCell ref="G199:G202"/>
    <mergeCell ref="B203:B212"/>
    <mergeCell ref="G203:G212"/>
    <mergeCell ref="A237:F237"/>
    <mergeCell ref="I193:I194"/>
    <mergeCell ref="A195:A196"/>
    <mergeCell ref="B195:B196"/>
    <mergeCell ref="G195:G196"/>
    <mergeCell ref="H195:H196"/>
    <mergeCell ref="I195:I196"/>
    <mergeCell ref="A197:A218"/>
    <mergeCell ref="B197:B198"/>
    <mergeCell ref="G197:G198"/>
    <mergeCell ref="H197:H218"/>
    <mergeCell ref="I197:I218"/>
    <mergeCell ref="A219:A222"/>
    <mergeCell ref="H219:H222"/>
    <mergeCell ref="C192:D192"/>
    <mergeCell ref="A173:A176"/>
    <mergeCell ref="H173:H176"/>
    <mergeCell ref="I173:I176"/>
    <mergeCell ref="A177:A182"/>
    <mergeCell ref="B177:B180"/>
    <mergeCell ref="G177:G180"/>
    <mergeCell ref="H177:H182"/>
    <mergeCell ref="I177:I182"/>
    <mergeCell ref="B181:B182"/>
    <mergeCell ref="G181:G182"/>
    <mergeCell ref="E188:F188"/>
    <mergeCell ref="E189:F189"/>
    <mergeCell ref="A185:J185"/>
    <mergeCell ref="H186:I186"/>
    <mergeCell ref="H187:I187"/>
    <mergeCell ref="H188:I188"/>
    <mergeCell ref="H189:I189"/>
    <mergeCell ref="B214:B217"/>
    <mergeCell ref="G214:G217"/>
    <mergeCell ref="A193:A194"/>
    <mergeCell ref="H193:H194"/>
    <mergeCell ref="A151:A172"/>
    <mergeCell ref="B151:B152"/>
    <mergeCell ref="G151:G152"/>
    <mergeCell ref="H151:H172"/>
    <mergeCell ref="I151:I172"/>
    <mergeCell ref="A145:F145"/>
    <mergeCell ref="G145:J145"/>
    <mergeCell ref="C146:D146"/>
    <mergeCell ref="A191:F191"/>
    <mergeCell ref="G191:J191"/>
    <mergeCell ref="J147:J182"/>
    <mergeCell ref="B153:B156"/>
    <mergeCell ref="G153:G156"/>
    <mergeCell ref="B157:B166"/>
    <mergeCell ref="G157:G166"/>
    <mergeCell ref="B168:B171"/>
    <mergeCell ref="G168:G171"/>
    <mergeCell ref="A147:A148"/>
    <mergeCell ref="H147:H148"/>
    <mergeCell ref="I147:I148"/>
    <mergeCell ref="A149:A150"/>
    <mergeCell ref="B149:B150"/>
    <mergeCell ref="H149:H150"/>
    <mergeCell ref="I149:I150"/>
    <mergeCell ref="G149:G150"/>
    <mergeCell ref="J101:J136"/>
    <mergeCell ref="B107:B110"/>
    <mergeCell ref="G107:G110"/>
    <mergeCell ref="B111:B120"/>
    <mergeCell ref="G111:G120"/>
    <mergeCell ref="B122:B125"/>
    <mergeCell ref="G122:G125"/>
    <mergeCell ref="H101:H102"/>
    <mergeCell ref="I101:I102"/>
    <mergeCell ref="B103:B104"/>
    <mergeCell ref="G103:G104"/>
    <mergeCell ref="H103:H104"/>
    <mergeCell ref="I103:I104"/>
    <mergeCell ref="B105:B106"/>
    <mergeCell ref="G105:G106"/>
    <mergeCell ref="H105:H126"/>
    <mergeCell ref="I105:I126"/>
    <mergeCell ref="H143:I143"/>
    <mergeCell ref="E142:F142"/>
    <mergeCell ref="E143:F143"/>
    <mergeCell ref="I127:I130"/>
    <mergeCell ref="B131:B134"/>
    <mergeCell ref="G131:G134"/>
    <mergeCell ref="A57:A58"/>
    <mergeCell ref="A13:A34"/>
    <mergeCell ref="B11:B12"/>
    <mergeCell ref="B15:B18"/>
    <mergeCell ref="B19:B28"/>
    <mergeCell ref="J55:J90"/>
    <mergeCell ref="A81:A84"/>
    <mergeCell ref="H81:H84"/>
    <mergeCell ref="I81:I84"/>
    <mergeCell ref="A85:A90"/>
    <mergeCell ref="B85:B88"/>
    <mergeCell ref="G85:G88"/>
    <mergeCell ref="H85:H90"/>
    <mergeCell ref="I85:I90"/>
    <mergeCell ref="B89:B90"/>
    <mergeCell ref="G89:G90"/>
    <mergeCell ref="A59:A80"/>
    <mergeCell ref="A39:A44"/>
    <mergeCell ref="A11:A12"/>
    <mergeCell ref="A35:A38"/>
    <mergeCell ref="H55:H56"/>
    <mergeCell ref="I55:I56"/>
    <mergeCell ref="E50:F50"/>
    <mergeCell ref="E51:F51"/>
    <mergeCell ref="A53:F53"/>
    <mergeCell ref="G53:J53"/>
    <mergeCell ref="C54:D54"/>
    <mergeCell ref="H51:I51"/>
    <mergeCell ref="J9:J44"/>
    <mergeCell ref="G39:G42"/>
    <mergeCell ref="A55:A56"/>
    <mergeCell ref="I9:I10"/>
    <mergeCell ref="B43:B44"/>
    <mergeCell ref="G43:G44"/>
    <mergeCell ref="G11:G12"/>
    <mergeCell ref="H13:H34"/>
    <mergeCell ref="I13:I34"/>
    <mergeCell ref="H39:H44"/>
    <mergeCell ref="I39:I44"/>
    <mergeCell ref="I35:I38"/>
    <mergeCell ref="I11:I12"/>
    <mergeCell ref="G19:G28"/>
    <mergeCell ref="H11:H12"/>
    <mergeCell ref="G30:G33"/>
    <mergeCell ref="G13:G14"/>
    <mergeCell ref="G15:G18"/>
    <mergeCell ref="B13:B14"/>
    <mergeCell ref="H35:H38"/>
    <mergeCell ref="B57:B58"/>
    <mergeCell ref="I57:I58"/>
    <mergeCell ref="B59:B60"/>
    <mergeCell ref="G59:G60"/>
    <mergeCell ref="H59:H80"/>
    <mergeCell ref="I59:I80"/>
    <mergeCell ref="B61:B64"/>
    <mergeCell ref="G61:G64"/>
    <mergeCell ref="B65:B74"/>
    <mergeCell ref="G57:G58"/>
    <mergeCell ref="H57:H58"/>
    <mergeCell ref="G65:G74"/>
    <mergeCell ref="B76:B79"/>
    <mergeCell ref="G76:G79"/>
    <mergeCell ref="H5:I5"/>
    <mergeCell ref="H4:I4"/>
    <mergeCell ref="H3:I3"/>
    <mergeCell ref="H2:I2"/>
    <mergeCell ref="A1:J1"/>
    <mergeCell ref="A47:J47"/>
    <mergeCell ref="H48:I48"/>
    <mergeCell ref="H49:I49"/>
    <mergeCell ref="H50:I50"/>
    <mergeCell ref="B30:B33"/>
    <mergeCell ref="B39:B42"/>
    <mergeCell ref="A7:F7"/>
    <mergeCell ref="A9:A10"/>
    <mergeCell ref="H9:H10"/>
    <mergeCell ref="G7:J7"/>
    <mergeCell ref="C8:D8"/>
    <mergeCell ref="E4:F4"/>
    <mergeCell ref="E5:F5"/>
    <mergeCell ref="C9:D9"/>
    <mergeCell ref="C10:D10"/>
    <mergeCell ref="A93:J93"/>
    <mergeCell ref="H94:I94"/>
    <mergeCell ref="H95:I95"/>
    <mergeCell ref="H96:I96"/>
    <mergeCell ref="H97:I97"/>
    <mergeCell ref="A139:J139"/>
    <mergeCell ref="H140:I140"/>
    <mergeCell ref="H141:I141"/>
    <mergeCell ref="H142:I142"/>
    <mergeCell ref="A127:A130"/>
    <mergeCell ref="H127:H130"/>
    <mergeCell ref="E96:F96"/>
    <mergeCell ref="E97:F97"/>
    <mergeCell ref="A99:F99"/>
    <mergeCell ref="G99:J99"/>
    <mergeCell ref="C100:D100"/>
    <mergeCell ref="A131:A136"/>
    <mergeCell ref="H131:H136"/>
    <mergeCell ref="I131:I136"/>
    <mergeCell ref="B135:B136"/>
    <mergeCell ref="G135:G136"/>
    <mergeCell ref="A101:A102"/>
    <mergeCell ref="A103:A104"/>
    <mergeCell ref="A105:A126"/>
    <mergeCell ref="A323:J323"/>
    <mergeCell ref="H324:I324"/>
    <mergeCell ref="H325:I325"/>
    <mergeCell ref="H326:I326"/>
    <mergeCell ref="H327:I327"/>
    <mergeCell ref="A369:J369"/>
    <mergeCell ref="H370:I370"/>
    <mergeCell ref="H371:I371"/>
    <mergeCell ref="H372:I372"/>
    <mergeCell ref="A329:F329"/>
    <mergeCell ref="G329:J329"/>
    <mergeCell ref="C330:D330"/>
    <mergeCell ref="G352:G355"/>
    <mergeCell ref="A331:A332"/>
    <mergeCell ref="H331:H332"/>
    <mergeCell ref="I331:I332"/>
    <mergeCell ref="J331:J366"/>
    <mergeCell ref="B337:B340"/>
    <mergeCell ref="G337:G340"/>
    <mergeCell ref="B341:B350"/>
    <mergeCell ref="G341:G350"/>
    <mergeCell ref="B352:B355"/>
    <mergeCell ref="A333:A334"/>
    <mergeCell ref="B333:B334"/>
  </mergeCells>
  <conditionalFormatting sqref="A1 L1:M2 A2:D2 C3:E4 A3:B5 G4 C5:D5 K5:K6 A6:I6 G7 K7:L10 A8:C8 E8:J8 I9:J10 A11:D11 H11:I11 K11:K44 C12:D12 A13:D13 H13:I14 A14 C14:D16 D17 D19:D21 D27 B30:D30 C31:D31 D32:D33 B34:D34 B35 C36:D37 B37:B38 C39:D40 A39:A43 I39:I43 D41 C42:D42 H45:L45 K46 A52 A98 A144 A190 A236 A282 A328 A374 A420">
    <cfRule type="containsText" dxfId="1216" priority="5997" operator="containsText" text="Functioning">
      <formula>NOT(ISERROR(SEARCH("Functioning",A1)))</formula>
    </cfRule>
  </conditionalFormatting>
  <conditionalFormatting sqref="A1 L1:M2 C3:E4 A3:B5 C5:D5 K5:K6 A6:I6 G7 K7:L10 A8:C8 E8:J8 I9:J10 A11:D11 H11:I11 K11:K44 C12:D12 A13:D13 H13:I14 A14 C14:D16 D17 B30:D30 B34:D34 C36:D37 A39:A43 I39:I43 H45:L45 K46 A52 A98 A144 A190 A236 A282 A328 A374 A420">
    <cfRule type="beginsWith" dxfId="1215" priority="5996" stopIfTrue="1" operator="beginsWith" text="Not Functioning">
      <formula>LEFT(A1,LEN("Not Functioning"))="Not Functioning"</formula>
    </cfRule>
  </conditionalFormatting>
  <conditionalFormatting sqref="A35">
    <cfRule type="containsText" dxfId="1214" priority="5161" operator="containsText" text="Functioning">
      <formula>NOT(ISERROR(SEARCH("Functioning",A35)))</formula>
    </cfRule>
  </conditionalFormatting>
  <conditionalFormatting sqref="A47 A49:B51 C51:D51">
    <cfRule type="containsText" dxfId="1213" priority="782" operator="containsText" text="Functioning">
      <formula>NOT(ISERROR(SEARCH("Functioning",A47)))</formula>
    </cfRule>
    <cfRule type="beginsWith" dxfId="1212" priority="781" stopIfTrue="1" operator="beginsWith" text="Not Functioning">
      <formula>LEFT(A47,LEN("Not Functioning"))="Not Functioning"</formula>
    </cfRule>
  </conditionalFormatting>
  <conditionalFormatting sqref="A93 A95:B97 C97:D97">
    <cfRule type="containsText" dxfId="1211" priority="767" operator="containsText" text="Functioning">
      <formula>NOT(ISERROR(SEARCH("Functioning",A93)))</formula>
    </cfRule>
    <cfRule type="beginsWith" dxfId="1210" priority="766" stopIfTrue="1" operator="beginsWith" text="Not Functioning">
      <formula>LEFT(A93,LEN("Not Functioning"))="Not Functioning"</formula>
    </cfRule>
  </conditionalFormatting>
  <conditionalFormatting sqref="A139 A141:B143 C143:D143">
    <cfRule type="beginsWith" dxfId="1209" priority="751" stopIfTrue="1" operator="beginsWith" text="Not Functioning">
      <formula>LEFT(A139,LEN("Not Functioning"))="Not Functioning"</formula>
    </cfRule>
    <cfRule type="containsText" dxfId="1208" priority="752" operator="containsText" text="Functioning">
      <formula>NOT(ISERROR(SEARCH("Functioning",A139)))</formula>
    </cfRule>
  </conditionalFormatting>
  <conditionalFormatting sqref="A185 A187:B189 C189:D189">
    <cfRule type="beginsWith" dxfId="1207" priority="736" stopIfTrue="1" operator="beginsWith" text="Not Functioning">
      <formula>LEFT(A185,LEN("Not Functioning"))="Not Functioning"</formula>
    </cfRule>
    <cfRule type="containsText" dxfId="1206" priority="737" operator="containsText" text="Functioning">
      <formula>NOT(ISERROR(SEARCH("Functioning",A185)))</formula>
    </cfRule>
  </conditionalFormatting>
  <conditionalFormatting sqref="A231 A233:B235 C235:D235">
    <cfRule type="containsText" dxfId="1205" priority="722" operator="containsText" text="Functioning">
      <formula>NOT(ISERROR(SEARCH("Functioning",A231)))</formula>
    </cfRule>
    <cfRule type="beginsWith" dxfId="1204" priority="721" stopIfTrue="1" operator="beginsWith" text="Not Functioning">
      <formula>LEFT(A231,LEN("Not Functioning"))="Not Functioning"</formula>
    </cfRule>
  </conditionalFormatting>
  <conditionalFormatting sqref="A277 A279:B281 C281:D281">
    <cfRule type="beginsWith" dxfId="1203" priority="706" stopIfTrue="1" operator="beginsWith" text="Not Functioning">
      <formula>LEFT(A277,LEN("Not Functioning"))="Not Functioning"</formula>
    </cfRule>
    <cfRule type="containsText" dxfId="1202" priority="707" operator="containsText" text="Functioning">
      <formula>NOT(ISERROR(SEARCH("Functioning",A277)))</formula>
    </cfRule>
  </conditionalFormatting>
  <conditionalFormatting sqref="A323 A325:B327 C327:D327">
    <cfRule type="beginsWith" dxfId="1201" priority="691" stopIfTrue="1" operator="beginsWith" text="Not Functioning">
      <formula>LEFT(A323,LEN("Not Functioning"))="Not Functioning"</formula>
    </cfRule>
    <cfRule type="containsText" dxfId="1200" priority="692" operator="containsText" text="Functioning">
      <formula>NOT(ISERROR(SEARCH("Functioning",A323)))</formula>
    </cfRule>
  </conditionalFormatting>
  <conditionalFormatting sqref="A369 A371:B373 C373:D373">
    <cfRule type="beginsWith" dxfId="1199" priority="676" stopIfTrue="1" operator="beginsWith" text="Not Functioning">
      <formula>LEFT(A369,LEN("Not Functioning"))="Not Functioning"</formula>
    </cfRule>
    <cfRule type="containsText" dxfId="1198" priority="677" operator="containsText" text="Functioning">
      <formula>NOT(ISERROR(SEARCH("Functioning",A369)))</formula>
    </cfRule>
  </conditionalFormatting>
  <conditionalFormatting sqref="A415 A417:B419 C419:D419">
    <cfRule type="containsText" dxfId="1197" priority="662" operator="containsText" text="Functioning">
      <formula>NOT(ISERROR(SEARCH("Functioning",A415)))</formula>
    </cfRule>
    <cfRule type="beginsWith" dxfId="1196" priority="661" stopIfTrue="1" operator="beginsWith" text="Not Functioning">
      <formula>LEFT(A415,LEN("Not Functioning"))="Not Functioning"</formula>
    </cfRule>
  </conditionalFormatting>
  <conditionalFormatting sqref="A35:B35">
    <cfRule type="beginsWith" dxfId="1195" priority="5160" stopIfTrue="1" operator="beginsWith" text="Not Functioning">
      <formula>LEFT(A35,LEN("Not Functioning"))="Not Functioning"</formula>
    </cfRule>
    <cfRule type="beginsWith" dxfId="1194" priority="5159" stopIfTrue="1" operator="beginsWith" text="Functioning At Risk">
      <formula>LEFT(A35,LEN("Functioning At Risk"))="Functioning At Risk"</formula>
    </cfRule>
  </conditionalFormatting>
  <conditionalFormatting sqref="A81:B81">
    <cfRule type="beginsWith" dxfId="1193" priority="3217" stopIfTrue="1" operator="beginsWith" text="Functioning At Risk">
      <formula>LEFT(A81,LEN("Functioning At Risk"))="Functioning At Risk"</formula>
    </cfRule>
    <cfRule type="containsText" dxfId="1192" priority="3219" operator="containsText" text="Functioning">
      <formula>NOT(ISERROR(SEARCH("Functioning",A81)))</formula>
    </cfRule>
    <cfRule type="beginsWith" dxfId="1191" priority="3218" stopIfTrue="1" operator="beginsWith" text="Not Functioning">
      <formula>LEFT(A81,LEN("Not Functioning"))="Not Functioning"</formula>
    </cfRule>
  </conditionalFormatting>
  <conditionalFormatting sqref="A127:B127">
    <cfRule type="containsText" dxfId="1190" priority="3075" operator="containsText" text="Functioning">
      <formula>NOT(ISERROR(SEARCH("Functioning",A127)))</formula>
    </cfRule>
    <cfRule type="beginsWith" dxfId="1189" priority="3074" stopIfTrue="1" operator="beginsWith" text="Not Functioning">
      <formula>LEFT(A127,LEN("Not Functioning"))="Not Functioning"</formula>
    </cfRule>
    <cfRule type="beginsWith" dxfId="1188" priority="3073" stopIfTrue="1" operator="beginsWith" text="Functioning At Risk">
      <formula>LEFT(A127,LEN("Functioning At Risk"))="Functioning At Risk"</formula>
    </cfRule>
  </conditionalFormatting>
  <conditionalFormatting sqref="A173:B173">
    <cfRule type="beginsWith" dxfId="1187" priority="2929" stopIfTrue="1" operator="beginsWith" text="Functioning At Risk">
      <formula>LEFT(A173,LEN("Functioning At Risk"))="Functioning At Risk"</formula>
    </cfRule>
    <cfRule type="beginsWith" dxfId="1186" priority="2930" stopIfTrue="1" operator="beginsWith" text="Not Functioning">
      <formula>LEFT(A173,LEN("Not Functioning"))="Not Functioning"</formula>
    </cfRule>
    <cfRule type="containsText" dxfId="1185" priority="2931" operator="containsText" text="Functioning">
      <formula>NOT(ISERROR(SEARCH("Functioning",A173)))</formula>
    </cfRule>
  </conditionalFormatting>
  <conditionalFormatting sqref="A219:B219">
    <cfRule type="beginsWith" dxfId="1184" priority="2785" stopIfTrue="1" operator="beginsWith" text="Functioning At Risk">
      <formula>LEFT(A219,LEN("Functioning At Risk"))="Functioning At Risk"</formula>
    </cfRule>
    <cfRule type="beginsWith" dxfId="1183" priority="2786" stopIfTrue="1" operator="beginsWith" text="Not Functioning">
      <formula>LEFT(A219,LEN("Not Functioning"))="Not Functioning"</formula>
    </cfRule>
    <cfRule type="containsText" dxfId="1182" priority="2787" operator="containsText" text="Functioning">
      <formula>NOT(ISERROR(SEARCH("Functioning",A219)))</formula>
    </cfRule>
  </conditionalFormatting>
  <conditionalFormatting sqref="A265:B265">
    <cfRule type="containsText" dxfId="1181" priority="2643" operator="containsText" text="Functioning">
      <formula>NOT(ISERROR(SEARCH("Functioning",A265)))</formula>
    </cfRule>
    <cfRule type="beginsWith" dxfId="1180" priority="2641" stopIfTrue="1" operator="beginsWith" text="Functioning At Risk">
      <formula>LEFT(A265,LEN("Functioning At Risk"))="Functioning At Risk"</formula>
    </cfRule>
    <cfRule type="beginsWith" dxfId="1179" priority="2642" stopIfTrue="1" operator="beginsWith" text="Not Functioning">
      <formula>LEFT(A265,LEN("Not Functioning"))="Not Functioning"</formula>
    </cfRule>
  </conditionalFormatting>
  <conditionalFormatting sqref="A311:B311">
    <cfRule type="beginsWith" dxfId="1178" priority="2497" stopIfTrue="1" operator="beginsWith" text="Functioning At Risk">
      <formula>LEFT(A311,LEN("Functioning At Risk"))="Functioning At Risk"</formula>
    </cfRule>
    <cfRule type="beginsWith" dxfId="1177" priority="2498" stopIfTrue="1" operator="beginsWith" text="Not Functioning">
      <formula>LEFT(A311,LEN("Not Functioning"))="Not Functioning"</formula>
    </cfRule>
    <cfRule type="containsText" dxfId="1176" priority="2499" operator="containsText" text="Functioning">
      <formula>NOT(ISERROR(SEARCH("Functioning",A311)))</formula>
    </cfRule>
  </conditionalFormatting>
  <conditionalFormatting sqref="A357:B357">
    <cfRule type="containsText" dxfId="1175" priority="2355" operator="containsText" text="Functioning">
      <formula>NOT(ISERROR(SEARCH("Functioning",A357)))</formula>
    </cfRule>
    <cfRule type="beginsWith" dxfId="1174" priority="2353" stopIfTrue="1" operator="beginsWith" text="Functioning At Risk">
      <formula>LEFT(A357,LEN("Functioning At Risk"))="Functioning At Risk"</formula>
    </cfRule>
    <cfRule type="beginsWith" dxfId="1173" priority="2354" stopIfTrue="1" operator="beginsWith" text="Not Functioning">
      <formula>LEFT(A357,LEN("Not Functioning"))="Not Functioning"</formula>
    </cfRule>
  </conditionalFormatting>
  <conditionalFormatting sqref="A403:B403">
    <cfRule type="containsText" dxfId="1172" priority="2211" operator="containsText" text="Functioning">
      <formula>NOT(ISERROR(SEARCH("Functioning",A403)))</formula>
    </cfRule>
    <cfRule type="beginsWith" dxfId="1171" priority="2209" stopIfTrue="1" operator="beginsWith" text="Functioning At Risk">
      <formula>LEFT(A403,LEN("Functioning At Risk"))="Functioning At Risk"</formula>
    </cfRule>
    <cfRule type="beginsWith" dxfId="1170" priority="2210" stopIfTrue="1" operator="beginsWith" text="Not Functioning">
      <formula>LEFT(A403,LEN("Not Functioning"))="Not Functioning"</formula>
    </cfRule>
  </conditionalFormatting>
  <conditionalFormatting sqref="A449:B449">
    <cfRule type="containsText" dxfId="1169" priority="2067" operator="containsText" text="Functioning">
      <formula>NOT(ISERROR(SEARCH("Functioning",A449)))</formula>
    </cfRule>
    <cfRule type="beginsWith" dxfId="1168" priority="2066" stopIfTrue="1" operator="beginsWith" text="Not Functioning">
      <formula>LEFT(A449,LEN("Not Functioning"))="Not Functioning"</formula>
    </cfRule>
    <cfRule type="beginsWith" dxfId="1167" priority="2065" stopIfTrue="1" operator="beginsWith" text="Functioning At Risk">
      <formula>LEFT(A449,LEN("Functioning At Risk"))="Functioning At Risk"</formula>
    </cfRule>
  </conditionalFormatting>
  <conditionalFormatting sqref="A2:E2">
    <cfRule type="beginsWith" dxfId="1166" priority="467" stopIfTrue="1" operator="beginsWith" text="Not Functioning">
      <formula>LEFT(A2,LEN("Not Functioning"))="Not Functioning"</formula>
    </cfRule>
    <cfRule type="beginsWith" dxfId="1165" priority="466" stopIfTrue="1" operator="beginsWith" text="Functioning At Risk">
      <formula>LEFT(A2,LEN("Functioning At Risk"))="Functioning At Risk"</formula>
    </cfRule>
  </conditionalFormatting>
  <conditionalFormatting sqref="A48:E48">
    <cfRule type="beginsWith" dxfId="1164" priority="464" stopIfTrue="1" operator="beginsWith" text="Not Functioning">
      <formula>LEFT(A48,LEN("Not Functioning"))="Not Functioning"</formula>
    </cfRule>
    <cfRule type="beginsWith" dxfId="1163" priority="463" stopIfTrue="1" operator="beginsWith" text="Functioning At Risk">
      <formula>LEFT(A48,LEN("Functioning At Risk"))="Functioning At Risk"</formula>
    </cfRule>
    <cfRule type="containsText" dxfId="1162" priority="465" operator="containsText" text="Functioning">
      <formula>NOT(ISERROR(SEARCH("Functioning",A48)))</formula>
    </cfRule>
  </conditionalFormatting>
  <conditionalFormatting sqref="A94:E94">
    <cfRule type="beginsWith" dxfId="1161" priority="461" stopIfTrue="1" operator="beginsWith" text="Not Functioning">
      <formula>LEFT(A94,LEN("Not Functioning"))="Not Functioning"</formula>
    </cfRule>
    <cfRule type="containsText" dxfId="1160" priority="462" operator="containsText" text="Functioning">
      <formula>NOT(ISERROR(SEARCH("Functioning",A94)))</formula>
    </cfRule>
    <cfRule type="beginsWith" dxfId="1159" priority="460" stopIfTrue="1" operator="beginsWith" text="Functioning At Risk">
      <formula>LEFT(A94,LEN("Functioning At Risk"))="Functioning At Risk"</formula>
    </cfRule>
  </conditionalFormatting>
  <conditionalFormatting sqref="A140:E140">
    <cfRule type="beginsWith" dxfId="1158" priority="457" stopIfTrue="1" operator="beginsWith" text="Functioning At Risk">
      <formula>LEFT(A140,LEN("Functioning At Risk"))="Functioning At Risk"</formula>
    </cfRule>
    <cfRule type="containsText" dxfId="1157" priority="459" operator="containsText" text="Functioning">
      <formula>NOT(ISERROR(SEARCH("Functioning",A140)))</formula>
    </cfRule>
    <cfRule type="beginsWith" dxfId="1156" priority="458" stopIfTrue="1" operator="beginsWith" text="Not Functioning">
      <formula>LEFT(A140,LEN("Not Functioning"))="Not Functioning"</formula>
    </cfRule>
  </conditionalFormatting>
  <conditionalFormatting sqref="A186:E186">
    <cfRule type="beginsWith" dxfId="1155" priority="455" stopIfTrue="1" operator="beginsWith" text="Not Functioning">
      <formula>LEFT(A186,LEN("Not Functioning"))="Not Functioning"</formula>
    </cfRule>
    <cfRule type="beginsWith" dxfId="1154" priority="454" stopIfTrue="1" operator="beginsWith" text="Functioning At Risk">
      <formula>LEFT(A186,LEN("Functioning At Risk"))="Functioning At Risk"</formula>
    </cfRule>
    <cfRule type="containsText" dxfId="1153" priority="456" operator="containsText" text="Functioning">
      <formula>NOT(ISERROR(SEARCH("Functioning",A186)))</formula>
    </cfRule>
  </conditionalFormatting>
  <conditionalFormatting sqref="A232:E232">
    <cfRule type="beginsWith" dxfId="1152" priority="452" stopIfTrue="1" operator="beginsWith" text="Not Functioning">
      <formula>LEFT(A232,LEN("Not Functioning"))="Not Functioning"</formula>
    </cfRule>
    <cfRule type="containsText" dxfId="1151" priority="453" operator="containsText" text="Functioning">
      <formula>NOT(ISERROR(SEARCH("Functioning",A232)))</formula>
    </cfRule>
    <cfRule type="beginsWith" dxfId="1150" priority="451" stopIfTrue="1" operator="beginsWith" text="Functioning At Risk">
      <formula>LEFT(A232,LEN("Functioning At Risk"))="Functioning At Risk"</formula>
    </cfRule>
  </conditionalFormatting>
  <conditionalFormatting sqref="A278:E278">
    <cfRule type="beginsWith" dxfId="1149" priority="449" stopIfTrue="1" operator="beginsWith" text="Not Functioning">
      <formula>LEFT(A278,LEN("Not Functioning"))="Not Functioning"</formula>
    </cfRule>
    <cfRule type="containsText" dxfId="1148" priority="450" operator="containsText" text="Functioning">
      <formula>NOT(ISERROR(SEARCH("Functioning",A278)))</formula>
    </cfRule>
    <cfRule type="beginsWith" dxfId="1147" priority="448" stopIfTrue="1" operator="beginsWith" text="Functioning At Risk">
      <formula>LEFT(A278,LEN("Functioning At Risk"))="Functioning At Risk"</formula>
    </cfRule>
  </conditionalFormatting>
  <conditionalFormatting sqref="A324:E324">
    <cfRule type="beginsWith" dxfId="1146" priority="445" stopIfTrue="1" operator="beginsWith" text="Functioning At Risk">
      <formula>LEFT(A324,LEN("Functioning At Risk"))="Functioning At Risk"</formula>
    </cfRule>
    <cfRule type="containsText" dxfId="1145" priority="447" operator="containsText" text="Functioning">
      <formula>NOT(ISERROR(SEARCH("Functioning",A324)))</formula>
    </cfRule>
    <cfRule type="beginsWith" dxfId="1144" priority="446" stopIfTrue="1" operator="beginsWith" text="Not Functioning">
      <formula>LEFT(A324,LEN("Not Functioning"))="Not Functioning"</formula>
    </cfRule>
  </conditionalFormatting>
  <conditionalFormatting sqref="A370:E370">
    <cfRule type="beginsWith" dxfId="1143" priority="443" stopIfTrue="1" operator="beginsWith" text="Not Functioning">
      <formula>LEFT(A370,LEN("Not Functioning"))="Not Functioning"</formula>
    </cfRule>
    <cfRule type="containsText" dxfId="1142" priority="444" operator="containsText" text="Functioning">
      <formula>NOT(ISERROR(SEARCH("Functioning",A370)))</formula>
    </cfRule>
    <cfRule type="beginsWith" dxfId="1141" priority="442" stopIfTrue="1" operator="beginsWith" text="Functioning At Risk">
      <formula>LEFT(A370,LEN("Functioning At Risk"))="Functioning At Risk"</formula>
    </cfRule>
  </conditionalFormatting>
  <conditionalFormatting sqref="A416:E416">
    <cfRule type="containsText" dxfId="1140" priority="441" operator="containsText" text="Functioning">
      <formula>NOT(ISERROR(SEARCH("Functioning",A416)))</formula>
    </cfRule>
    <cfRule type="beginsWith" dxfId="1139" priority="440" stopIfTrue="1" operator="beginsWith" text="Not Functioning">
      <formula>LEFT(A416,LEN("Not Functioning"))="Not Functioning"</formula>
    </cfRule>
    <cfRule type="beginsWith" dxfId="1138" priority="439" stopIfTrue="1" operator="beginsWith" text="Functioning At Risk">
      <formula>LEFT(A416,LEN("Functioning At Risk"))="Functioning At Risk"</formula>
    </cfRule>
  </conditionalFormatting>
  <conditionalFormatting sqref="B15">
    <cfRule type="containsText" dxfId="1137" priority="5859" operator="containsText" text="Functioning">
      <formula>NOT(ISERROR(SEARCH("Functioning",B15)))</formula>
    </cfRule>
    <cfRule type="beginsWith" dxfId="1136" priority="5857" stopIfTrue="1" operator="beginsWith" text="Functioning At Risk">
      <formula>LEFT(B15,LEN("Functioning At Risk"))="Functioning At Risk"</formula>
    </cfRule>
    <cfRule type="beginsWith" dxfId="1135" priority="5858" stopIfTrue="1" operator="beginsWith" text="Not Functioning">
      <formula>LEFT(B15,LEN("Not Functioning"))="Not Functioning"</formula>
    </cfRule>
  </conditionalFormatting>
  <conditionalFormatting sqref="B19">
    <cfRule type="beginsWith" dxfId="1134" priority="5112" stopIfTrue="1" operator="beginsWith" text="Functioning At Risk">
      <formula>LEFT(B19,LEN("Functioning At Risk"))="Functioning At Risk"</formula>
    </cfRule>
    <cfRule type="beginsWith" dxfId="1133" priority="5113" stopIfTrue="1" operator="beginsWith" text="Not Functioning">
      <formula>LEFT(B19,LEN("Not Functioning"))="Not Functioning"</formula>
    </cfRule>
    <cfRule type="containsText" dxfId="1132" priority="5114" operator="containsText" text="Functioning">
      <formula>NOT(ISERROR(SEARCH("Functioning",B19)))</formula>
    </cfRule>
  </conditionalFormatting>
  <conditionalFormatting sqref="B37:B41">
    <cfRule type="beginsWith" dxfId="1131" priority="5020" stopIfTrue="1" operator="beginsWith" text="Functioning At Risk">
      <formula>LEFT(B37,LEN("Functioning At Risk"))="Functioning At Risk"</formula>
    </cfRule>
    <cfRule type="beginsWith" dxfId="1130" priority="5021" stopIfTrue="1" operator="beginsWith" text="Not Functioning">
      <formula>LEFT(B37,LEN("Not Functioning"))="Not Functioning"</formula>
    </cfRule>
  </conditionalFormatting>
  <conditionalFormatting sqref="B39:B41">
    <cfRule type="containsText" dxfId="1129" priority="5022" operator="containsText" text="Functioning">
      <formula>NOT(ISERROR(SEARCH("Functioning",B39)))</formula>
    </cfRule>
  </conditionalFormatting>
  <conditionalFormatting sqref="B61">
    <cfRule type="beginsWith" dxfId="1128" priority="1696" stopIfTrue="1" operator="beginsWith" text="Functioning At Risk">
      <formula>LEFT(B61,LEN("Functioning At Risk"))="Functioning At Risk"</formula>
    </cfRule>
    <cfRule type="beginsWith" dxfId="1127" priority="1697" stopIfTrue="1" operator="beginsWith" text="Not Functioning">
      <formula>LEFT(B61,LEN("Not Functioning"))="Not Functioning"</formula>
    </cfRule>
    <cfRule type="containsText" dxfId="1126" priority="1698" operator="containsText" text="Functioning">
      <formula>NOT(ISERROR(SEARCH("Functioning",B61)))</formula>
    </cfRule>
  </conditionalFormatting>
  <conditionalFormatting sqref="B65">
    <cfRule type="beginsWith" dxfId="1125" priority="3187" stopIfTrue="1" operator="beginsWith" text="Functioning At Risk">
      <formula>LEFT(B65,LEN("Functioning At Risk"))="Functioning At Risk"</formula>
    </cfRule>
    <cfRule type="beginsWith" dxfId="1124" priority="3188" stopIfTrue="1" operator="beginsWith" text="Not Functioning">
      <formula>LEFT(B65,LEN("Not Functioning"))="Not Functioning"</formula>
    </cfRule>
    <cfRule type="containsText" dxfId="1123" priority="3189" operator="containsText" text="Functioning">
      <formula>NOT(ISERROR(SEARCH("Functioning",B65)))</formula>
    </cfRule>
  </conditionalFormatting>
  <conditionalFormatting sqref="B83:B87">
    <cfRule type="containsText" dxfId="1122" priority="3180" operator="containsText" text="Functioning">
      <formula>NOT(ISERROR(SEARCH("Functioning",B83)))</formula>
    </cfRule>
    <cfRule type="beginsWith" dxfId="1121" priority="3179" stopIfTrue="1" operator="beginsWith" text="Not Functioning">
      <formula>LEFT(B83,LEN("Not Functioning"))="Not Functioning"</formula>
    </cfRule>
    <cfRule type="beginsWith" dxfId="1120" priority="3178" stopIfTrue="1" operator="beginsWith" text="Functioning At Risk">
      <formula>LEFT(B83,LEN("Functioning At Risk"))="Functioning At Risk"</formula>
    </cfRule>
  </conditionalFormatting>
  <conditionalFormatting sqref="B107">
    <cfRule type="containsText" dxfId="1119" priority="1683" operator="containsText" text="Functioning">
      <formula>NOT(ISERROR(SEARCH("Functioning",B107)))</formula>
    </cfRule>
    <cfRule type="beginsWith" dxfId="1118" priority="1682" stopIfTrue="1" operator="beginsWith" text="Not Functioning">
      <formula>LEFT(B107,LEN("Not Functioning"))="Not Functioning"</formula>
    </cfRule>
    <cfRule type="beginsWith" dxfId="1117" priority="1681" stopIfTrue="1" operator="beginsWith" text="Functioning At Risk">
      <formula>LEFT(B107,LEN("Functioning At Risk"))="Functioning At Risk"</formula>
    </cfRule>
  </conditionalFormatting>
  <conditionalFormatting sqref="B111">
    <cfRule type="beginsWith" dxfId="1116" priority="3043" stopIfTrue="1" operator="beginsWith" text="Functioning At Risk">
      <formula>LEFT(B111,LEN("Functioning At Risk"))="Functioning At Risk"</formula>
    </cfRule>
    <cfRule type="containsText" dxfId="1115" priority="3045" operator="containsText" text="Functioning">
      <formula>NOT(ISERROR(SEARCH("Functioning",B111)))</formula>
    </cfRule>
    <cfRule type="beginsWith" dxfId="1114" priority="3044" stopIfTrue="1" operator="beginsWith" text="Not Functioning">
      <formula>LEFT(B111,LEN("Not Functioning"))="Not Functioning"</formula>
    </cfRule>
  </conditionalFormatting>
  <conditionalFormatting sqref="B129:B133">
    <cfRule type="containsText" dxfId="1113" priority="3036" operator="containsText" text="Functioning">
      <formula>NOT(ISERROR(SEARCH("Functioning",B129)))</formula>
    </cfRule>
    <cfRule type="beginsWith" dxfId="1112" priority="3034" stopIfTrue="1" operator="beginsWith" text="Functioning At Risk">
      <formula>LEFT(B129,LEN("Functioning At Risk"))="Functioning At Risk"</formula>
    </cfRule>
    <cfRule type="beginsWith" dxfId="1111" priority="3035" stopIfTrue="1" operator="beginsWith" text="Not Functioning">
      <formula>LEFT(B129,LEN("Not Functioning"))="Not Functioning"</formula>
    </cfRule>
  </conditionalFormatting>
  <conditionalFormatting sqref="B153">
    <cfRule type="beginsWith" dxfId="1110" priority="1666" stopIfTrue="1" operator="beginsWith" text="Functioning At Risk">
      <formula>LEFT(B153,LEN("Functioning At Risk"))="Functioning At Risk"</formula>
    </cfRule>
    <cfRule type="beginsWith" dxfId="1109" priority="1667" stopIfTrue="1" operator="beginsWith" text="Not Functioning">
      <formula>LEFT(B153,LEN("Not Functioning"))="Not Functioning"</formula>
    </cfRule>
    <cfRule type="containsText" dxfId="1108" priority="1668" operator="containsText" text="Functioning">
      <formula>NOT(ISERROR(SEARCH("Functioning",B153)))</formula>
    </cfRule>
  </conditionalFormatting>
  <conditionalFormatting sqref="B157">
    <cfRule type="beginsWith" dxfId="1107" priority="2899" stopIfTrue="1" operator="beginsWith" text="Functioning At Risk">
      <formula>LEFT(B157,LEN("Functioning At Risk"))="Functioning At Risk"</formula>
    </cfRule>
    <cfRule type="beginsWith" dxfId="1106" priority="2900" stopIfTrue="1" operator="beginsWith" text="Not Functioning">
      <formula>LEFT(B157,LEN("Not Functioning"))="Not Functioning"</formula>
    </cfRule>
    <cfRule type="containsText" dxfId="1105" priority="2901" operator="containsText" text="Functioning">
      <formula>NOT(ISERROR(SEARCH("Functioning",B157)))</formula>
    </cfRule>
  </conditionalFormatting>
  <conditionalFormatting sqref="B175:B179">
    <cfRule type="beginsWith" dxfId="1104" priority="2890" stopIfTrue="1" operator="beginsWith" text="Functioning At Risk">
      <formula>LEFT(B175,LEN("Functioning At Risk"))="Functioning At Risk"</formula>
    </cfRule>
    <cfRule type="beginsWith" dxfId="1103" priority="2891" stopIfTrue="1" operator="beginsWith" text="Not Functioning">
      <formula>LEFT(B175,LEN("Not Functioning"))="Not Functioning"</formula>
    </cfRule>
    <cfRule type="containsText" dxfId="1102" priority="2892" operator="containsText" text="Functioning">
      <formula>NOT(ISERROR(SEARCH("Functioning",B175)))</formula>
    </cfRule>
  </conditionalFormatting>
  <conditionalFormatting sqref="B199">
    <cfRule type="containsText" dxfId="1101" priority="1653" operator="containsText" text="Functioning">
      <formula>NOT(ISERROR(SEARCH("Functioning",B199)))</formula>
    </cfRule>
    <cfRule type="beginsWith" dxfId="1100" priority="1652" stopIfTrue="1" operator="beginsWith" text="Not Functioning">
      <formula>LEFT(B199,LEN("Not Functioning"))="Not Functioning"</formula>
    </cfRule>
    <cfRule type="beginsWith" dxfId="1099" priority="1651" stopIfTrue="1" operator="beginsWith" text="Functioning At Risk">
      <formula>LEFT(B199,LEN("Functioning At Risk"))="Functioning At Risk"</formula>
    </cfRule>
  </conditionalFormatting>
  <conditionalFormatting sqref="B203">
    <cfRule type="containsText" dxfId="1098" priority="2757" operator="containsText" text="Functioning">
      <formula>NOT(ISERROR(SEARCH("Functioning",B203)))</formula>
    </cfRule>
    <cfRule type="beginsWith" dxfId="1097" priority="2756" stopIfTrue="1" operator="beginsWith" text="Not Functioning">
      <formula>LEFT(B203,LEN("Not Functioning"))="Not Functioning"</formula>
    </cfRule>
    <cfRule type="beginsWith" dxfId="1096" priority="2755" stopIfTrue="1" operator="beginsWith" text="Functioning At Risk">
      <formula>LEFT(B203,LEN("Functioning At Risk"))="Functioning At Risk"</formula>
    </cfRule>
  </conditionalFormatting>
  <conditionalFormatting sqref="B221:B225">
    <cfRule type="containsText" dxfId="1095" priority="2748" operator="containsText" text="Functioning">
      <formula>NOT(ISERROR(SEARCH("Functioning",B221)))</formula>
    </cfRule>
    <cfRule type="beginsWith" dxfId="1094" priority="2747" stopIfTrue="1" operator="beginsWith" text="Not Functioning">
      <formula>LEFT(B221,LEN("Not Functioning"))="Not Functioning"</formula>
    </cfRule>
    <cfRule type="beginsWith" dxfId="1093" priority="2746" stopIfTrue="1" operator="beginsWith" text="Functioning At Risk">
      <formula>LEFT(B221,LEN("Functioning At Risk"))="Functioning At Risk"</formula>
    </cfRule>
  </conditionalFormatting>
  <conditionalFormatting sqref="B245">
    <cfRule type="beginsWith" dxfId="1092" priority="1636" stopIfTrue="1" operator="beginsWith" text="Functioning At Risk">
      <formula>LEFT(B245,LEN("Functioning At Risk"))="Functioning At Risk"</formula>
    </cfRule>
    <cfRule type="containsText" dxfId="1091" priority="1638" operator="containsText" text="Functioning">
      <formula>NOT(ISERROR(SEARCH("Functioning",B245)))</formula>
    </cfRule>
    <cfRule type="beginsWith" dxfId="1090" priority="1637" stopIfTrue="1" operator="beginsWith" text="Not Functioning">
      <formula>LEFT(B245,LEN("Not Functioning"))="Not Functioning"</formula>
    </cfRule>
  </conditionalFormatting>
  <conditionalFormatting sqref="B249">
    <cfRule type="beginsWith" dxfId="1089" priority="2611" stopIfTrue="1" operator="beginsWith" text="Functioning At Risk">
      <formula>LEFT(B249,LEN("Functioning At Risk"))="Functioning At Risk"</formula>
    </cfRule>
    <cfRule type="beginsWith" dxfId="1088" priority="2612" stopIfTrue="1" operator="beginsWith" text="Not Functioning">
      <formula>LEFT(B249,LEN("Not Functioning"))="Not Functioning"</formula>
    </cfRule>
    <cfRule type="containsText" dxfId="1087" priority="2613" operator="containsText" text="Functioning">
      <formula>NOT(ISERROR(SEARCH("Functioning",B249)))</formula>
    </cfRule>
  </conditionalFormatting>
  <conditionalFormatting sqref="B267:B271">
    <cfRule type="containsText" dxfId="1086" priority="2604" operator="containsText" text="Functioning">
      <formula>NOT(ISERROR(SEARCH("Functioning",B267)))</formula>
    </cfRule>
    <cfRule type="beginsWith" dxfId="1085" priority="2602" stopIfTrue="1" operator="beginsWith" text="Functioning At Risk">
      <formula>LEFT(B267,LEN("Functioning At Risk"))="Functioning At Risk"</formula>
    </cfRule>
    <cfRule type="beginsWith" dxfId="1084" priority="2603" stopIfTrue="1" operator="beginsWith" text="Not Functioning">
      <formula>LEFT(B267,LEN("Not Functioning"))="Not Functioning"</formula>
    </cfRule>
  </conditionalFormatting>
  <conditionalFormatting sqref="B291">
    <cfRule type="beginsWith" dxfId="1083" priority="1621" stopIfTrue="1" operator="beginsWith" text="Functioning At Risk">
      <formula>LEFT(B291,LEN("Functioning At Risk"))="Functioning At Risk"</formula>
    </cfRule>
    <cfRule type="containsText" dxfId="1082" priority="1623" operator="containsText" text="Functioning">
      <formula>NOT(ISERROR(SEARCH("Functioning",B291)))</formula>
    </cfRule>
    <cfRule type="beginsWith" dxfId="1081" priority="1622" stopIfTrue="1" operator="beginsWith" text="Not Functioning">
      <formula>LEFT(B291,LEN("Not Functioning"))="Not Functioning"</formula>
    </cfRule>
  </conditionalFormatting>
  <conditionalFormatting sqref="B295">
    <cfRule type="containsText" dxfId="1080" priority="2469" operator="containsText" text="Functioning">
      <formula>NOT(ISERROR(SEARCH("Functioning",B295)))</formula>
    </cfRule>
    <cfRule type="beginsWith" dxfId="1079" priority="2467" stopIfTrue="1" operator="beginsWith" text="Functioning At Risk">
      <formula>LEFT(B295,LEN("Functioning At Risk"))="Functioning At Risk"</formula>
    </cfRule>
    <cfRule type="beginsWith" dxfId="1078" priority="2468" stopIfTrue="1" operator="beginsWith" text="Not Functioning">
      <formula>LEFT(B295,LEN("Not Functioning"))="Not Functioning"</formula>
    </cfRule>
  </conditionalFormatting>
  <conditionalFormatting sqref="B313:B317">
    <cfRule type="beginsWith" dxfId="1077" priority="2459" stopIfTrue="1" operator="beginsWith" text="Not Functioning">
      <formula>LEFT(B313,LEN("Not Functioning"))="Not Functioning"</formula>
    </cfRule>
    <cfRule type="beginsWith" dxfId="1076" priority="2458" stopIfTrue="1" operator="beginsWith" text="Functioning At Risk">
      <formula>LEFT(B313,LEN("Functioning At Risk"))="Functioning At Risk"</formula>
    </cfRule>
    <cfRule type="containsText" dxfId="1075" priority="2460" operator="containsText" text="Functioning">
      <formula>NOT(ISERROR(SEARCH("Functioning",B313)))</formula>
    </cfRule>
  </conditionalFormatting>
  <conditionalFormatting sqref="B337">
    <cfRule type="containsText" dxfId="1074" priority="1608" operator="containsText" text="Functioning">
      <formula>NOT(ISERROR(SEARCH("Functioning",B337)))</formula>
    </cfRule>
    <cfRule type="beginsWith" dxfId="1073" priority="1607" stopIfTrue="1" operator="beginsWith" text="Not Functioning">
      <formula>LEFT(B337,LEN("Not Functioning"))="Not Functioning"</formula>
    </cfRule>
    <cfRule type="beginsWith" dxfId="1072" priority="1606" stopIfTrue="1" operator="beginsWith" text="Functioning At Risk">
      <formula>LEFT(B337,LEN("Functioning At Risk"))="Functioning At Risk"</formula>
    </cfRule>
  </conditionalFormatting>
  <conditionalFormatting sqref="B341">
    <cfRule type="beginsWith" dxfId="1071" priority="2323" stopIfTrue="1" operator="beginsWith" text="Functioning At Risk">
      <formula>LEFT(B341,LEN("Functioning At Risk"))="Functioning At Risk"</formula>
    </cfRule>
    <cfRule type="beginsWith" dxfId="1070" priority="2324" stopIfTrue="1" operator="beginsWith" text="Not Functioning">
      <formula>LEFT(B341,LEN("Not Functioning"))="Not Functioning"</formula>
    </cfRule>
    <cfRule type="containsText" dxfId="1069" priority="2325" operator="containsText" text="Functioning">
      <formula>NOT(ISERROR(SEARCH("Functioning",B341)))</formula>
    </cfRule>
  </conditionalFormatting>
  <conditionalFormatting sqref="B359:B363">
    <cfRule type="beginsWith" dxfId="1068" priority="2314" stopIfTrue="1" operator="beginsWith" text="Functioning At Risk">
      <formula>LEFT(B359,LEN("Functioning At Risk"))="Functioning At Risk"</formula>
    </cfRule>
    <cfRule type="beginsWith" dxfId="1067" priority="2315" stopIfTrue="1" operator="beginsWith" text="Not Functioning">
      <formula>LEFT(B359,LEN("Not Functioning"))="Not Functioning"</formula>
    </cfRule>
    <cfRule type="containsText" dxfId="1066" priority="2316" operator="containsText" text="Functioning">
      <formula>NOT(ISERROR(SEARCH("Functioning",B359)))</formula>
    </cfRule>
  </conditionalFormatting>
  <conditionalFormatting sqref="B383">
    <cfRule type="beginsWith" dxfId="1065" priority="1591" stopIfTrue="1" operator="beginsWith" text="Functioning At Risk">
      <formula>LEFT(B383,LEN("Functioning At Risk"))="Functioning At Risk"</formula>
    </cfRule>
    <cfRule type="beginsWith" dxfId="1064" priority="1592" stopIfTrue="1" operator="beginsWith" text="Not Functioning">
      <formula>LEFT(B383,LEN("Not Functioning"))="Not Functioning"</formula>
    </cfRule>
    <cfRule type="containsText" dxfId="1063" priority="1593" operator="containsText" text="Functioning">
      <formula>NOT(ISERROR(SEARCH("Functioning",B383)))</formula>
    </cfRule>
  </conditionalFormatting>
  <conditionalFormatting sqref="B387">
    <cfRule type="containsText" dxfId="1062" priority="2181" operator="containsText" text="Functioning">
      <formula>NOT(ISERROR(SEARCH("Functioning",B387)))</formula>
    </cfRule>
    <cfRule type="beginsWith" dxfId="1061" priority="2180" stopIfTrue="1" operator="beginsWith" text="Not Functioning">
      <formula>LEFT(B387,LEN("Not Functioning"))="Not Functioning"</formula>
    </cfRule>
    <cfRule type="beginsWith" dxfId="1060" priority="2179" stopIfTrue="1" operator="beginsWith" text="Functioning At Risk">
      <formula>LEFT(B387,LEN("Functioning At Risk"))="Functioning At Risk"</formula>
    </cfRule>
  </conditionalFormatting>
  <conditionalFormatting sqref="B405:B409">
    <cfRule type="beginsWith" dxfId="1059" priority="2170" stopIfTrue="1" operator="beginsWith" text="Functioning At Risk">
      <formula>LEFT(B405,LEN("Functioning At Risk"))="Functioning At Risk"</formula>
    </cfRule>
    <cfRule type="beginsWith" dxfId="1058" priority="2171" stopIfTrue="1" operator="beginsWith" text="Not Functioning">
      <formula>LEFT(B405,LEN("Not Functioning"))="Not Functioning"</formula>
    </cfRule>
    <cfRule type="containsText" dxfId="1057" priority="2172" operator="containsText" text="Functioning">
      <formula>NOT(ISERROR(SEARCH("Functioning",B405)))</formula>
    </cfRule>
  </conditionalFormatting>
  <conditionalFormatting sqref="B429">
    <cfRule type="containsText" dxfId="1056" priority="1578" operator="containsText" text="Functioning">
      <formula>NOT(ISERROR(SEARCH("Functioning",B429)))</formula>
    </cfRule>
    <cfRule type="beginsWith" dxfId="1055" priority="1577" stopIfTrue="1" operator="beginsWith" text="Not Functioning">
      <formula>LEFT(B429,LEN("Not Functioning"))="Not Functioning"</formula>
    </cfRule>
    <cfRule type="beginsWith" dxfId="1054" priority="1576" stopIfTrue="1" operator="beginsWith" text="Functioning At Risk">
      <formula>LEFT(B429,LEN("Functioning At Risk"))="Functioning At Risk"</formula>
    </cfRule>
  </conditionalFormatting>
  <conditionalFormatting sqref="B433">
    <cfRule type="beginsWith" dxfId="1053" priority="2035" stopIfTrue="1" operator="beginsWith" text="Functioning At Risk">
      <formula>LEFT(B433,LEN("Functioning At Risk"))="Functioning At Risk"</formula>
    </cfRule>
    <cfRule type="beginsWith" dxfId="1052" priority="2036" stopIfTrue="1" operator="beginsWith" text="Not Functioning">
      <formula>LEFT(B433,LEN("Not Functioning"))="Not Functioning"</formula>
    </cfRule>
    <cfRule type="containsText" dxfId="1051" priority="2037" operator="containsText" text="Functioning">
      <formula>NOT(ISERROR(SEARCH("Functioning",B433)))</formula>
    </cfRule>
  </conditionalFormatting>
  <conditionalFormatting sqref="B451:B455">
    <cfRule type="beginsWith" dxfId="1050" priority="2026" stopIfTrue="1" operator="beginsWith" text="Functioning At Risk">
      <formula>LEFT(B451,LEN("Functioning At Risk"))="Functioning At Risk"</formula>
    </cfRule>
    <cfRule type="beginsWith" dxfId="1049" priority="2027" stopIfTrue="1" operator="beginsWith" text="Not Functioning">
      <formula>LEFT(B451,LEN("Not Functioning"))="Not Functioning"</formula>
    </cfRule>
    <cfRule type="containsText" dxfId="1048" priority="2028" operator="containsText" text="Functioning">
      <formula>NOT(ISERROR(SEARCH("Functioning",B451)))</formula>
    </cfRule>
  </conditionalFormatting>
  <conditionalFormatting sqref="B43:C43">
    <cfRule type="containsText" dxfId="1047" priority="5117" operator="containsText" text="Functioning">
      <formula>NOT(ISERROR(SEARCH("Functioning",B43)))</formula>
    </cfRule>
    <cfRule type="beginsWith" dxfId="1046" priority="5115" stopIfTrue="1" operator="beginsWith" text="Functioning At Risk">
      <formula>LEFT(B43,LEN("Functioning At Risk"))="Functioning At Risk"</formula>
    </cfRule>
    <cfRule type="beginsWith" dxfId="1045" priority="5116" stopIfTrue="1" operator="beginsWith" text="Not Functioning">
      <formula>LEFT(B43,LEN("Not Functioning"))="Not Functioning"</formula>
    </cfRule>
  </conditionalFormatting>
  <conditionalFormatting sqref="B89:C89">
    <cfRule type="beginsWith" dxfId="1044" priority="3191" stopIfTrue="1" operator="beginsWith" text="Not Functioning">
      <formula>LEFT(B89,LEN("Not Functioning"))="Not Functioning"</formula>
    </cfRule>
    <cfRule type="beginsWith" dxfId="1043" priority="3190" stopIfTrue="1" operator="beginsWith" text="Functioning At Risk">
      <formula>LEFT(B89,LEN("Functioning At Risk"))="Functioning At Risk"</formula>
    </cfRule>
    <cfRule type="containsText" dxfId="1042" priority="3192" operator="containsText" text="Functioning">
      <formula>NOT(ISERROR(SEARCH("Functioning",B89)))</formula>
    </cfRule>
  </conditionalFormatting>
  <conditionalFormatting sqref="B135:C135">
    <cfRule type="beginsWith" dxfId="1041" priority="3047" stopIfTrue="1" operator="beginsWith" text="Not Functioning">
      <formula>LEFT(B135,LEN("Not Functioning"))="Not Functioning"</formula>
    </cfRule>
    <cfRule type="containsText" dxfId="1040" priority="3048" operator="containsText" text="Functioning">
      <formula>NOT(ISERROR(SEARCH("Functioning",B135)))</formula>
    </cfRule>
    <cfRule type="beginsWith" dxfId="1039" priority="3046" stopIfTrue="1" operator="beginsWith" text="Functioning At Risk">
      <formula>LEFT(B135,LEN("Functioning At Risk"))="Functioning At Risk"</formula>
    </cfRule>
  </conditionalFormatting>
  <conditionalFormatting sqref="B181:C181">
    <cfRule type="containsText" dxfId="1038" priority="2904" operator="containsText" text="Functioning">
      <formula>NOT(ISERROR(SEARCH("Functioning",B181)))</formula>
    </cfRule>
    <cfRule type="beginsWith" dxfId="1037" priority="2902" stopIfTrue="1" operator="beginsWith" text="Functioning At Risk">
      <formula>LEFT(B181,LEN("Functioning At Risk"))="Functioning At Risk"</formula>
    </cfRule>
    <cfRule type="beginsWith" dxfId="1036" priority="2903" stopIfTrue="1" operator="beginsWith" text="Not Functioning">
      <formula>LEFT(B181,LEN("Not Functioning"))="Not Functioning"</formula>
    </cfRule>
  </conditionalFormatting>
  <conditionalFormatting sqref="B227:C227">
    <cfRule type="containsText" dxfId="1035" priority="2760" operator="containsText" text="Functioning">
      <formula>NOT(ISERROR(SEARCH("Functioning",B227)))</formula>
    </cfRule>
    <cfRule type="beginsWith" dxfId="1034" priority="2758" stopIfTrue="1" operator="beginsWith" text="Functioning At Risk">
      <formula>LEFT(B227,LEN("Functioning At Risk"))="Functioning At Risk"</formula>
    </cfRule>
    <cfRule type="beginsWith" dxfId="1033" priority="2759" stopIfTrue="1" operator="beginsWith" text="Not Functioning">
      <formula>LEFT(B227,LEN("Not Functioning"))="Not Functioning"</formula>
    </cfRule>
  </conditionalFormatting>
  <conditionalFormatting sqref="B273:C273">
    <cfRule type="beginsWith" dxfId="1032" priority="2614" stopIfTrue="1" operator="beginsWith" text="Functioning At Risk">
      <formula>LEFT(B273,LEN("Functioning At Risk"))="Functioning At Risk"</formula>
    </cfRule>
    <cfRule type="beginsWith" dxfId="1031" priority="2615" stopIfTrue="1" operator="beginsWith" text="Not Functioning">
      <formula>LEFT(B273,LEN("Not Functioning"))="Not Functioning"</formula>
    </cfRule>
    <cfRule type="containsText" dxfId="1030" priority="2616" operator="containsText" text="Functioning">
      <formula>NOT(ISERROR(SEARCH("Functioning",B273)))</formula>
    </cfRule>
  </conditionalFormatting>
  <conditionalFormatting sqref="B319:C319">
    <cfRule type="beginsWith" dxfId="1029" priority="2470" stopIfTrue="1" operator="beginsWith" text="Functioning At Risk">
      <formula>LEFT(B319,LEN("Functioning At Risk"))="Functioning At Risk"</formula>
    </cfRule>
    <cfRule type="containsText" dxfId="1028" priority="2472" operator="containsText" text="Functioning">
      <formula>NOT(ISERROR(SEARCH("Functioning",B319)))</formula>
    </cfRule>
    <cfRule type="beginsWith" dxfId="1027" priority="2471" stopIfTrue="1" operator="beginsWith" text="Not Functioning">
      <formula>LEFT(B319,LEN("Not Functioning"))="Not Functioning"</formula>
    </cfRule>
  </conditionalFormatting>
  <conditionalFormatting sqref="B365:C365">
    <cfRule type="beginsWith" dxfId="1026" priority="2327" stopIfTrue="1" operator="beginsWith" text="Not Functioning">
      <formula>LEFT(B365,LEN("Not Functioning"))="Not Functioning"</formula>
    </cfRule>
    <cfRule type="containsText" dxfId="1025" priority="2328" operator="containsText" text="Functioning">
      <formula>NOT(ISERROR(SEARCH("Functioning",B365)))</formula>
    </cfRule>
    <cfRule type="beginsWith" dxfId="1024" priority="2326" stopIfTrue="1" operator="beginsWith" text="Functioning At Risk">
      <formula>LEFT(B365,LEN("Functioning At Risk"))="Functioning At Risk"</formula>
    </cfRule>
  </conditionalFormatting>
  <conditionalFormatting sqref="B411:C411">
    <cfRule type="beginsWith" dxfId="1023" priority="2182" stopIfTrue="1" operator="beginsWith" text="Functioning At Risk">
      <formula>LEFT(B411,LEN("Functioning At Risk"))="Functioning At Risk"</formula>
    </cfRule>
    <cfRule type="beginsWith" dxfId="1022" priority="2183" stopIfTrue="1" operator="beginsWith" text="Not Functioning">
      <formula>LEFT(B411,LEN("Not Functioning"))="Not Functioning"</formula>
    </cfRule>
    <cfRule type="containsText" dxfId="1021" priority="2184" operator="containsText" text="Functioning">
      <formula>NOT(ISERROR(SEARCH("Functioning",B411)))</formula>
    </cfRule>
  </conditionalFormatting>
  <conditionalFormatting sqref="B457:C457">
    <cfRule type="beginsWith" dxfId="1020" priority="2039" stopIfTrue="1" operator="beginsWith" text="Not Functioning">
      <formula>LEFT(B457,LEN("Not Functioning"))="Not Functioning"</formula>
    </cfRule>
    <cfRule type="beginsWith" dxfId="1019" priority="2038" stopIfTrue="1" operator="beginsWith" text="Functioning At Risk">
      <formula>LEFT(B457,LEN("Functioning At Risk"))="Functioning At Risk"</formula>
    </cfRule>
    <cfRule type="containsText" dxfId="1018" priority="2040" operator="containsText" text="Functioning">
      <formula>NOT(ISERROR(SEARCH("Functioning",B457)))</formula>
    </cfRule>
  </conditionalFormatting>
  <conditionalFormatting sqref="C19:C28">
    <cfRule type="containsText" dxfId="1017" priority="3753" operator="containsText" text="Functioning">
      <formula>NOT(ISERROR(SEARCH("Functioning",C19)))</formula>
    </cfRule>
  </conditionalFormatting>
  <conditionalFormatting sqref="C32:C33">
    <cfRule type="containsText" dxfId="1016" priority="5123" operator="containsText" text="Functioning">
      <formula>NOT(ISERROR(SEARCH("Functioning",C32)))</formula>
    </cfRule>
  </conditionalFormatting>
  <conditionalFormatting sqref="C41">
    <cfRule type="containsText" dxfId="1015" priority="5058" operator="containsText" text="Functioning">
      <formula>NOT(ISERROR(SEARCH("Functioning",C41)))</formula>
    </cfRule>
  </conditionalFormatting>
  <conditionalFormatting sqref="C44">
    <cfRule type="beginsWith" dxfId="1014" priority="5091" stopIfTrue="1" operator="beginsWith" text="Functioning At Risk">
      <formula>LEFT(C44,LEN("Functioning At Risk"))="Functioning At Risk"</formula>
    </cfRule>
    <cfRule type="containsText" dxfId="1013" priority="5093" operator="containsText" text="Functioning">
      <formula>NOT(ISERROR(SEARCH("Functioning",C44)))</formula>
    </cfRule>
    <cfRule type="beginsWith" dxfId="1012" priority="5092" stopIfTrue="1" operator="beginsWith" text="Not Functioning">
      <formula>LEFT(C44,LEN("Not Functioning"))="Not Functioning"</formula>
    </cfRule>
  </conditionalFormatting>
  <conditionalFormatting sqref="C90">
    <cfRule type="beginsWith" dxfId="1011" priority="3184" stopIfTrue="1" operator="beginsWith" text="Functioning At Risk">
      <formula>LEFT(C90,LEN("Functioning At Risk"))="Functioning At Risk"</formula>
    </cfRule>
    <cfRule type="containsText" dxfId="1010" priority="3186" operator="containsText" text="Functioning">
      <formula>NOT(ISERROR(SEARCH("Functioning",C90)))</formula>
    </cfRule>
    <cfRule type="beginsWith" dxfId="1009" priority="3185" stopIfTrue="1" operator="beginsWith" text="Not Functioning">
      <formula>LEFT(C90,LEN("Not Functioning"))="Not Functioning"</formula>
    </cfRule>
  </conditionalFormatting>
  <conditionalFormatting sqref="C136">
    <cfRule type="beginsWith" dxfId="1008" priority="3040" stopIfTrue="1" operator="beginsWith" text="Functioning At Risk">
      <formula>LEFT(C136,LEN("Functioning At Risk"))="Functioning At Risk"</formula>
    </cfRule>
    <cfRule type="beginsWith" dxfId="1007" priority="3041" stopIfTrue="1" operator="beginsWith" text="Not Functioning">
      <formula>LEFT(C136,LEN("Not Functioning"))="Not Functioning"</formula>
    </cfRule>
    <cfRule type="containsText" dxfId="1006" priority="3042" operator="containsText" text="Functioning">
      <formula>NOT(ISERROR(SEARCH("Functioning",C136)))</formula>
    </cfRule>
  </conditionalFormatting>
  <conditionalFormatting sqref="C182">
    <cfRule type="beginsWith" dxfId="1005" priority="2896" stopIfTrue="1" operator="beginsWith" text="Functioning At Risk">
      <formula>LEFT(C182,LEN("Functioning At Risk"))="Functioning At Risk"</formula>
    </cfRule>
    <cfRule type="containsText" dxfId="1004" priority="2898" operator="containsText" text="Functioning">
      <formula>NOT(ISERROR(SEARCH("Functioning",C182)))</formula>
    </cfRule>
    <cfRule type="beginsWith" dxfId="1003" priority="2897" stopIfTrue="1" operator="beginsWith" text="Not Functioning">
      <formula>LEFT(C182,LEN("Not Functioning"))="Not Functioning"</formula>
    </cfRule>
  </conditionalFormatting>
  <conditionalFormatting sqref="C228">
    <cfRule type="beginsWith" dxfId="1002" priority="2753" stopIfTrue="1" operator="beginsWith" text="Not Functioning">
      <formula>LEFT(C228,LEN("Not Functioning"))="Not Functioning"</formula>
    </cfRule>
    <cfRule type="beginsWith" dxfId="1001" priority="2752" stopIfTrue="1" operator="beginsWith" text="Functioning At Risk">
      <formula>LEFT(C228,LEN("Functioning At Risk"))="Functioning At Risk"</formula>
    </cfRule>
    <cfRule type="containsText" dxfId="1000" priority="2754" operator="containsText" text="Functioning">
      <formula>NOT(ISERROR(SEARCH("Functioning",C228)))</formula>
    </cfRule>
  </conditionalFormatting>
  <conditionalFormatting sqref="C274">
    <cfRule type="beginsWith" dxfId="999" priority="2608" stopIfTrue="1" operator="beginsWith" text="Functioning At Risk">
      <formula>LEFT(C274,LEN("Functioning At Risk"))="Functioning At Risk"</formula>
    </cfRule>
    <cfRule type="beginsWith" dxfId="998" priority="2609" stopIfTrue="1" operator="beginsWith" text="Not Functioning">
      <formula>LEFT(C274,LEN("Not Functioning"))="Not Functioning"</formula>
    </cfRule>
    <cfRule type="containsText" dxfId="997" priority="2610" operator="containsText" text="Functioning">
      <formula>NOT(ISERROR(SEARCH("Functioning",C274)))</formula>
    </cfRule>
  </conditionalFormatting>
  <conditionalFormatting sqref="C320">
    <cfRule type="beginsWith" dxfId="996" priority="2465" stopIfTrue="1" operator="beginsWith" text="Not Functioning">
      <formula>LEFT(C320,LEN("Not Functioning"))="Not Functioning"</formula>
    </cfRule>
    <cfRule type="beginsWith" dxfId="995" priority="2464" stopIfTrue="1" operator="beginsWith" text="Functioning At Risk">
      <formula>LEFT(C320,LEN("Functioning At Risk"))="Functioning At Risk"</formula>
    </cfRule>
    <cfRule type="containsText" dxfId="994" priority="2466" operator="containsText" text="Functioning">
      <formula>NOT(ISERROR(SEARCH("Functioning",C320)))</formula>
    </cfRule>
  </conditionalFormatting>
  <conditionalFormatting sqref="C366">
    <cfRule type="beginsWith" dxfId="993" priority="2321" stopIfTrue="1" operator="beginsWith" text="Not Functioning">
      <formula>LEFT(C366,LEN("Not Functioning"))="Not Functioning"</formula>
    </cfRule>
    <cfRule type="containsText" dxfId="992" priority="2322" operator="containsText" text="Functioning">
      <formula>NOT(ISERROR(SEARCH("Functioning",C366)))</formula>
    </cfRule>
    <cfRule type="beginsWith" dxfId="991" priority="2320" stopIfTrue="1" operator="beginsWith" text="Functioning At Risk">
      <formula>LEFT(C366,LEN("Functioning At Risk"))="Functioning At Risk"</formula>
    </cfRule>
  </conditionalFormatting>
  <conditionalFormatting sqref="C412">
    <cfRule type="beginsWith" dxfId="990" priority="2176" stopIfTrue="1" operator="beginsWith" text="Functioning At Risk">
      <formula>LEFT(C412,LEN("Functioning At Risk"))="Functioning At Risk"</formula>
    </cfRule>
    <cfRule type="beginsWith" dxfId="989" priority="2177" stopIfTrue="1" operator="beginsWith" text="Not Functioning">
      <formula>LEFT(C412,LEN("Not Functioning"))="Not Functioning"</formula>
    </cfRule>
    <cfRule type="containsText" dxfId="988" priority="2178" operator="containsText" text="Functioning">
      <formula>NOT(ISERROR(SEARCH("Functioning",C412)))</formula>
    </cfRule>
  </conditionalFormatting>
  <conditionalFormatting sqref="C458">
    <cfRule type="beginsWith" dxfId="987" priority="2032" stopIfTrue="1" operator="beginsWith" text="Functioning At Risk">
      <formula>LEFT(C458,LEN("Functioning At Risk"))="Functioning At Risk"</formula>
    </cfRule>
    <cfRule type="containsText" dxfId="986" priority="2034" operator="containsText" text="Functioning">
      <formula>NOT(ISERROR(SEARCH("Functioning",C458)))</formula>
    </cfRule>
    <cfRule type="beginsWith" dxfId="985" priority="2033" stopIfTrue="1" operator="beginsWith" text="Not Functioning">
      <formula>LEFT(C458,LEN("Not Functioning"))="Not Functioning"</formula>
    </cfRule>
  </conditionalFormatting>
  <conditionalFormatting sqref="C5:D5 A1 L1:M2 C3:E4 A3:B5 K5:K6 A6:I6 G7 K7:L10 A8:C8 E8:J8 I9:J10 A11:D11 H11:I11 K11:K44 C12:D12 A13:D13 H13:I14 A14 C14:D16 D17 B30:D30 B34:D34 C36:D37 A39:A43 I39:I43 H45:L45 K46 A52 A98 A144 A190 A236 A282 A328 A374 A420">
    <cfRule type="beginsWith" dxfId="984" priority="5995" stopIfTrue="1" operator="beginsWith" text="Functioning At Risk">
      <formula>LEFT(A1,LEN("Functioning At Risk"))="Functioning At Risk"</formula>
    </cfRule>
  </conditionalFormatting>
  <conditionalFormatting sqref="C19:D29">
    <cfRule type="beginsWith" dxfId="983" priority="3752" stopIfTrue="1" operator="beginsWith" text="Not Functioning">
      <formula>LEFT(C19,LEN("Not Functioning"))="Not Functioning"</formula>
    </cfRule>
    <cfRule type="beginsWith" dxfId="982" priority="3751" stopIfTrue="1" operator="beginsWith" text="Functioning At Risk">
      <formula>LEFT(C19,LEN("Functioning At Risk"))="Functioning At Risk"</formula>
    </cfRule>
  </conditionalFormatting>
  <conditionalFormatting sqref="C29:D29">
    <cfRule type="containsText" dxfId="981" priority="5535" operator="containsText" text="Functioning">
      <formula>NOT(ISERROR(SEARCH("Functioning",C29)))</formula>
    </cfRule>
  </conditionalFormatting>
  <conditionalFormatting sqref="C31:D33">
    <cfRule type="beginsWith" dxfId="980" priority="5122" stopIfTrue="1" operator="beginsWith" text="Not Functioning">
      <formula>LEFT(C31,LEN("Not Functioning"))="Not Functioning"</formula>
    </cfRule>
    <cfRule type="beginsWith" dxfId="979" priority="5121" stopIfTrue="1" operator="beginsWith" text="Functioning At Risk">
      <formula>LEFT(C31,LEN("Functioning At Risk"))="Functioning At Risk"</formula>
    </cfRule>
  </conditionalFormatting>
  <conditionalFormatting sqref="C39:D42">
    <cfRule type="beginsWith" dxfId="978" priority="5057" stopIfTrue="1" operator="beginsWith" text="Not Functioning">
      <formula>LEFT(C39,LEN("Not Functioning"))="Not Functioning"</formula>
    </cfRule>
    <cfRule type="beginsWith" dxfId="977" priority="5056" stopIfTrue="1" operator="beginsWith" text="Functioning At Risk">
      <formula>LEFT(C39,LEN("Functioning At Risk"))="Functioning At Risk"</formula>
    </cfRule>
  </conditionalFormatting>
  <conditionalFormatting sqref="C51:D51 A47 A49:B51">
    <cfRule type="beginsWith" dxfId="976" priority="780" stopIfTrue="1" operator="beginsWith" text="Functioning At Risk">
      <formula>LEFT(A47,LEN("Functioning At Risk"))="Functioning At Risk"</formula>
    </cfRule>
  </conditionalFormatting>
  <conditionalFormatting sqref="C60:D62 D63">
    <cfRule type="beginsWith" dxfId="975" priority="1699" stopIfTrue="1" operator="beginsWith" text="Functioning At Risk">
      <formula>LEFT(C60,LEN("Functioning At Risk"))="Functioning At Risk"</formula>
    </cfRule>
    <cfRule type="beginsWith" dxfId="974" priority="1700" stopIfTrue="1" operator="beginsWith" text="Not Functioning">
      <formula>LEFT(C60,LEN("Not Functioning"))="Not Functioning"</formula>
    </cfRule>
    <cfRule type="containsText" dxfId="973" priority="1701" operator="containsText" text="Functioning">
      <formula>NOT(ISERROR(SEARCH("Functioning",C60)))</formula>
    </cfRule>
  </conditionalFormatting>
  <conditionalFormatting sqref="C65:D75">
    <cfRule type="beginsWith" dxfId="972" priority="3160" stopIfTrue="1" operator="beginsWith" text="Functioning At Risk">
      <formula>LEFT(C65,LEN("Functioning At Risk"))="Functioning At Risk"</formula>
    </cfRule>
    <cfRule type="beginsWith" dxfId="971" priority="3161" stopIfTrue="1" operator="beginsWith" text="Not Functioning">
      <formula>LEFT(C65,LEN("Not Functioning"))="Not Functioning"</formula>
    </cfRule>
    <cfRule type="containsText" dxfId="970" priority="3162" operator="containsText" text="Functioning">
      <formula>NOT(ISERROR(SEARCH("Functioning",C65)))</formula>
    </cfRule>
  </conditionalFormatting>
  <conditionalFormatting sqref="C77:D79">
    <cfRule type="beginsWith" dxfId="969" priority="3193" stopIfTrue="1" operator="beginsWith" text="Functioning At Risk">
      <formula>LEFT(C77,LEN("Functioning At Risk"))="Functioning At Risk"</formula>
    </cfRule>
    <cfRule type="beginsWith" dxfId="968" priority="3194" stopIfTrue="1" operator="beginsWith" text="Not Functioning">
      <formula>LEFT(C77,LEN("Not Functioning"))="Not Functioning"</formula>
    </cfRule>
    <cfRule type="containsText" dxfId="967" priority="3195" operator="containsText" text="Functioning">
      <formula>NOT(ISERROR(SEARCH("Functioning",C77)))</formula>
    </cfRule>
  </conditionalFormatting>
  <conditionalFormatting sqref="C85:D88">
    <cfRule type="containsText" dxfId="966" priority="3183" operator="containsText" text="Functioning">
      <formula>NOT(ISERROR(SEARCH("Functioning",C85)))</formula>
    </cfRule>
    <cfRule type="beginsWith" dxfId="965" priority="3182" stopIfTrue="1" operator="beginsWith" text="Not Functioning">
      <formula>LEFT(C85,LEN("Not Functioning"))="Not Functioning"</formula>
    </cfRule>
    <cfRule type="beginsWith" dxfId="964" priority="3181" stopIfTrue="1" operator="beginsWith" text="Functioning At Risk">
      <formula>LEFT(C85,LEN("Functioning At Risk"))="Functioning At Risk"</formula>
    </cfRule>
  </conditionalFormatting>
  <conditionalFormatting sqref="C97:D97 A93 A95:B97">
    <cfRule type="beginsWith" dxfId="963" priority="765" stopIfTrue="1" operator="beginsWith" text="Functioning At Risk">
      <formula>LEFT(A93,LEN("Functioning At Risk"))="Functioning At Risk"</formula>
    </cfRule>
  </conditionalFormatting>
  <conditionalFormatting sqref="C106:D108 D109">
    <cfRule type="beginsWith" dxfId="962" priority="1685" stopIfTrue="1" operator="beginsWith" text="Not Functioning">
      <formula>LEFT(C106,LEN("Not Functioning"))="Not Functioning"</formula>
    </cfRule>
    <cfRule type="beginsWith" dxfId="961" priority="1684" stopIfTrue="1" operator="beginsWith" text="Functioning At Risk">
      <formula>LEFT(C106,LEN("Functioning At Risk"))="Functioning At Risk"</formula>
    </cfRule>
    <cfRule type="containsText" dxfId="960" priority="1686" operator="containsText" text="Functioning">
      <formula>NOT(ISERROR(SEARCH("Functioning",C106)))</formula>
    </cfRule>
  </conditionalFormatting>
  <conditionalFormatting sqref="C111:D121">
    <cfRule type="containsText" dxfId="959" priority="3018" operator="containsText" text="Functioning">
      <formula>NOT(ISERROR(SEARCH("Functioning",C111)))</formula>
    </cfRule>
    <cfRule type="beginsWith" dxfId="958" priority="3017" stopIfTrue="1" operator="beginsWith" text="Not Functioning">
      <formula>LEFT(C111,LEN("Not Functioning"))="Not Functioning"</formula>
    </cfRule>
    <cfRule type="beginsWith" dxfId="957" priority="3016" stopIfTrue="1" operator="beginsWith" text="Functioning At Risk">
      <formula>LEFT(C111,LEN("Functioning At Risk"))="Functioning At Risk"</formula>
    </cfRule>
  </conditionalFormatting>
  <conditionalFormatting sqref="C123:D125">
    <cfRule type="beginsWith" dxfId="956" priority="3049" stopIfTrue="1" operator="beginsWith" text="Functioning At Risk">
      <formula>LEFT(C123,LEN("Functioning At Risk"))="Functioning At Risk"</formula>
    </cfRule>
    <cfRule type="beginsWith" dxfId="955" priority="3050" stopIfTrue="1" operator="beginsWith" text="Not Functioning">
      <formula>LEFT(C123,LEN("Not Functioning"))="Not Functioning"</formula>
    </cfRule>
    <cfRule type="containsText" dxfId="954" priority="3051" operator="containsText" text="Functioning">
      <formula>NOT(ISERROR(SEARCH("Functioning",C123)))</formula>
    </cfRule>
  </conditionalFormatting>
  <conditionalFormatting sqref="C131:D134">
    <cfRule type="containsText" dxfId="953" priority="3039" operator="containsText" text="Functioning">
      <formula>NOT(ISERROR(SEARCH("Functioning",C131)))</formula>
    </cfRule>
    <cfRule type="beginsWith" dxfId="952" priority="3037" stopIfTrue="1" operator="beginsWith" text="Functioning At Risk">
      <formula>LEFT(C131,LEN("Functioning At Risk"))="Functioning At Risk"</formula>
    </cfRule>
    <cfRule type="beginsWith" dxfId="951" priority="3038" stopIfTrue="1" operator="beginsWith" text="Not Functioning">
      <formula>LEFT(C131,LEN("Not Functioning"))="Not Functioning"</formula>
    </cfRule>
  </conditionalFormatting>
  <conditionalFormatting sqref="C143:D143 A139 A141:B143">
    <cfRule type="beginsWith" dxfId="950" priority="750" stopIfTrue="1" operator="beginsWith" text="Functioning At Risk">
      <formula>LEFT(A139,LEN("Functioning At Risk"))="Functioning At Risk"</formula>
    </cfRule>
  </conditionalFormatting>
  <conditionalFormatting sqref="C152:D154 D155">
    <cfRule type="containsText" dxfId="949" priority="1671" operator="containsText" text="Functioning">
      <formula>NOT(ISERROR(SEARCH("Functioning",C152)))</formula>
    </cfRule>
    <cfRule type="beginsWith" dxfId="948" priority="1670" stopIfTrue="1" operator="beginsWith" text="Not Functioning">
      <formula>LEFT(C152,LEN("Not Functioning"))="Not Functioning"</formula>
    </cfRule>
    <cfRule type="beginsWith" dxfId="947" priority="1669" stopIfTrue="1" operator="beginsWith" text="Functioning At Risk">
      <formula>LEFT(C152,LEN("Functioning At Risk"))="Functioning At Risk"</formula>
    </cfRule>
  </conditionalFormatting>
  <conditionalFormatting sqref="C157:D167">
    <cfRule type="beginsWith" dxfId="946" priority="2872" stopIfTrue="1" operator="beginsWith" text="Functioning At Risk">
      <formula>LEFT(C157,LEN("Functioning At Risk"))="Functioning At Risk"</formula>
    </cfRule>
    <cfRule type="beginsWith" dxfId="945" priority="2873" stopIfTrue="1" operator="beginsWith" text="Not Functioning">
      <formula>LEFT(C157,LEN("Not Functioning"))="Not Functioning"</formula>
    </cfRule>
    <cfRule type="containsText" dxfId="944" priority="2874" operator="containsText" text="Functioning">
      <formula>NOT(ISERROR(SEARCH("Functioning",C157)))</formula>
    </cfRule>
  </conditionalFormatting>
  <conditionalFormatting sqref="C169:D171">
    <cfRule type="beginsWith" dxfId="943" priority="2905" stopIfTrue="1" operator="beginsWith" text="Functioning At Risk">
      <formula>LEFT(C169,LEN("Functioning At Risk"))="Functioning At Risk"</formula>
    </cfRule>
    <cfRule type="beginsWith" dxfId="942" priority="2906" stopIfTrue="1" operator="beginsWith" text="Not Functioning">
      <formula>LEFT(C169,LEN("Not Functioning"))="Not Functioning"</formula>
    </cfRule>
    <cfRule type="containsText" dxfId="941" priority="2907" operator="containsText" text="Functioning">
      <formula>NOT(ISERROR(SEARCH("Functioning",C169)))</formula>
    </cfRule>
  </conditionalFormatting>
  <conditionalFormatting sqref="C177:D180">
    <cfRule type="beginsWith" dxfId="940" priority="2893" stopIfTrue="1" operator="beginsWith" text="Functioning At Risk">
      <formula>LEFT(C177,LEN("Functioning At Risk"))="Functioning At Risk"</formula>
    </cfRule>
    <cfRule type="containsText" dxfId="939" priority="2895" operator="containsText" text="Functioning">
      <formula>NOT(ISERROR(SEARCH("Functioning",C177)))</formula>
    </cfRule>
    <cfRule type="beginsWith" dxfId="938" priority="2894" stopIfTrue="1" operator="beginsWith" text="Not Functioning">
      <formula>LEFT(C177,LEN("Not Functioning"))="Not Functioning"</formula>
    </cfRule>
  </conditionalFormatting>
  <conditionalFormatting sqref="C189:D189 A185 A187:B189">
    <cfRule type="beginsWith" dxfId="937" priority="735" stopIfTrue="1" operator="beginsWith" text="Functioning At Risk">
      <formula>LEFT(A185,LEN("Functioning At Risk"))="Functioning At Risk"</formula>
    </cfRule>
  </conditionalFormatting>
  <conditionalFormatting sqref="C198:D200 D201">
    <cfRule type="beginsWith" dxfId="936" priority="1654" stopIfTrue="1" operator="beginsWith" text="Functioning At Risk">
      <formula>LEFT(C198,LEN("Functioning At Risk"))="Functioning At Risk"</formula>
    </cfRule>
    <cfRule type="containsText" dxfId="935" priority="1656" operator="containsText" text="Functioning">
      <formula>NOT(ISERROR(SEARCH("Functioning",C198)))</formula>
    </cfRule>
    <cfRule type="beginsWith" dxfId="934" priority="1655" stopIfTrue="1" operator="beginsWith" text="Not Functioning">
      <formula>LEFT(C198,LEN("Not Functioning"))="Not Functioning"</formula>
    </cfRule>
  </conditionalFormatting>
  <conditionalFormatting sqref="C203:D213">
    <cfRule type="beginsWith" dxfId="933" priority="2729" stopIfTrue="1" operator="beginsWith" text="Not Functioning">
      <formula>LEFT(C203,LEN("Not Functioning"))="Not Functioning"</formula>
    </cfRule>
    <cfRule type="beginsWith" dxfId="932" priority="2728" stopIfTrue="1" operator="beginsWith" text="Functioning At Risk">
      <formula>LEFT(C203,LEN("Functioning At Risk"))="Functioning At Risk"</formula>
    </cfRule>
    <cfRule type="containsText" dxfId="931" priority="2730" operator="containsText" text="Functioning">
      <formula>NOT(ISERROR(SEARCH("Functioning",C203)))</formula>
    </cfRule>
  </conditionalFormatting>
  <conditionalFormatting sqref="C215:D217">
    <cfRule type="beginsWith" dxfId="930" priority="2761" stopIfTrue="1" operator="beginsWith" text="Functioning At Risk">
      <formula>LEFT(C215,LEN("Functioning At Risk"))="Functioning At Risk"</formula>
    </cfRule>
    <cfRule type="beginsWith" dxfId="929" priority="2762" stopIfTrue="1" operator="beginsWith" text="Not Functioning">
      <formula>LEFT(C215,LEN("Not Functioning"))="Not Functioning"</formula>
    </cfRule>
    <cfRule type="containsText" dxfId="928" priority="2763" operator="containsText" text="Functioning">
      <formula>NOT(ISERROR(SEARCH("Functioning",C215)))</formula>
    </cfRule>
  </conditionalFormatting>
  <conditionalFormatting sqref="C223:D226">
    <cfRule type="beginsWith" dxfId="927" priority="2749" stopIfTrue="1" operator="beginsWith" text="Functioning At Risk">
      <formula>LEFT(C223,LEN("Functioning At Risk"))="Functioning At Risk"</formula>
    </cfRule>
    <cfRule type="beginsWith" dxfId="926" priority="2750" stopIfTrue="1" operator="beginsWith" text="Not Functioning">
      <formula>LEFT(C223,LEN("Not Functioning"))="Not Functioning"</formula>
    </cfRule>
    <cfRule type="containsText" dxfId="925" priority="2751" operator="containsText" text="Functioning">
      <formula>NOT(ISERROR(SEARCH("Functioning",C223)))</formula>
    </cfRule>
  </conditionalFormatting>
  <conditionalFormatting sqref="C235:D235 A231 A233:B235">
    <cfRule type="beginsWith" dxfId="924" priority="720" stopIfTrue="1" operator="beginsWith" text="Functioning At Risk">
      <formula>LEFT(A231,LEN("Functioning At Risk"))="Functioning At Risk"</formula>
    </cfRule>
  </conditionalFormatting>
  <conditionalFormatting sqref="C244:D246 D247">
    <cfRule type="containsText" dxfId="923" priority="1641" operator="containsText" text="Functioning">
      <formula>NOT(ISERROR(SEARCH("Functioning",C244)))</formula>
    </cfRule>
    <cfRule type="beginsWith" dxfId="922" priority="1640" stopIfTrue="1" operator="beginsWith" text="Not Functioning">
      <formula>LEFT(C244,LEN("Not Functioning"))="Not Functioning"</formula>
    </cfRule>
    <cfRule type="beginsWith" dxfId="921" priority="1639" stopIfTrue="1" operator="beginsWith" text="Functioning At Risk">
      <formula>LEFT(C244,LEN("Functioning At Risk"))="Functioning At Risk"</formula>
    </cfRule>
  </conditionalFormatting>
  <conditionalFormatting sqref="C249:D259">
    <cfRule type="containsText" dxfId="920" priority="2586" operator="containsText" text="Functioning">
      <formula>NOT(ISERROR(SEARCH("Functioning",C249)))</formula>
    </cfRule>
    <cfRule type="beginsWith" dxfId="919" priority="2585" stopIfTrue="1" operator="beginsWith" text="Not Functioning">
      <formula>LEFT(C249,LEN("Not Functioning"))="Not Functioning"</formula>
    </cfRule>
    <cfRule type="beginsWith" dxfId="918" priority="2584" stopIfTrue="1" operator="beginsWith" text="Functioning At Risk">
      <formula>LEFT(C249,LEN("Functioning At Risk"))="Functioning At Risk"</formula>
    </cfRule>
  </conditionalFormatting>
  <conditionalFormatting sqref="C261:D263">
    <cfRule type="beginsWith" dxfId="917" priority="2618" stopIfTrue="1" operator="beginsWith" text="Not Functioning">
      <formula>LEFT(C261,LEN("Not Functioning"))="Not Functioning"</formula>
    </cfRule>
    <cfRule type="containsText" dxfId="916" priority="2619" operator="containsText" text="Functioning">
      <formula>NOT(ISERROR(SEARCH("Functioning",C261)))</formula>
    </cfRule>
    <cfRule type="beginsWith" dxfId="915" priority="2617" stopIfTrue="1" operator="beginsWith" text="Functioning At Risk">
      <formula>LEFT(C261,LEN("Functioning At Risk"))="Functioning At Risk"</formula>
    </cfRule>
  </conditionalFormatting>
  <conditionalFormatting sqref="C269:D272">
    <cfRule type="beginsWith" dxfId="914" priority="2606" stopIfTrue="1" operator="beginsWith" text="Not Functioning">
      <formula>LEFT(C269,LEN("Not Functioning"))="Not Functioning"</formula>
    </cfRule>
    <cfRule type="beginsWith" dxfId="913" priority="2605" stopIfTrue="1" operator="beginsWith" text="Functioning At Risk">
      <formula>LEFT(C269,LEN("Functioning At Risk"))="Functioning At Risk"</formula>
    </cfRule>
    <cfRule type="containsText" dxfId="912" priority="2607" operator="containsText" text="Functioning">
      <formula>NOT(ISERROR(SEARCH("Functioning",C269)))</formula>
    </cfRule>
  </conditionalFormatting>
  <conditionalFormatting sqref="C281:D281 A277 A279:B281">
    <cfRule type="beginsWith" dxfId="911" priority="705" stopIfTrue="1" operator="beginsWith" text="Functioning At Risk">
      <formula>LEFT(A277,LEN("Functioning At Risk"))="Functioning At Risk"</formula>
    </cfRule>
  </conditionalFormatting>
  <conditionalFormatting sqref="C290:D292 D293">
    <cfRule type="beginsWith" dxfId="910" priority="1624" stopIfTrue="1" operator="beginsWith" text="Functioning At Risk">
      <formula>LEFT(C290,LEN("Functioning At Risk"))="Functioning At Risk"</formula>
    </cfRule>
    <cfRule type="beginsWith" dxfId="909" priority="1625" stopIfTrue="1" operator="beginsWith" text="Not Functioning">
      <formula>LEFT(C290,LEN("Not Functioning"))="Not Functioning"</formula>
    </cfRule>
    <cfRule type="containsText" dxfId="908" priority="1626" operator="containsText" text="Functioning">
      <formula>NOT(ISERROR(SEARCH("Functioning",C290)))</formula>
    </cfRule>
  </conditionalFormatting>
  <conditionalFormatting sqref="C295:D305">
    <cfRule type="containsText" dxfId="907" priority="2442" operator="containsText" text="Functioning">
      <formula>NOT(ISERROR(SEARCH("Functioning",C295)))</formula>
    </cfRule>
    <cfRule type="beginsWith" dxfId="906" priority="2441" stopIfTrue="1" operator="beginsWith" text="Not Functioning">
      <formula>LEFT(C295,LEN("Not Functioning"))="Not Functioning"</formula>
    </cfRule>
    <cfRule type="beginsWith" dxfId="905" priority="2440" stopIfTrue="1" operator="beginsWith" text="Functioning At Risk">
      <formula>LEFT(C295,LEN("Functioning At Risk"))="Functioning At Risk"</formula>
    </cfRule>
  </conditionalFormatting>
  <conditionalFormatting sqref="C307:D309">
    <cfRule type="containsText" dxfId="904" priority="2475" operator="containsText" text="Functioning">
      <formula>NOT(ISERROR(SEARCH("Functioning",C307)))</formula>
    </cfRule>
    <cfRule type="beginsWith" dxfId="903" priority="2474" stopIfTrue="1" operator="beginsWith" text="Not Functioning">
      <formula>LEFT(C307,LEN("Not Functioning"))="Not Functioning"</formula>
    </cfRule>
    <cfRule type="beginsWith" dxfId="902" priority="2473" stopIfTrue="1" operator="beginsWith" text="Functioning At Risk">
      <formula>LEFT(C307,LEN("Functioning At Risk"))="Functioning At Risk"</formula>
    </cfRule>
  </conditionalFormatting>
  <conditionalFormatting sqref="C315:D318">
    <cfRule type="beginsWith" dxfId="901" priority="2461" stopIfTrue="1" operator="beginsWith" text="Functioning At Risk">
      <formula>LEFT(C315,LEN("Functioning At Risk"))="Functioning At Risk"</formula>
    </cfRule>
    <cfRule type="beginsWith" dxfId="900" priority="2462" stopIfTrue="1" operator="beginsWith" text="Not Functioning">
      <formula>LEFT(C315,LEN("Not Functioning"))="Not Functioning"</formula>
    </cfRule>
    <cfRule type="containsText" dxfId="899" priority="2463" operator="containsText" text="Functioning">
      <formula>NOT(ISERROR(SEARCH("Functioning",C315)))</formula>
    </cfRule>
  </conditionalFormatting>
  <conditionalFormatting sqref="C327:D327 A323 A325:B327">
    <cfRule type="beginsWith" dxfId="898" priority="690" stopIfTrue="1" operator="beginsWith" text="Functioning At Risk">
      <formula>LEFT(A323,LEN("Functioning At Risk"))="Functioning At Risk"</formula>
    </cfRule>
  </conditionalFormatting>
  <conditionalFormatting sqref="C336:D338 D339">
    <cfRule type="beginsWith" dxfId="897" priority="1609" stopIfTrue="1" operator="beginsWith" text="Functioning At Risk">
      <formula>LEFT(C336,LEN("Functioning At Risk"))="Functioning At Risk"</formula>
    </cfRule>
    <cfRule type="beginsWith" dxfId="896" priority="1610" stopIfTrue="1" operator="beginsWith" text="Not Functioning">
      <formula>LEFT(C336,LEN("Not Functioning"))="Not Functioning"</formula>
    </cfRule>
    <cfRule type="containsText" dxfId="895" priority="1611" operator="containsText" text="Functioning">
      <formula>NOT(ISERROR(SEARCH("Functioning",C336)))</formula>
    </cfRule>
  </conditionalFormatting>
  <conditionalFormatting sqref="C341:D351">
    <cfRule type="beginsWith" dxfId="894" priority="2296" stopIfTrue="1" operator="beginsWith" text="Functioning At Risk">
      <formula>LEFT(C341,LEN("Functioning At Risk"))="Functioning At Risk"</formula>
    </cfRule>
    <cfRule type="containsText" dxfId="893" priority="2298" operator="containsText" text="Functioning">
      <formula>NOT(ISERROR(SEARCH("Functioning",C341)))</formula>
    </cfRule>
    <cfRule type="beginsWith" dxfId="892" priority="2297" stopIfTrue="1" operator="beginsWith" text="Not Functioning">
      <formula>LEFT(C341,LEN("Not Functioning"))="Not Functioning"</formula>
    </cfRule>
  </conditionalFormatting>
  <conditionalFormatting sqref="C353:D355">
    <cfRule type="beginsWith" dxfId="891" priority="2329" stopIfTrue="1" operator="beginsWith" text="Functioning At Risk">
      <formula>LEFT(C353,LEN("Functioning At Risk"))="Functioning At Risk"</formula>
    </cfRule>
    <cfRule type="containsText" dxfId="890" priority="2331" operator="containsText" text="Functioning">
      <formula>NOT(ISERROR(SEARCH("Functioning",C353)))</formula>
    </cfRule>
    <cfRule type="beginsWith" dxfId="889" priority="2330" stopIfTrue="1" operator="beginsWith" text="Not Functioning">
      <formula>LEFT(C353,LEN("Not Functioning"))="Not Functioning"</formula>
    </cfRule>
  </conditionalFormatting>
  <conditionalFormatting sqref="C361:D364">
    <cfRule type="containsText" dxfId="888" priority="2319" operator="containsText" text="Functioning">
      <formula>NOT(ISERROR(SEARCH("Functioning",C361)))</formula>
    </cfRule>
    <cfRule type="beginsWith" dxfId="887" priority="2318" stopIfTrue="1" operator="beginsWith" text="Not Functioning">
      <formula>LEFT(C361,LEN("Not Functioning"))="Not Functioning"</formula>
    </cfRule>
    <cfRule type="beginsWith" dxfId="886" priority="2317" stopIfTrue="1" operator="beginsWith" text="Functioning At Risk">
      <formula>LEFT(C361,LEN("Functioning At Risk"))="Functioning At Risk"</formula>
    </cfRule>
  </conditionalFormatting>
  <conditionalFormatting sqref="C373:D373 A369 A371:B373">
    <cfRule type="beginsWith" dxfId="885" priority="675" stopIfTrue="1" operator="beginsWith" text="Functioning At Risk">
      <formula>LEFT(A369,LEN("Functioning At Risk"))="Functioning At Risk"</formula>
    </cfRule>
  </conditionalFormatting>
  <conditionalFormatting sqref="C382:D384 D385">
    <cfRule type="beginsWith" dxfId="884" priority="1595" stopIfTrue="1" operator="beginsWith" text="Not Functioning">
      <formula>LEFT(C382,LEN("Not Functioning"))="Not Functioning"</formula>
    </cfRule>
    <cfRule type="containsText" dxfId="883" priority="1596" operator="containsText" text="Functioning">
      <formula>NOT(ISERROR(SEARCH("Functioning",C382)))</formula>
    </cfRule>
    <cfRule type="beginsWith" dxfId="882" priority="1594" stopIfTrue="1" operator="beginsWith" text="Functioning At Risk">
      <formula>LEFT(C382,LEN("Functioning At Risk"))="Functioning At Risk"</formula>
    </cfRule>
  </conditionalFormatting>
  <conditionalFormatting sqref="C387:D397">
    <cfRule type="beginsWith" dxfId="881" priority="2153" stopIfTrue="1" operator="beginsWith" text="Not Functioning">
      <formula>LEFT(C387,LEN("Not Functioning"))="Not Functioning"</formula>
    </cfRule>
    <cfRule type="beginsWith" dxfId="880" priority="2152" stopIfTrue="1" operator="beginsWith" text="Functioning At Risk">
      <formula>LEFT(C387,LEN("Functioning At Risk"))="Functioning At Risk"</formula>
    </cfRule>
    <cfRule type="containsText" dxfId="879" priority="2154" operator="containsText" text="Functioning">
      <formula>NOT(ISERROR(SEARCH("Functioning",C387)))</formula>
    </cfRule>
  </conditionalFormatting>
  <conditionalFormatting sqref="C399:D401">
    <cfRule type="beginsWith" dxfId="878" priority="2185" stopIfTrue="1" operator="beginsWith" text="Functioning At Risk">
      <formula>LEFT(C399,LEN("Functioning At Risk"))="Functioning At Risk"</formula>
    </cfRule>
    <cfRule type="containsText" dxfId="877" priority="2187" operator="containsText" text="Functioning">
      <formula>NOT(ISERROR(SEARCH("Functioning",C399)))</formula>
    </cfRule>
    <cfRule type="beginsWith" dxfId="876" priority="2186" stopIfTrue="1" operator="beginsWith" text="Not Functioning">
      <formula>LEFT(C399,LEN("Not Functioning"))="Not Functioning"</formula>
    </cfRule>
  </conditionalFormatting>
  <conditionalFormatting sqref="C407:D410">
    <cfRule type="beginsWith" dxfId="875" priority="2173" stopIfTrue="1" operator="beginsWith" text="Functioning At Risk">
      <formula>LEFT(C407,LEN("Functioning At Risk"))="Functioning At Risk"</formula>
    </cfRule>
    <cfRule type="beginsWith" dxfId="874" priority="2174" stopIfTrue="1" operator="beginsWith" text="Not Functioning">
      <formula>LEFT(C407,LEN("Not Functioning"))="Not Functioning"</formula>
    </cfRule>
    <cfRule type="containsText" dxfId="873" priority="2175" operator="containsText" text="Functioning">
      <formula>NOT(ISERROR(SEARCH("Functioning",C407)))</formula>
    </cfRule>
  </conditionalFormatting>
  <conditionalFormatting sqref="C419:D419 A415 A417:B419">
    <cfRule type="beginsWith" dxfId="872" priority="660" stopIfTrue="1" operator="beginsWith" text="Functioning At Risk">
      <formula>LEFT(A415,LEN("Functioning At Risk"))="Functioning At Risk"</formula>
    </cfRule>
  </conditionalFormatting>
  <conditionalFormatting sqref="C428:D430 D431">
    <cfRule type="beginsWith" dxfId="871" priority="1579" stopIfTrue="1" operator="beginsWith" text="Functioning At Risk">
      <formula>LEFT(C428,LEN("Functioning At Risk"))="Functioning At Risk"</formula>
    </cfRule>
    <cfRule type="beginsWith" dxfId="870" priority="1580" stopIfTrue="1" operator="beginsWith" text="Not Functioning">
      <formula>LEFT(C428,LEN("Not Functioning"))="Not Functioning"</formula>
    </cfRule>
    <cfRule type="containsText" dxfId="869" priority="1581" operator="containsText" text="Functioning">
      <formula>NOT(ISERROR(SEARCH("Functioning",C428)))</formula>
    </cfRule>
  </conditionalFormatting>
  <conditionalFormatting sqref="C433:D443">
    <cfRule type="beginsWith" dxfId="868" priority="2008" stopIfTrue="1" operator="beginsWith" text="Functioning At Risk">
      <formula>LEFT(C433,LEN("Functioning At Risk"))="Functioning At Risk"</formula>
    </cfRule>
    <cfRule type="containsText" dxfId="867" priority="2010" operator="containsText" text="Functioning">
      <formula>NOT(ISERROR(SEARCH("Functioning",C433)))</formula>
    </cfRule>
    <cfRule type="beginsWith" dxfId="866" priority="2009" stopIfTrue="1" operator="beginsWith" text="Not Functioning">
      <formula>LEFT(C433,LEN("Not Functioning"))="Not Functioning"</formula>
    </cfRule>
  </conditionalFormatting>
  <conditionalFormatting sqref="C445:D447">
    <cfRule type="beginsWith" dxfId="865" priority="2041" stopIfTrue="1" operator="beginsWith" text="Functioning At Risk">
      <formula>LEFT(C445,LEN("Functioning At Risk"))="Functioning At Risk"</formula>
    </cfRule>
    <cfRule type="containsText" dxfId="864" priority="2043" operator="containsText" text="Functioning">
      <formula>NOT(ISERROR(SEARCH("Functioning",C445)))</formula>
    </cfRule>
    <cfRule type="beginsWith" dxfId="863" priority="2042" stopIfTrue="1" operator="beginsWith" text="Not Functioning">
      <formula>LEFT(C445,LEN("Not Functioning"))="Not Functioning"</formula>
    </cfRule>
  </conditionalFormatting>
  <conditionalFormatting sqref="C453:D456">
    <cfRule type="beginsWith" dxfId="862" priority="2030" stopIfTrue="1" operator="beginsWith" text="Not Functioning">
      <formula>LEFT(C453,LEN("Not Functioning"))="Not Functioning"</formula>
    </cfRule>
    <cfRule type="containsText" dxfId="861" priority="2031" operator="containsText" text="Functioning">
      <formula>NOT(ISERROR(SEARCH("Functioning",C453)))</formula>
    </cfRule>
    <cfRule type="beginsWith" dxfId="860" priority="2029" stopIfTrue="1" operator="beginsWith" text="Functioning At Risk">
      <formula>LEFT(C453,LEN("Functioning At Risk"))="Functioning At Risk"</formula>
    </cfRule>
  </conditionalFormatting>
  <conditionalFormatting sqref="C49:E50">
    <cfRule type="containsText" dxfId="859" priority="647" operator="containsText" text="Functioning">
      <formula>NOT(ISERROR(SEARCH("Functioning",C49)))</formula>
    </cfRule>
    <cfRule type="beginsWith" dxfId="858" priority="646" stopIfTrue="1" operator="beginsWith" text="Not Functioning">
      <formula>LEFT(C49,LEN("Not Functioning"))="Not Functioning"</formula>
    </cfRule>
    <cfRule type="beginsWith" dxfId="857" priority="645" stopIfTrue="1" operator="beginsWith" text="Functioning At Risk">
      <formula>LEFT(C49,LEN("Functioning At Risk"))="Functioning At Risk"</formula>
    </cfRule>
  </conditionalFormatting>
  <conditionalFormatting sqref="C95:E96">
    <cfRule type="containsText" dxfId="856" priority="644" operator="containsText" text="Functioning">
      <formula>NOT(ISERROR(SEARCH("Functioning",C95)))</formula>
    </cfRule>
    <cfRule type="beginsWith" dxfId="855" priority="643" stopIfTrue="1" operator="beginsWith" text="Not Functioning">
      <formula>LEFT(C95,LEN("Not Functioning"))="Not Functioning"</formula>
    </cfRule>
    <cfRule type="beginsWith" dxfId="854" priority="642" stopIfTrue="1" operator="beginsWith" text="Functioning At Risk">
      <formula>LEFT(C95,LEN("Functioning At Risk"))="Functioning At Risk"</formula>
    </cfRule>
  </conditionalFormatting>
  <conditionalFormatting sqref="C141:E142">
    <cfRule type="beginsWith" dxfId="853" priority="639" stopIfTrue="1" operator="beginsWith" text="Functioning At Risk">
      <formula>LEFT(C141,LEN("Functioning At Risk"))="Functioning At Risk"</formula>
    </cfRule>
    <cfRule type="containsText" dxfId="852" priority="641" operator="containsText" text="Functioning">
      <formula>NOT(ISERROR(SEARCH("Functioning",C141)))</formula>
    </cfRule>
    <cfRule type="beginsWith" dxfId="851" priority="640" stopIfTrue="1" operator="beginsWith" text="Not Functioning">
      <formula>LEFT(C141,LEN("Not Functioning"))="Not Functioning"</formula>
    </cfRule>
  </conditionalFormatting>
  <conditionalFormatting sqref="C187:E188">
    <cfRule type="containsText" dxfId="850" priority="638" operator="containsText" text="Functioning">
      <formula>NOT(ISERROR(SEARCH("Functioning",C187)))</formula>
    </cfRule>
    <cfRule type="beginsWith" dxfId="849" priority="636" stopIfTrue="1" operator="beginsWith" text="Functioning At Risk">
      <formula>LEFT(C187,LEN("Functioning At Risk"))="Functioning At Risk"</formula>
    </cfRule>
    <cfRule type="beginsWith" dxfId="848" priority="637" stopIfTrue="1" operator="beginsWith" text="Not Functioning">
      <formula>LEFT(C187,LEN("Not Functioning"))="Not Functioning"</formula>
    </cfRule>
  </conditionalFormatting>
  <conditionalFormatting sqref="C233:E234">
    <cfRule type="beginsWith" dxfId="847" priority="633" stopIfTrue="1" operator="beginsWith" text="Functioning At Risk">
      <formula>LEFT(C233,LEN("Functioning At Risk"))="Functioning At Risk"</formula>
    </cfRule>
    <cfRule type="beginsWith" dxfId="846" priority="634" stopIfTrue="1" operator="beginsWith" text="Not Functioning">
      <formula>LEFT(C233,LEN("Not Functioning"))="Not Functioning"</formula>
    </cfRule>
    <cfRule type="containsText" dxfId="845" priority="635" operator="containsText" text="Functioning">
      <formula>NOT(ISERROR(SEARCH("Functioning",C233)))</formula>
    </cfRule>
  </conditionalFormatting>
  <conditionalFormatting sqref="C279:E280">
    <cfRule type="beginsWith" dxfId="844" priority="630" stopIfTrue="1" operator="beginsWith" text="Functioning At Risk">
      <formula>LEFT(C279,LEN("Functioning At Risk"))="Functioning At Risk"</formula>
    </cfRule>
    <cfRule type="beginsWith" dxfId="843" priority="631" stopIfTrue="1" operator="beginsWith" text="Not Functioning">
      <formula>LEFT(C279,LEN("Not Functioning"))="Not Functioning"</formula>
    </cfRule>
    <cfRule type="containsText" dxfId="842" priority="632" operator="containsText" text="Functioning">
      <formula>NOT(ISERROR(SEARCH("Functioning",C279)))</formula>
    </cfRule>
  </conditionalFormatting>
  <conditionalFormatting sqref="C325:E326">
    <cfRule type="containsText" dxfId="841" priority="629" operator="containsText" text="Functioning">
      <formula>NOT(ISERROR(SEARCH("Functioning",C325)))</formula>
    </cfRule>
    <cfRule type="beginsWith" dxfId="840" priority="627" stopIfTrue="1" operator="beginsWith" text="Functioning At Risk">
      <formula>LEFT(C325,LEN("Functioning At Risk"))="Functioning At Risk"</formula>
    </cfRule>
    <cfRule type="beginsWith" dxfId="839" priority="628" stopIfTrue="1" operator="beginsWith" text="Not Functioning">
      <formula>LEFT(C325,LEN("Not Functioning"))="Not Functioning"</formula>
    </cfRule>
  </conditionalFormatting>
  <conditionalFormatting sqref="C371:E372">
    <cfRule type="beginsWith" dxfId="838" priority="625" stopIfTrue="1" operator="beginsWith" text="Not Functioning">
      <formula>LEFT(C371,LEN("Not Functioning"))="Not Functioning"</formula>
    </cfRule>
    <cfRule type="containsText" dxfId="837" priority="626" operator="containsText" text="Functioning">
      <formula>NOT(ISERROR(SEARCH("Functioning",C371)))</formula>
    </cfRule>
    <cfRule type="beginsWith" dxfId="836" priority="624" stopIfTrue="1" operator="beginsWith" text="Functioning At Risk">
      <formula>LEFT(C371,LEN("Functioning At Risk"))="Functioning At Risk"</formula>
    </cfRule>
  </conditionalFormatting>
  <conditionalFormatting sqref="C417:E418">
    <cfRule type="beginsWith" dxfId="835" priority="621" stopIfTrue="1" operator="beginsWith" text="Functioning At Risk">
      <formula>LEFT(C417,LEN("Functioning At Risk"))="Functioning At Risk"</formula>
    </cfRule>
    <cfRule type="containsText" dxfId="834" priority="623" operator="containsText" text="Functioning">
      <formula>NOT(ISERROR(SEARCH("Functioning",C417)))</formula>
    </cfRule>
    <cfRule type="beginsWith" dxfId="833" priority="622" stopIfTrue="1" operator="beginsWith" text="Not Functioning">
      <formula>LEFT(C417,LEN("Not Functioning"))="Not Functioning"</formula>
    </cfRule>
  </conditionalFormatting>
  <conditionalFormatting sqref="C52:J52 G53 A54:C54 A57:D57 C58:D58 A59:D59 A60 B76:D76 B80:D80 C82:D83 A85:A89 H91:L91">
    <cfRule type="beginsWith" dxfId="832" priority="3250" stopIfTrue="1" operator="beginsWith" text="Functioning At Risk">
      <formula>LEFT(A52,LEN("Functioning At Risk"))="Functioning At Risk"</formula>
    </cfRule>
    <cfRule type="beginsWith" dxfId="831" priority="3251" stopIfTrue="1" operator="beginsWith" text="Not Functioning">
      <formula>LEFT(A52,LEN("Not Functioning"))="Not Functioning"</formula>
    </cfRule>
    <cfRule type="containsText" dxfId="830" priority="3252" operator="containsText" text="Functioning">
      <formula>NOT(ISERROR(SEARCH("Functioning",A52)))</formula>
    </cfRule>
  </conditionalFormatting>
  <conditionalFormatting sqref="C98:J98 G99 A100:C100 A103:D103 C104:D104 A105:D105 A106 B122:D122 B126:D126 C128:D129 A131:A135 H137:L137">
    <cfRule type="containsText" dxfId="829" priority="3108" operator="containsText" text="Functioning">
      <formula>NOT(ISERROR(SEARCH("Functioning",A98)))</formula>
    </cfRule>
    <cfRule type="beginsWith" dxfId="828" priority="3107" stopIfTrue="1" operator="beginsWith" text="Not Functioning">
      <formula>LEFT(A98,LEN("Not Functioning"))="Not Functioning"</formula>
    </cfRule>
    <cfRule type="beginsWith" dxfId="827" priority="3106" stopIfTrue="1" operator="beginsWith" text="Functioning At Risk">
      <formula>LEFT(A98,LEN("Functioning At Risk"))="Functioning At Risk"</formula>
    </cfRule>
  </conditionalFormatting>
  <conditionalFormatting sqref="C144:J144 G145 A146:C146 A149:D149 C150:D150 A151:D151 A152 B168:D168 B172:D172 C174:D175 A177:A181 H183:L183">
    <cfRule type="containsText" dxfId="826" priority="2964" operator="containsText" text="Functioning">
      <formula>NOT(ISERROR(SEARCH("Functioning",A144)))</formula>
    </cfRule>
    <cfRule type="beginsWith" dxfId="825" priority="2963" stopIfTrue="1" operator="beginsWith" text="Not Functioning">
      <formula>LEFT(A144,LEN("Not Functioning"))="Not Functioning"</formula>
    </cfRule>
    <cfRule type="beginsWith" dxfId="824" priority="2962" stopIfTrue="1" operator="beginsWith" text="Functioning At Risk">
      <formula>LEFT(A144,LEN("Functioning At Risk"))="Functioning At Risk"</formula>
    </cfRule>
  </conditionalFormatting>
  <conditionalFormatting sqref="C190:J190 G191 A192:C192 A195:D195 C196:D196 A197:D197 A198 B214:D214 B218:D218 C220:D221 A223:A227 H229:L229">
    <cfRule type="beginsWith" dxfId="823" priority="2818" stopIfTrue="1" operator="beginsWith" text="Functioning At Risk">
      <formula>LEFT(A190,LEN("Functioning At Risk"))="Functioning At Risk"</formula>
    </cfRule>
    <cfRule type="beginsWith" dxfId="822" priority="2819" stopIfTrue="1" operator="beginsWith" text="Not Functioning">
      <formula>LEFT(A190,LEN("Not Functioning"))="Not Functioning"</formula>
    </cfRule>
    <cfRule type="containsText" dxfId="821" priority="2820" operator="containsText" text="Functioning">
      <formula>NOT(ISERROR(SEARCH("Functioning",A190)))</formula>
    </cfRule>
  </conditionalFormatting>
  <conditionalFormatting sqref="C236:J236 G237 A238:C238 A241:D241 C242:D242 A243:D243 A244 B260:D260 B264:D264 C266:D267 A269:A273 H275:L275">
    <cfRule type="beginsWith" dxfId="820" priority="2675" stopIfTrue="1" operator="beginsWith" text="Not Functioning">
      <formula>LEFT(A236,LEN("Not Functioning"))="Not Functioning"</formula>
    </cfRule>
    <cfRule type="beginsWith" dxfId="819" priority="2674" stopIfTrue="1" operator="beginsWith" text="Functioning At Risk">
      <formula>LEFT(A236,LEN("Functioning At Risk"))="Functioning At Risk"</formula>
    </cfRule>
    <cfRule type="containsText" dxfId="818" priority="2676" operator="containsText" text="Functioning">
      <formula>NOT(ISERROR(SEARCH("Functioning",A236)))</formula>
    </cfRule>
  </conditionalFormatting>
  <conditionalFormatting sqref="C282:J282 G283 A284:C284 A287:D287 C288:D288 A289:D289 A290 B306:D306 B310:D310 C312:D313 A315:A319 H321:L321">
    <cfRule type="containsText" dxfId="817" priority="2532" operator="containsText" text="Functioning">
      <formula>NOT(ISERROR(SEARCH("Functioning",A282)))</formula>
    </cfRule>
    <cfRule type="beginsWith" dxfId="816" priority="2530" stopIfTrue="1" operator="beginsWith" text="Functioning At Risk">
      <formula>LEFT(A282,LEN("Functioning At Risk"))="Functioning At Risk"</formula>
    </cfRule>
    <cfRule type="beginsWith" dxfId="815" priority="2531" stopIfTrue="1" operator="beginsWith" text="Not Functioning">
      <formula>LEFT(A282,LEN("Not Functioning"))="Not Functioning"</formula>
    </cfRule>
  </conditionalFormatting>
  <conditionalFormatting sqref="C328:J328 G329 A330:C330 A333:D333 C334:D334 A335:D335 A336 B352:D352 B356:D356 C358:D359 A361:A365 H367:L367">
    <cfRule type="beginsWith" dxfId="814" priority="2387" stopIfTrue="1" operator="beginsWith" text="Not Functioning">
      <formula>LEFT(A328,LEN("Not Functioning"))="Not Functioning"</formula>
    </cfRule>
    <cfRule type="containsText" dxfId="813" priority="2388" operator="containsText" text="Functioning">
      <formula>NOT(ISERROR(SEARCH("Functioning",A328)))</formula>
    </cfRule>
    <cfRule type="beginsWith" dxfId="812" priority="2386" stopIfTrue="1" operator="beginsWith" text="Functioning At Risk">
      <formula>LEFT(A328,LEN("Functioning At Risk"))="Functioning At Risk"</formula>
    </cfRule>
  </conditionalFormatting>
  <conditionalFormatting sqref="C374:J374 G375 A376:C376 A379:D379 C380:D380 A381:D381 A382 B398:D398 B402:D402 C404:D405 A407:A411 H413:L413">
    <cfRule type="beginsWith" dxfId="811" priority="2242" stopIfTrue="1" operator="beginsWith" text="Functioning At Risk">
      <formula>LEFT(A374,LEN("Functioning At Risk"))="Functioning At Risk"</formula>
    </cfRule>
    <cfRule type="containsText" dxfId="810" priority="2244" operator="containsText" text="Functioning">
      <formula>NOT(ISERROR(SEARCH("Functioning",A374)))</formula>
    </cfRule>
    <cfRule type="beginsWith" dxfId="809" priority="2243" stopIfTrue="1" operator="beginsWith" text="Not Functioning">
      <formula>LEFT(A374,LEN("Not Functioning"))="Not Functioning"</formula>
    </cfRule>
  </conditionalFormatting>
  <conditionalFormatting sqref="C420:J420 G421 A422:C422 A425:D425 C426:D426 A427:D427 A428 B444:D444 B448:D448 C450:D451 A453:A457 H459:J459">
    <cfRule type="beginsWith" dxfId="808" priority="2099" stopIfTrue="1" operator="beginsWith" text="Not Functioning">
      <formula>LEFT(A420,LEN("Not Functioning"))="Not Functioning"</formula>
    </cfRule>
    <cfRule type="containsText" dxfId="807" priority="2100" operator="containsText" text="Functioning">
      <formula>NOT(ISERROR(SEARCH("Functioning",A420)))</formula>
    </cfRule>
    <cfRule type="beginsWith" dxfId="806" priority="2098" stopIfTrue="1" operator="beginsWith" text="Functioning At Risk">
      <formula>LEFT(A420,LEN("Functioning At Risk"))="Functioning At Risk"</formula>
    </cfRule>
  </conditionalFormatting>
  <conditionalFormatting sqref="D5">
    <cfRule type="beginsWith" dxfId="805" priority="5339" stopIfTrue="1" operator="beginsWith" text="Not Functioning">
      <formula>LEFT(D5,LEN("Not Functioning"))="Not Functioning"</formula>
    </cfRule>
    <cfRule type="beginsWith" dxfId="804" priority="5338" stopIfTrue="1" operator="beginsWith" text="Functioning At Risk">
      <formula>LEFT(D5,LEN("Functioning At Risk"))="Functioning At Risk"</formula>
    </cfRule>
    <cfRule type="containsText" dxfId="803" priority="5340" operator="containsText" text="Functioning">
      <formula>NOT(ISERROR(SEARCH("Functioning",D5)))</formula>
    </cfRule>
  </conditionalFormatting>
  <conditionalFormatting sqref="D22">
    <cfRule type="containsText" dxfId="802" priority="5704" operator="containsText" text="Functioning">
      <formula>NOT(ISERROR(SEARCH("Functioning",D22)))</formula>
    </cfRule>
  </conditionalFormatting>
  <conditionalFormatting sqref="D23:D26">
    <cfRule type="containsText" dxfId="801" priority="5203" operator="containsText" text="Functioning">
      <formula>NOT(ISERROR(SEARCH("Functioning",D23)))</formula>
    </cfRule>
  </conditionalFormatting>
  <conditionalFormatting sqref="D28">
    <cfRule type="containsText" dxfId="800" priority="5701" operator="containsText" text="Functioning">
      <formula>NOT(ISERROR(SEARCH("Functioning",D28)))</formula>
    </cfRule>
  </conditionalFormatting>
  <conditionalFormatting sqref="D43:D44">
    <cfRule type="beginsWith" dxfId="799" priority="5146" stopIfTrue="1" operator="beginsWith" text="Functioning At Risk">
      <formula>LEFT(D43,LEN("Functioning At Risk"))="Functioning At Risk"</formula>
    </cfRule>
    <cfRule type="beginsWith" dxfId="798" priority="5147" stopIfTrue="1" operator="beginsWith" text="Not Functioning">
      <formula>LEFT(D43,LEN("Not Functioning"))="Not Functioning"</formula>
    </cfRule>
    <cfRule type="containsText" dxfId="797" priority="5148" operator="containsText" text="Functioning">
      <formula>NOT(ISERROR(SEARCH("Functioning",D43)))</formula>
    </cfRule>
  </conditionalFormatting>
  <conditionalFormatting sqref="D51">
    <cfRule type="beginsWith" dxfId="796" priority="777" stopIfTrue="1" operator="beginsWith" text="Functioning At Risk">
      <formula>LEFT(D51,LEN("Functioning At Risk"))="Functioning At Risk"</formula>
    </cfRule>
    <cfRule type="beginsWith" dxfId="795" priority="778" stopIfTrue="1" operator="beginsWith" text="Not Functioning">
      <formula>LEFT(D51,LEN("Not Functioning"))="Not Functioning"</formula>
    </cfRule>
    <cfRule type="containsText" dxfId="794" priority="779" operator="containsText" text="Functioning">
      <formula>NOT(ISERROR(SEARCH("Functioning",D51)))</formula>
    </cfRule>
  </conditionalFormatting>
  <conditionalFormatting sqref="D97">
    <cfRule type="beginsWith" dxfId="793" priority="762" stopIfTrue="1" operator="beginsWith" text="Functioning At Risk">
      <formula>LEFT(D97,LEN("Functioning At Risk"))="Functioning At Risk"</formula>
    </cfRule>
    <cfRule type="beginsWith" dxfId="792" priority="763" stopIfTrue="1" operator="beginsWith" text="Not Functioning">
      <formula>LEFT(D97,LEN("Not Functioning"))="Not Functioning"</formula>
    </cfRule>
    <cfRule type="containsText" dxfId="791" priority="764" operator="containsText" text="Functioning">
      <formula>NOT(ISERROR(SEARCH("Functioning",D97)))</formula>
    </cfRule>
  </conditionalFormatting>
  <conditionalFormatting sqref="D135:D136">
    <cfRule type="beginsWith" dxfId="790" priority="3062" stopIfTrue="1" operator="beginsWith" text="Not Functioning">
      <formula>LEFT(D135,LEN("Not Functioning"))="Not Functioning"</formula>
    </cfRule>
    <cfRule type="beginsWith" dxfId="789" priority="3061" stopIfTrue="1" operator="beginsWith" text="Functioning At Risk">
      <formula>LEFT(D135,LEN("Functioning At Risk"))="Functioning At Risk"</formula>
    </cfRule>
    <cfRule type="containsText" dxfId="788" priority="3063" operator="containsText" text="Functioning">
      <formula>NOT(ISERROR(SEARCH("Functioning",D135)))</formula>
    </cfRule>
  </conditionalFormatting>
  <conditionalFormatting sqref="D143">
    <cfRule type="containsText" dxfId="787" priority="749" operator="containsText" text="Functioning">
      <formula>NOT(ISERROR(SEARCH("Functioning",D143)))</formula>
    </cfRule>
    <cfRule type="beginsWith" dxfId="786" priority="747" stopIfTrue="1" operator="beginsWith" text="Functioning At Risk">
      <formula>LEFT(D143,LEN("Functioning At Risk"))="Functioning At Risk"</formula>
    </cfRule>
    <cfRule type="beginsWith" dxfId="785" priority="748" stopIfTrue="1" operator="beginsWith" text="Not Functioning">
      <formula>LEFT(D143,LEN("Not Functioning"))="Not Functioning"</formula>
    </cfRule>
  </conditionalFormatting>
  <conditionalFormatting sqref="D181:D182">
    <cfRule type="beginsWith" dxfId="784" priority="2917" stopIfTrue="1" operator="beginsWith" text="Functioning At Risk">
      <formula>LEFT(D181,LEN("Functioning At Risk"))="Functioning At Risk"</formula>
    </cfRule>
    <cfRule type="containsText" dxfId="783" priority="2919" operator="containsText" text="Functioning">
      <formula>NOT(ISERROR(SEARCH("Functioning",D181)))</formula>
    </cfRule>
    <cfRule type="beginsWith" dxfId="782" priority="2918" stopIfTrue="1" operator="beginsWith" text="Not Functioning">
      <formula>LEFT(D181,LEN("Not Functioning"))="Not Functioning"</formula>
    </cfRule>
  </conditionalFormatting>
  <conditionalFormatting sqref="D189">
    <cfRule type="beginsWith" dxfId="781" priority="733" stopIfTrue="1" operator="beginsWith" text="Not Functioning">
      <formula>LEFT(D189,LEN("Not Functioning"))="Not Functioning"</formula>
    </cfRule>
    <cfRule type="beginsWith" dxfId="780" priority="732" stopIfTrue="1" operator="beginsWith" text="Functioning At Risk">
      <formula>LEFT(D189,LEN("Functioning At Risk"))="Functioning At Risk"</formula>
    </cfRule>
    <cfRule type="containsText" dxfId="779" priority="734" operator="containsText" text="Functioning">
      <formula>NOT(ISERROR(SEARCH("Functioning",D189)))</formula>
    </cfRule>
  </conditionalFormatting>
  <conditionalFormatting sqref="D227:D228">
    <cfRule type="beginsWith" dxfId="778" priority="2774" stopIfTrue="1" operator="beginsWith" text="Not Functioning">
      <formula>LEFT(D227,LEN("Not Functioning"))="Not Functioning"</formula>
    </cfRule>
    <cfRule type="containsText" dxfId="777" priority="2775" operator="containsText" text="Functioning">
      <formula>NOT(ISERROR(SEARCH("Functioning",D227)))</formula>
    </cfRule>
    <cfRule type="beginsWith" dxfId="776" priority="2773" stopIfTrue="1" operator="beginsWith" text="Functioning At Risk">
      <formula>LEFT(D227,LEN("Functioning At Risk"))="Functioning At Risk"</formula>
    </cfRule>
  </conditionalFormatting>
  <conditionalFormatting sqref="D235">
    <cfRule type="containsText" dxfId="775" priority="719" operator="containsText" text="Functioning">
      <formula>NOT(ISERROR(SEARCH("Functioning",D235)))</formula>
    </cfRule>
    <cfRule type="beginsWith" dxfId="774" priority="718" stopIfTrue="1" operator="beginsWith" text="Not Functioning">
      <formula>LEFT(D235,LEN("Not Functioning"))="Not Functioning"</formula>
    </cfRule>
    <cfRule type="beginsWith" dxfId="773" priority="717" stopIfTrue="1" operator="beginsWith" text="Functioning At Risk">
      <formula>LEFT(D235,LEN("Functioning At Risk"))="Functioning At Risk"</formula>
    </cfRule>
  </conditionalFormatting>
  <conditionalFormatting sqref="D273:D274">
    <cfRule type="beginsWith" dxfId="772" priority="2630" stopIfTrue="1" operator="beginsWith" text="Not Functioning">
      <formula>LEFT(D273,LEN("Not Functioning"))="Not Functioning"</formula>
    </cfRule>
    <cfRule type="containsText" dxfId="771" priority="2631" operator="containsText" text="Functioning">
      <formula>NOT(ISERROR(SEARCH("Functioning",D273)))</formula>
    </cfRule>
    <cfRule type="beginsWith" dxfId="770" priority="2629" stopIfTrue="1" operator="beginsWith" text="Functioning At Risk">
      <formula>LEFT(D273,LEN("Functioning At Risk"))="Functioning At Risk"</formula>
    </cfRule>
  </conditionalFormatting>
  <conditionalFormatting sqref="D281">
    <cfRule type="containsText" dxfId="769" priority="704" operator="containsText" text="Functioning">
      <formula>NOT(ISERROR(SEARCH("Functioning",D281)))</formula>
    </cfRule>
    <cfRule type="beginsWith" dxfId="768" priority="702" stopIfTrue="1" operator="beginsWith" text="Functioning At Risk">
      <formula>LEFT(D281,LEN("Functioning At Risk"))="Functioning At Risk"</formula>
    </cfRule>
    <cfRule type="beginsWith" dxfId="767" priority="703" stopIfTrue="1" operator="beginsWith" text="Not Functioning">
      <formula>LEFT(D281,LEN("Not Functioning"))="Not Functioning"</formula>
    </cfRule>
  </conditionalFormatting>
  <conditionalFormatting sqref="D319:D320">
    <cfRule type="containsText" dxfId="766" priority="2487" operator="containsText" text="Functioning">
      <formula>NOT(ISERROR(SEARCH("Functioning",D319)))</formula>
    </cfRule>
    <cfRule type="beginsWith" dxfId="765" priority="2485" stopIfTrue="1" operator="beginsWith" text="Functioning At Risk">
      <formula>LEFT(D319,LEN("Functioning At Risk"))="Functioning At Risk"</formula>
    </cfRule>
    <cfRule type="beginsWith" dxfId="764" priority="2486" stopIfTrue="1" operator="beginsWith" text="Not Functioning">
      <formula>LEFT(D319,LEN("Not Functioning"))="Not Functioning"</formula>
    </cfRule>
  </conditionalFormatting>
  <conditionalFormatting sqref="D327">
    <cfRule type="beginsWith" dxfId="763" priority="687" stopIfTrue="1" operator="beginsWith" text="Functioning At Risk">
      <formula>LEFT(D327,LEN("Functioning At Risk"))="Functioning At Risk"</formula>
    </cfRule>
    <cfRule type="containsText" dxfId="762" priority="689" operator="containsText" text="Functioning">
      <formula>NOT(ISERROR(SEARCH("Functioning",D327)))</formula>
    </cfRule>
    <cfRule type="beginsWith" dxfId="761" priority="688" stopIfTrue="1" operator="beginsWith" text="Not Functioning">
      <formula>LEFT(D327,LEN("Not Functioning"))="Not Functioning"</formula>
    </cfRule>
  </conditionalFormatting>
  <conditionalFormatting sqref="D365:D366">
    <cfRule type="beginsWith" dxfId="760" priority="2341" stopIfTrue="1" operator="beginsWith" text="Functioning At Risk">
      <formula>LEFT(D365,LEN("Functioning At Risk"))="Functioning At Risk"</formula>
    </cfRule>
    <cfRule type="containsText" dxfId="759" priority="2343" operator="containsText" text="Functioning">
      <formula>NOT(ISERROR(SEARCH("Functioning",D365)))</formula>
    </cfRule>
    <cfRule type="beginsWith" dxfId="758" priority="2342" stopIfTrue="1" operator="beginsWith" text="Not Functioning">
      <formula>LEFT(D365,LEN("Not Functioning"))="Not Functioning"</formula>
    </cfRule>
  </conditionalFormatting>
  <conditionalFormatting sqref="D373">
    <cfRule type="containsText" dxfId="757" priority="674" operator="containsText" text="Functioning">
      <formula>NOT(ISERROR(SEARCH("Functioning",D373)))</formula>
    </cfRule>
    <cfRule type="beginsWith" dxfId="756" priority="673" stopIfTrue="1" operator="beginsWith" text="Not Functioning">
      <formula>LEFT(D373,LEN("Not Functioning"))="Not Functioning"</formula>
    </cfRule>
    <cfRule type="beginsWith" dxfId="755" priority="672" stopIfTrue="1" operator="beginsWith" text="Functioning At Risk">
      <formula>LEFT(D373,LEN("Functioning At Risk"))="Functioning At Risk"</formula>
    </cfRule>
  </conditionalFormatting>
  <conditionalFormatting sqref="D411:D412">
    <cfRule type="containsText" dxfId="754" priority="2199" operator="containsText" text="Functioning">
      <formula>NOT(ISERROR(SEARCH("Functioning",D411)))</formula>
    </cfRule>
    <cfRule type="beginsWith" dxfId="753" priority="2198" stopIfTrue="1" operator="beginsWith" text="Not Functioning">
      <formula>LEFT(D411,LEN("Not Functioning"))="Not Functioning"</formula>
    </cfRule>
    <cfRule type="beginsWith" dxfId="752" priority="2197" stopIfTrue="1" operator="beginsWith" text="Functioning At Risk">
      <formula>LEFT(D411,LEN("Functioning At Risk"))="Functioning At Risk"</formula>
    </cfRule>
  </conditionalFormatting>
  <conditionalFormatting sqref="D419">
    <cfRule type="beginsWith" dxfId="751" priority="657" stopIfTrue="1" operator="beginsWith" text="Functioning At Risk">
      <formula>LEFT(D419,LEN("Functioning At Risk"))="Functioning At Risk"</formula>
    </cfRule>
    <cfRule type="beginsWith" dxfId="750" priority="658" stopIfTrue="1" operator="beginsWith" text="Not Functioning">
      <formula>LEFT(D419,LEN("Not Functioning"))="Not Functioning"</formula>
    </cfRule>
    <cfRule type="containsText" dxfId="749" priority="659" operator="containsText" text="Functioning">
      <formula>NOT(ISERROR(SEARCH("Functioning",D419)))</formula>
    </cfRule>
  </conditionalFormatting>
  <conditionalFormatting sqref="D457:D458">
    <cfRule type="beginsWith" dxfId="748" priority="2054" stopIfTrue="1" operator="beginsWith" text="Not Functioning">
      <formula>LEFT(D457,LEN("Not Functioning"))="Not Functioning"</formula>
    </cfRule>
    <cfRule type="beginsWith" dxfId="747" priority="2053" stopIfTrue="1" operator="beginsWith" text="Functioning At Risk">
      <formula>LEFT(D457,LEN("Functioning At Risk"))="Functioning At Risk"</formula>
    </cfRule>
    <cfRule type="containsText" dxfId="746" priority="2055" operator="containsText" text="Functioning">
      <formula>NOT(ISERROR(SEARCH("Functioning",D457)))</formula>
    </cfRule>
  </conditionalFormatting>
  <conditionalFormatting sqref="D89:E90">
    <cfRule type="beginsWith" dxfId="745" priority="3197" stopIfTrue="1" operator="beginsWith" text="Not Functioning">
      <formula>LEFT(D89,LEN("Not Functioning"))="Not Functioning"</formula>
    </cfRule>
    <cfRule type="containsText" dxfId="744" priority="3198" operator="containsText" text="Functioning">
      <formula>NOT(ISERROR(SEARCH("Functioning",D89)))</formula>
    </cfRule>
    <cfRule type="beginsWith" dxfId="743" priority="3196" stopIfTrue="1" operator="beginsWith" text="Functioning At Risk">
      <formula>LEFT(D89,LEN("Functioning At Risk"))="Functioning At Risk"</formula>
    </cfRule>
  </conditionalFormatting>
  <conditionalFormatting sqref="E2">
    <cfRule type="containsText" dxfId="742" priority="468" operator="containsText" text="Functioning">
      <formula>NOT(ISERROR(SEARCH("Functioning",E2)))</formula>
    </cfRule>
  </conditionalFormatting>
  <conditionalFormatting sqref="E11:E12 E29:E44">
    <cfRule type="expression" dxfId="741" priority="1563">
      <formula>$D$5="Ephemeral"</formula>
    </cfRule>
  </conditionalFormatting>
  <conditionalFormatting sqref="E11:E18">
    <cfRule type="beginsWith" dxfId="740" priority="5245" stopIfTrue="1" operator="beginsWith" text="Not Functioning">
      <formula>LEFT(E11,LEN("Not Functioning"))="Not Functioning"</formula>
    </cfRule>
    <cfRule type="beginsWith" dxfId="739" priority="5244" stopIfTrue="1" operator="beginsWith" text="Functioning At Risk">
      <formula>LEFT(E11,LEN("Functioning At Risk"))="Functioning At Risk"</formula>
    </cfRule>
    <cfRule type="containsText" dxfId="738" priority="5246" operator="containsText" text="Functioning">
      <formula>NOT(ISERROR(SEARCH("Functioning",E11)))</formula>
    </cfRule>
  </conditionalFormatting>
  <conditionalFormatting sqref="E19:E21">
    <cfRule type="beginsWith" dxfId="737" priority="1428" stopIfTrue="1" operator="beginsWith" text="Functioning At Risk">
      <formula>LEFT(E19,LEN("Functioning At Risk"))="Functioning At Risk"</formula>
    </cfRule>
    <cfRule type="beginsWith" dxfId="736" priority="1429" stopIfTrue="1" operator="beginsWith" text="Not Functioning">
      <formula>LEFT(E19,LEN("Not Functioning"))="Not Functioning"</formula>
    </cfRule>
    <cfRule type="containsText" dxfId="735" priority="1430" operator="containsText" text="Functioning">
      <formula>NOT(ISERROR(SEARCH("Functioning",E19)))</formula>
    </cfRule>
  </conditionalFormatting>
  <conditionalFormatting sqref="E23:E28">
    <cfRule type="containsText" dxfId="734" priority="1421" operator="containsText" text="Functioning">
      <formula>NOT(ISERROR(SEARCH("Functioning",E23)))</formula>
    </cfRule>
    <cfRule type="beginsWith" dxfId="733" priority="1420" stopIfTrue="1" operator="beginsWith" text="Not Functioning">
      <formula>LEFT(E23,LEN("Not Functioning"))="Not Functioning"</formula>
    </cfRule>
    <cfRule type="beginsWith" dxfId="732" priority="1419" stopIfTrue="1" operator="beginsWith" text="Functioning At Risk">
      <formula>LEFT(E23,LEN("Functioning At Risk"))="Functioning At Risk"</formula>
    </cfRule>
  </conditionalFormatting>
  <conditionalFormatting sqref="E30:E33">
    <cfRule type="expression" dxfId="731" priority="478">
      <formula>$D$3="Bedrock"</formula>
    </cfRule>
  </conditionalFormatting>
  <conditionalFormatting sqref="E30:E34">
    <cfRule type="containsText" dxfId="730" priority="5268" operator="containsText" text="Functioning">
      <formula>NOT(ISERROR(SEARCH("Functioning",E30)))</formula>
    </cfRule>
    <cfRule type="beginsWith" dxfId="729" priority="5266" stopIfTrue="1" operator="beginsWith" text="Functioning At Risk">
      <formula>LEFT(E30,LEN("Functioning At Risk"))="Functioning At Risk"</formula>
    </cfRule>
    <cfRule type="beginsWith" dxfId="728" priority="5267" stopIfTrue="1" operator="beginsWith" text="Not Functioning">
      <formula>LEFT(E30,LEN("Not Functioning"))="Not Functioning"</formula>
    </cfRule>
  </conditionalFormatting>
  <conditionalFormatting sqref="E35">
    <cfRule type="expression" dxfId="727" priority="7013">
      <formula>#REF!="Level 4 - Physicochemical"</formula>
    </cfRule>
    <cfRule type="beginsWith" dxfId="726" priority="7014" stopIfTrue="1" operator="beginsWith" text="Functioning At Risk">
      <formula>LEFT(E35,LEN("Functioning At Risk"))="Functioning At Risk"</formula>
    </cfRule>
    <cfRule type="containsText" dxfId="725" priority="7016" operator="containsText" text="Functioning">
      <formula>NOT(ISERROR(SEARCH("Functioning",E35)))</formula>
    </cfRule>
    <cfRule type="beginsWith" dxfId="724" priority="7015" stopIfTrue="1" operator="beginsWith" text="Not Functioning">
      <formula>LEFT(E35,LEN("Not Functioning"))="Not Functioning"</formula>
    </cfRule>
    <cfRule type="expression" dxfId="723" priority="7012">
      <formula>#REF!="Level 5 - Biology"</formula>
    </cfRule>
  </conditionalFormatting>
  <conditionalFormatting sqref="E36">
    <cfRule type="expression" dxfId="722" priority="7004">
      <formula>#REF!="Level 5 - Biology"</formula>
    </cfRule>
    <cfRule type="expression" dxfId="721" priority="7003">
      <formula>#REF!="Level 4 - Physicochemical"</formula>
    </cfRule>
  </conditionalFormatting>
  <conditionalFormatting sqref="E37">
    <cfRule type="expression" dxfId="720" priority="7009">
      <formula>#REF!="Level 5 - Biology"</formula>
    </cfRule>
    <cfRule type="expression" dxfId="719" priority="7008">
      <formula>#REF!="Level 4 - Physicochemical"</formula>
    </cfRule>
  </conditionalFormatting>
  <conditionalFormatting sqref="E38">
    <cfRule type="expression" dxfId="718" priority="7011">
      <formula>#REF!="Level 5 - Biology"</formula>
    </cfRule>
    <cfRule type="expression" dxfId="717" priority="7010">
      <formula>#REF!="Level 4 - Physicochemical"</formula>
    </cfRule>
  </conditionalFormatting>
  <conditionalFormatting sqref="E39:E41">
    <cfRule type="expression" dxfId="716" priority="7005">
      <formula>B2="Level 5 - Biology"</formula>
    </cfRule>
  </conditionalFormatting>
  <conditionalFormatting sqref="E39:E44">
    <cfRule type="beginsWith" dxfId="715" priority="5137" stopIfTrue="1" operator="beginsWith" text="Functioning At Risk">
      <formula>LEFT(E39,LEN("Functioning At Risk"))="Functioning At Risk"</formula>
    </cfRule>
    <cfRule type="beginsWith" dxfId="714" priority="5138" stopIfTrue="1" operator="beginsWith" text="Not Functioning">
      <formula>LEFT(E39,LEN("Not Functioning"))="Not Functioning"</formula>
    </cfRule>
    <cfRule type="containsText" dxfId="713" priority="5139" operator="containsText" text="Functioning">
      <formula>NOT(ISERROR(SEARCH("Functioning",E39)))</formula>
    </cfRule>
  </conditionalFormatting>
  <conditionalFormatting sqref="E42">
    <cfRule type="expression" dxfId="712" priority="7002">
      <formula>#REF!="Level 5 - Biology"</formula>
    </cfRule>
  </conditionalFormatting>
  <conditionalFormatting sqref="E43">
    <cfRule type="expression" dxfId="711" priority="7018">
      <formula>#REF!="Level 5 - Biology"</formula>
    </cfRule>
  </conditionalFormatting>
  <conditionalFormatting sqref="E44">
    <cfRule type="expression" dxfId="710" priority="7017">
      <formula>#REF!="Level 5 - Biology"</formula>
    </cfRule>
  </conditionalFormatting>
  <conditionalFormatting sqref="E57:E58 E75:E85 E89:E90">
    <cfRule type="expression" dxfId="709" priority="1562">
      <formula>$D$51="Ephemeral"</formula>
    </cfRule>
  </conditionalFormatting>
  <conditionalFormatting sqref="E57:E58 E76:E80 E85">
    <cfRule type="beginsWith" dxfId="708" priority="3229" stopIfTrue="1" operator="beginsWith" text="Functioning At Risk">
      <formula>LEFT(E57,LEN("Functioning At Risk"))="Functioning At Risk"</formula>
    </cfRule>
    <cfRule type="beginsWith" dxfId="707" priority="3230" stopIfTrue="1" operator="beginsWith" text="Not Functioning">
      <formula>LEFT(E57,LEN("Not Functioning"))="Not Functioning"</formula>
    </cfRule>
    <cfRule type="containsText" dxfId="706" priority="3231" operator="containsText" text="Functioning">
      <formula>NOT(ISERROR(SEARCH("Functioning",E57)))</formula>
    </cfRule>
  </conditionalFormatting>
  <conditionalFormatting sqref="E59:E67">
    <cfRule type="containsText" dxfId="705" priority="815" operator="containsText" text="Functioning">
      <formula>NOT(ISERROR(SEARCH("Functioning",E59)))</formula>
    </cfRule>
    <cfRule type="beginsWith" dxfId="704" priority="814" stopIfTrue="1" operator="beginsWith" text="Not Functioning">
      <formula>LEFT(E59,LEN("Not Functioning"))="Not Functioning"</formula>
    </cfRule>
    <cfRule type="beginsWith" dxfId="703" priority="813" stopIfTrue="1" operator="beginsWith" text="Functioning At Risk">
      <formula>LEFT(E59,LEN("Functioning At Risk"))="Functioning At Risk"</formula>
    </cfRule>
  </conditionalFormatting>
  <conditionalFormatting sqref="E69:E74">
    <cfRule type="beginsWith" dxfId="702" priority="1431" stopIfTrue="1" operator="beginsWith" text="Functioning At Risk">
      <formula>LEFT(E69,LEN("Functioning At Risk"))="Functioning At Risk"</formula>
    </cfRule>
    <cfRule type="containsText" dxfId="701" priority="1433" operator="containsText" text="Functioning">
      <formula>NOT(ISERROR(SEARCH("Functioning",E69)))</formula>
    </cfRule>
    <cfRule type="beginsWith" dxfId="700" priority="1432" stopIfTrue="1" operator="beginsWith" text="Not Functioning">
      <formula>LEFT(E69,LEN("Not Functioning"))="Not Functioning"</formula>
    </cfRule>
  </conditionalFormatting>
  <conditionalFormatting sqref="E76:E79">
    <cfRule type="expression" dxfId="699" priority="477">
      <formula>$D$49="Bedrock"</formula>
    </cfRule>
  </conditionalFormatting>
  <conditionalFormatting sqref="E81">
    <cfRule type="containsText" dxfId="698" priority="3265" operator="containsText" text="Functioning">
      <formula>NOT(ISERROR(SEARCH("Functioning",E81)))</formula>
    </cfRule>
    <cfRule type="expression" dxfId="697" priority="3261">
      <formula>#REF!="Level 5 - Biology"</formula>
    </cfRule>
    <cfRule type="beginsWith" dxfId="696" priority="3264" stopIfTrue="1" operator="beginsWith" text="Not Functioning">
      <formula>LEFT(E81,LEN("Not Functioning"))="Not Functioning"</formula>
    </cfRule>
    <cfRule type="beginsWith" dxfId="695" priority="3263" stopIfTrue="1" operator="beginsWith" text="Functioning At Risk">
      <formula>LEFT(E81,LEN("Functioning At Risk"))="Functioning At Risk"</formula>
    </cfRule>
    <cfRule type="expression" dxfId="694" priority="3262">
      <formula>#REF!="Level 4 - Physicochemical"</formula>
    </cfRule>
  </conditionalFormatting>
  <conditionalFormatting sqref="E82">
    <cfRule type="expression" dxfId="693" priority="3255">
      <formula>#REF!="Level 5 - Biology"</formula>
    </cfRule>
    <cfRule type="expression" dxfId="692" priority="3254">
      <formula>#REF!="Level 4 - Physicochemical"</formula>
    </cfRule>
  </conditionalFormatting>
  <conditionalFormatting sqref="E83">
    <cfRule type="expression" dxfId="691" priority="3258">
      <formula>#REF!="Level 5 - Biology"</formula>
    </cfRule>
    <cfRule type="expression" dxfId="690" priority="3257">
      <formula>#REF!="Level 4 - Physicochemical"</formula>
    </cfRule>
  </conditionalFormatting>
  <conditionalFormatting sqref="E84">
    <cfRule type="expression" dxfId="689" priority="3260">
      <formula>#REF!="Level 5 - Biology"</formula>
    </cfRule>
    <cfRule type="expression" dxfId="688" priority="3259">
      <formula>#REF!="Level 4 - Physicochemical"</formula>
    </cfRule>
  </conditionalFormatting>
  <conditionalFormatting sqref="E85">
    <cfRule type="expression" dxfId="687" priority="3256">
      <formula>B48="Level 5 - Biology"</formula>
    </cfRule>
  </conditionalFormatting>
  <conditionalFormatting sqref="E86:E87">
    <cfRule type="expression" dxfId="686" priority="114">
      <formula>B49="Level 5 - Biology"</formula>
    </cfRule>
  </conditionalFormatting>
  <conditionalFormatting sqref="E86:E88">
    <cfRule type="beginsWith" dxfId="685" priority="110" stopIfTrue="1" operator="beginsWith" text="Functioning At Risk">
      <formula>LEFT(E86,LEN("Functioning At Risk"))="Functioning At Risk"</formula>
    </cfRule>
    <cfRule type="containsText" dxfId="684" priority="112" operator="containsText" text="Functioning">
      <formula>NOT(ISERROR(SEARCH("Functioning",E86)))</formula>
    </cfRule>
    <cfRule type="beginsWith" dxfId="683" priority="111" stopIfTrue="1" operator="beginsWith" text="Not Functioning">
      <formula>LEFT(E86,LEN("Not Functioning"))="Not Functioning"</formula>
    </cfRule>
    <cfRule type="expression" dxfId="682" priority="109">
      <formula>$D$5="Ephemeral"</formula>
    </cfRule>
  </conditionalFormatting>
  <conditionalFormatting sqref="E88">
    <cfRule type="expression" dxfId="681" priority="113">
      <formula>#REF!="Level 5 - Biology"</formula>
    </cfRule>
  </conditionalFormatting>
  <conditionalFormatting sqref="E89">
    <cfRule type="expression" dxfId="680" priority="3267">
      <formula>#REF!="Level 5 - Biology"</formula>
    </cfRule>
  </conditionalFormatting>
  <conditionalFormatting sqref="E90">
    <cfRule type="expression" dxfId="679" priority="3266">
      <formula>#REF!="Level 5 - Biology"</formula>
    </cfRule>
  </conditionalFormatting>
  <conditionalFormatting sqref="E103:E104 E121:E136">
    <cfRule type="expression" dxfId="678" priority="1561">
      <formula>$D$97="Ephemeral"</formula>
    </cfRule>
  </conditionalFormatting>
  <conditionalFormatting sqref="E103:E104 E122:E126">
    <cfRule type="beginsWith" dxfId="677" priority="3086" stopIfTrue="1" operator="beginsWith" text="Not Functioning">
      <formula>LEFT(E103,LEN("Not Functioning"))="Not Functioning"</formula>
    </cfRule>
    <cfRule type="containsText" dxfId="676" priority="3087" operator="containsText" text="Functioning">
      <formula>NOT(ISERROR(SEARCH("Functioning",E103)))</formula>
    </cfRule>
    <cfRule type="beginsWith" dxfId="675" priority="3085" stopIfTrue="1" operator="beginsWith" text="Functioning At Risk">
      <formula>LEFT(E103,LEN("Functioning At Risk"))="Functioning At Risk"</formula>
    </cfRule>
  </conditionalFormatting>
  <conditionalFormatting sqref="E105:E113">
    <cfRule type="containsText" dxfId="674" priority="812" operator="containsText" text="Functioning">
      <formula>NOT(ISERROR(SEARCH("Functioning",E105)))</formula>
    </cfRule>
    <cfRule type="beginsWith" dxfId="673" priority="810" stopIfTrue="1" operator="beginsWith" text="Functioning At Risk">
      <formula>LEFT(E105,LEN("Functioning At Risk"))="Functioning At Risk"</formula>
    </cfRule>
    <cfRule type="beginsWith" dxfId="672" priority="811" stopIfTrue="1" operator="beginsWith" text="Not Functioning">
      <formula>LEFT(E105,LEN("Not Functioning"))="Not Functioning"</formula>
    </cfRule>
  </conditionalFormatting>
  <conditionalFormatting sqref="E115:E120">
    <cfRule type="containsText" dxfId="671" priority="1445" operator="containsText" text="Functioning">
      <formula>NOT(ISERROR(SEARCH("Functioning",E115)))</formula>
    </cfRule>
    <cfRule type="beginsWith" dxfId="670" priority="1443" stopIfTrue="1" operator="beginsWith" text="Functioning At Risk">
      <formula>LEFT(E115,LEN("Functioning At Risk"))="Functioning At Risk"</formula>
    </cfRule>
    <cfRule type="beginsWith" dxfId="669" priority="1444" stopIfTrue="1" operator="beginsWith" text="Not Functioning">
      <formula>LEFT(E115,LEN("Not Functioning"))="Not Functioning"</formula>
    </cfRule>
  </conditionalFormatting>
  <conditionalFormatting sqref="E122:E125">
    <cfRule type="expression" dxfId="668" priority="476">
      <formula>$D$95="Bedrock"</formula>
    </cfRule>
  </conditionalFormatting>
  <conditionalFormatting sqref="E127">
    <cfRule type="expression" dxfId="667" priority="3118">
      <formula>#REF!="Level 4 - Physicochemical"</formula>
    </cfRule>
    <cfRule type="beginsWith" dxfId="666" priority="3119" stopIfTrue="1" operator="beginsWith" text="Functioning At Risk">
      <formula>LEFT(E127,LEN("Functioning At Risk"))="Functioning At Risk"</formula>
    </cfRule>
    <cfRule type="beginsWith" dxfId="665" priority="3120" stopIfTrue="1" operator="beginsWith" text="Not Functioning">
      <formula>LEFT(E127,LEN("Not Functioning"))="Not Functioning"</formula>
    </cfRule>
    <cfRule type="expression" dxfId="664" priority="3117">
      <formula>#REF!="Level 5 - Biology"</formula>
    </cfRule>
    <cfRule type="containsText" dxfId="663" priority="3121" operator="containsText" text="Functioning">
      <formula>NOT(ISERROR(SEARCH("Functioning",E127)))</formula>
    </cfRule>
  </conditionalFormatting>
  <conditionalFormatting sqref="E128">
    <cfRule type="expression" dxfId="662" priority="3110">
      <formula>#REF!="Level 4 - Physicochemical"</formula>
    </cfRule>
    <cfRule type="expression" dxfId="661" priority="3111">
      <formula>#REF!="Level 5 - Biology"</formula>
    </cfRule>
  </conditionalFormatting>
  <conditionalFormatting sqref="E129">
    <cfRule type="expression" dxfId="660" priority="3114">
      <formula>#REF!="Level 5 - Biology"</formula>
    </cfRule>
    <cfRule type="expression" dxfId="659" priority="3113">
      <formula>#REF!="Level 4 - Physicochemical"</formula>
    </cfRule>
  </conditionalFormatting>
  <conditionalFormatting sqref="E130">
    <cfRule type="expression" dxfId="658" priority="3115">
      <formula>#REF!="Level 4 - Physicochemical"</formula>
    </cfRule>
    <cfRule type="expression" dxfId="657" priority="3116">
      <formula>#REF!="Level 5 - Biology"</formula>
    </cfRule>
  </conditionalFormatting>
  <conditionalFormatting sqref="E131:E133">
    <cfRule type="expression" dxfId="656" priority="3112">
      <formula>B94="Level 5 - Biology"</formula>
    </cfRule>
  </conditionalFormatting>
  <conditionalFormatting sqref="E131:E136">
    <cfRule type="beginsWith" dxfId="655" priority="3053" stopIfTrue="1" operator="beginsWith" text="Not Functioning">
      <formula>LEFT(E131,LEN("Not Functioning"))="Not Functioning"</formula>
    </cfRule>
    <cfRule type="beginsWith" dxfId="654" priority="3052" stopIfTrue="1" operator="beginsWith" text="Functioning At Risk">
      <formula>LEFT(E131,LEN("Functioning At Risk"))="Functioning At Risk"</formula>
    </cfRule>
    <cfRule type="containsText" dxfId="653" priority="3054" operator="containsText" text="Functioning">
      <formula>NOT(ISERROR(SEARCH("Functioning",E131)))</formula>
    </cfRule>
  </conditionalFormatting>
  <conditionalFormatting sqref="E134">
    <cfRule type="expression" dxfId="652" priority="3109">
      <formula>#REF!="Level 5 - Biology"</formula>
    </cfRule>
  </conditionalFormatting>
  <conditionalFormatting sqref="E135">
    <cfRule type="expression" dxfId="651" priority="3123">
      <formula>#REF!="Level 5 - Biology"</formula>
    </cfRule>
  </conditionalFormatting>
  <conditionalFormatting sqref="E136">
    <cfRule type="expression" dxfId="650" priority="3122">
      <formula>#REF!="Level 5 - Biology"</formula>
    </cfRule>
  </conditionalFormatting>
  <conditionalFormatting sqref="E149:E150 E167:E182">
    <cfRule type="expression" dxfId="649" priority="1560">
      <formula>$D$143="Ephemeral"</formula>
    </cfRule>
  </conditionalFormatting>
  <conditionalFormatting sqref="E149:E150 E168:E172">
    <cfRule type="beginsWith" dxfId="648" priority="2941" stopIfTrue="1" operator="beginsWith" text="Functioning At Risk">
      <formula>LEFT(E149,LEN("Functioning At Risk"))="Functioning At Risk"</formula>
    </cfRule>
    <cfRule type="beginsWith" dxfId="647" priority="2942" stopIfTrue="1" operator="beginsWith" text="Not Functioning">
      <formula>LEFT(E149,LEN("Not Functioning"))="Not Functioning"</formula>
    </cfRule>
    <cfRule type="containsText" dxfId="646" priority="2943" operator="containsText" text="Functioning">
      <formula>NOT(ISERROR(SEARCH("Functioning",E149)))</formula>
    </cfRule>
  </conditionalFormatting>
  <conditionalFormatting sqref="E151:E159">
    <cfRule type="containsText" dxfId="645" priority="809" operator="containsText" text="Functioning">
      <formula>NOT(ISERROR(SEARCH("Functioning",E151)))</formula>
    </cfRule>
    <cfRule type="beginsWith" dxfId="644" priority="807" stopIfTrue="1" operator="beginsWith" text="Functioning At Risk">
      <formula>LEFT(E151,LEN("Functioning At Risk"))="Functioning At Risk"</formula>
    </cfRule>
    <cfRule type="beginsWith" dxfId="643" priority="808" stopIfTrue="1" operator="beginsWith" text="Not Functioning">
      <formula>LEFT(E151,LEN("Not Functioning"))="Not Functioning"</formula>
    </cfRule>
  </conditionalFormatting>
  <conditionalFormatting sqref="E161:E166">
    <cfRule type="beginsWith" dxfId="642" priority="1455" stopIfTrue="1" operator="beginsWith" text="Functioning At Risk">
      <formula>LEFT(E161,LEN("Functioning At Risk"))="Functioning At Risk"</formula>
    </cfRule>
    <cfRule type="containsText" dxfId="641" priority="1457" operator="containsText" text="Functioning">
      <formula>NOT(ISERROR(SEARCH("Functioning",E161)))</formula>
    </cfRule>
    <cfRule type="beginsWith" dxfId="640" priority="1456" stopIfTrue="1" operator="beginsWith" text="Not Functioning">
      <formula>LEFT(E161,LEN("Not Functioning"))="Not Functioning"</formula>
    </cfRule>
  </conditionalFormatting>
  <conditionalFormatting sqref="E168:E171">
    <cfRule type="expression" dxfId="639" priority="475">
      <formula>$D$141="Bedrock"</formula>
    </cfRule>
  </conditionalFormatting>
  <conditionalFormatting sqref="E173">
    <cfRule type="beginsWith" dxfId="638" priority="2976" stopIfTrue="1" operator="beginsWith" text="Not Functioning">
      <formula>LEFT(E173,LEN("Not Functioning"))="Not Functioning"</formula>
    </cfRule>
    <cfRule type="expression" dxfId="637" priority="2974">
      <formula>#REF!="Level 4 - Physicochemical"</formula>
    </cfRule>
    <cfRule type="beginsWith" dxfId="636" priority="2975" stopIfTrue="1" operator="beginsWith" text="Functioning At Risk">
      <formula>LEFT(E173,LEN("Functioning At Risk"))="Functioning At Risk"</formula>
    </cfRule>
    <cfRule type="containsText" dxfId="635" priority="2977" operator="containsText" text="Functioning">
      <formula>NOT(ISERROR(SEARCH("Functioning",E173)))</formula>
    </cfRule>
    <cfRule type="expression" dxfId="634" priority="2973">
      <formula>#REF!="Level 5 - Biology"</formula>
    </cfRule>
  </conditionalFormatting>
  <conditionalFormatting sqref="E174">
    <cfRule type="expression" dxfId="633" priority="2966">
      <formula>#REF!="Level 4 - Physicochemical"</formula>
    </cfRule>
    <cfRule type="expression" dxfId="632" priority="2967">
      <formula>#REF!="Level 5 - Biology"</formula>
    </cfRule>
  </conditionalFormatting>
  <conditionalFormatting sqref="E175">
    <cfRule type="expression" dxfId="631" priority="2969">
      <formula>#REF!="Level 4 - Physicochemical"</formula>
    </cfRule>
    <cfRule type="expression" dxfId="630" priority="2970">
      <formula>#REF!="Level 5 - Biology"</formula>
    </cfRule>
  </conditionalFormatting>
  <conditionalFormatting sqref="E176">
    <cfRule type="expression" dxfId="629" priority="2971">
      <formula>#REF!="Level 4 - Physicochemical"</formula>
    </cfRule>
    <cfRule type="expression" dxfId="628" priority="2972">
      <formula>#REF!="Level 5 - Biology"</formula>
    </cfRule>
  </conditionalFormatting>
  <conditionalFormatting sqref="E177:E179">
    <cfRule type="expression" dxfId="627" priority="2968">
      <formula>B140="Level 5 - Biology"</formula>
    </cfRule>
  </conditionalFormatting>
  <conditionalFormatting sqref="E177:E182">
    <cfRule type="containsText" dxfId="626" priority="2910" operator="containsText" text="Functioning">
      <formula>NOT(ISERROR(SEARCH("Functioning",E177)))</formula>
    </cfRule>
    <cfRule type="beginsWith" dxfId="625" priority="2909" stopIfTrue="1" operator="beginsWith" text="Not Functioning">
      <formula>LEFT(E177,LEN("Not Functioning"))="Not Functioning"</formula>
    </cfRule>
    <cfRule type="beginsWith" dxfId="624" priority="2908" stopIfTrue="1" operator="beginsWith" text="Functioning At Risk">
      <formula>LEFT(E177,LEN("Functioning At Risk"))="Functioning At Risk"</formula>
    </cfRule>
  </conditionalFormatting>
  <conditionalFormatting sqref="E180">
    <cfRule type="expression" dxfId="623" priority="2965">
      <formula>#REF!="Level 5 - Biology"</formula>
    </cfRule>
  </conditionalFormatting>
  <conditionalFormatting sqref="E181">
    <cfRule type="expression" dxfId="622" priority="2979">
      <formula>#REF!="Level 5 - Biology"</formula>
    </cfRule>
  </conditionalFormatting>
  <conditionalFormatting sqref="E182">
    <cfRule type="expression" dxfId="621" priority="2978">
      <formula>#REF!="Level 5 - Biology"</formula>
    </cfRule>
  </conditionalFormatting>
  <conditionalFormatting sqref="E195:E196 E213:E228">
    <cfRule type="expression" dxfId="620" priority="1559">
      <formula>$D$189="Ephemeral"</formula>
    </cfRule>
  </conditionalFormatting>
  <conditionalFormatting sqref="E195:E196 E214:E218">
    <cfRule type="beginsWith" dxfId="619" priority="2797" stopIfTrue="1" operator="beginsWith" text="Functioning At Risk">
      <formula>LEFT(E195,LEN("Functioning At Risk"))="Functioning At Risk"</formula>
    </cfRule>
    <cfRule type="containsText" dxfId="618" priority="2799" operator="containsText" text="Functioning">
      <formula>NOT(ISERROR(SEARCH("Functioning",E195)))</formula>
    </cfRule>
    <cfRule type="beginsWith" dxfId="617" priority="2798" stopIfTrue="1" operator="beginsWith" text="Not Functioning">
      <formula>LEFT(E195,LEN("Not Functioning"))="Not Functioning"</formula>
    </cfRule>
  </conditionalFormatting>
  <conditionalFormatting sqref="E197:E205">
    <cfRule type="containsText" dxfId="616" priority="806" operator="containsText" text="Functioning">
      <formula>NOT(ISERROR(SEARCH("Functioning",E197)))</formula>
    </cfRule>
    <cfRule type="beginsWith" dxfId="615" priority="804" stopIfTrue="1" operator="beginsWith" text="Functioning At Risk">
      <formula>LEFT(E197,LEN("Functioning At Risk"))="Functioning At Risk"</formula>
    </cfRule>
    <cfRule type="beginsWith" dxfId="614" priority="805" stopIfTrue="1" operator="beginsWith" text="Not Functioning">
      <formula>LEFT(E197,LEN("Not Functioning"))="Not Functioning"</formula>
    </cfRule>
  </conditionalFormatting>
  <conditionalFormatting sqref="E207:E212">
    <cfRule type="beginsWith" dxfId="613" priority="1467" stopIfTrue="1" operator="beginsWith" text="Functioning At Risk">
      <formula>LEFT(E207,LEN("Functioning At Risk"))="Functioning At Risk"</formula>
    </cfRule>
    <cfRule type="beginsWith" dxfId="612" priority="1468" stopIfTrue="1" operator="beginsWith" text="Not Functioning">
      <formula>LEFT(E207,LEN("Not Functioning"))="Not Functioning"</formula>
    </cfRule>
    <cfRule type="containsText" dxfId="611" priority="1469" operator="containsText" text="Functioning">
      <formula>NOT(ISERROR(SEARCH("Functioning",E207)))</formula>
    </cfRule>
  </conditionalFormatting>
  <conditionalFormatting sqref="E214:E217">
    <cfRule type="expression" dxfId="610" priority="474">
      <formula>$D$187="Bedrock"</formula>
    </cfRule>
  </conditionalFormatting>
  <conditionalFormatting sqref="E219">
    <cfRule type="expression" dxfId="609" priority="2829">
      <formula>#REF!="Level 5 - Biology"</formula>
    </cfRule>
    <cfRule type="expression" dxfId="608" priority="2830">
      <formula>#REF!="Level 4 - Physicochemical"</formula>
    </cfRule>
    <cfRule type="containsText" dxfId="607" priority="2833" operator="containsText" text="Functioning">
      <formula>NOT(ISERROR(SEARCH("Functioning",E219)))</formula>
    </cfRule>
    <cfRule type="beginsWith" dxfId="606" priority="2831" stopIfTrue="1" operator="beginsWith" text="Functioning At Risk">
      <formula>LEFT(E219,LEN("Functioning At Risk"))="Functioning At Risk"</formula>
    </cfRule>
    <cfRule type="beginsWith" dxfId="605" priority="2832" stopIfTrue="1" operator="beginsWith" text="Not Functioning">
      <formula>LEFT(E219,LEN("Not Functioning"))="Not Functioning"</formula>
    </cfRule>
  </conditionalFormatting>
  <conditionalFormatting sqref="E220">
    <cfRule type="expression" dxfId="604" priority="2823">
      <formula>#REF!="Level 5 - Biology"</formula>
    </cfRule>
    <cfRule type="expression" dxfId="603" priority="2822">
      <formula>#REF!="Level 4 - Physicochemical"</formula>
    </cfRule>
  </conditionalFormatting>
  <conditionalFormatting sqref="E221">
    <cfRule type="expression" dxfId="602" priority="2826">
      <formula>#REF!="Level 5 - Biology"</formula>
    </cfRule>
    <cfRule type="expression" dxfId="601" priority="2825">
      <formula>#REF!="Level 4 - Physicochemical"</formula>
    </cfRule>
  </conditionalFormatting>
  <conditionalFormatting sqref="E222">
    <cfRule type="expression" dxfId="600" priority="2827">
      <formula>#REF!="Level 4 - Physicochemical"</formula>
    </cfRule>
    <cfRule type="expression" dxfId="599" priority="2828">
      <formula>#REF!="Level 5 - Biology"</formula>
    </cfRule>
  </conditionalFormatting>
  <conditionalFormatting sqref="E223:E225">
    <cfRule type="expression" dxfId="598" priority="2824">
      <formula>B186="Level 5 - Biology"</formula>
    </cfRule>
  </conditionalFormatting>
  <conditionalFormatting sqref="E223:E228">
    <cfRule type="beginsWith" dxfId="597" priority="2764" stopIfTrue="1" operator="beginsWith" text="Functioning At Risk">
      <formula>LEFT(E223,LEN("Functioning At Risk"))="Functioning At Risk"</formula>
    </cfRule>
    <cfRule type="beginsWith" dxfId="596" priority="2765" stopIfTrue="1" operator="beginsWith" text="Not Functioning">
      <formula>LEFT(E223,LEN("Not Functioning"))="Not Functioning"</formula>
    </cfRule>
    <cfRule type="containsText" dxfId="595" priority="2766" operator="containsText" text="Functioning">
      <formula>NOT(ISERROR(SEARCH("Functioning",E223)))</formula>
    </cfRule>
  </conditionalFormatting>
  <conditionalFormatting sqref="E226">
    <cfRule type="expression" dxfId="594" priority="2821">
      <formula>#REF!="Level 5 - Biology"</formula>
    </cfRule>
  </conditionalFormatting>
  <conditionalFormatting sqref="E227">
    <cfRule type="expression" dxfId="593" priority="2835">
      <formula>#REF!="Level 5 - Biology"</formula>
    </cfRule>
  </conditionalFormatting>
  <conditionalFormatting sqref="E228">
    <cfRule type="expression" dxfId="592" priority="2834">
      <formula>#REF!="Level 5 - Biology"</formula>
    </cfRule>
  </conditionalFormatting>
  <conditionalFormatting sqref="E241:E242 E259:E274">
    <cfRule type="expression" dxfId="591" priority="1558">
      <formula>$D$235="Ephemeral"</formula>
    </cfRule>
  </conditionalFormatting>
  <conditionalFormatting sqref="E241:E242 E260:E264">
    <cfRule type="beginsWith" dxfId="590" priority="2654" stopIfTrue="1" operator="beginsWith" text="Not Functioning">
      <formula>LEFT(E241,LEN("Not Functioning"))="Not Functioning"</formula>
    </cfRule>
    <cfRule type="containsText" dxfId="589" priority="2655" operator="containsText" text="Functioning">
      <formula>NOT(ISERROR(SEARCH("Functioning",E241)))</formula>
    </cfRule>
    <cfRule type="beginsWith" dxfId="588" priority="2653" stopIfTrue="1" operator="beginsWith" text="Functioning At Risk">
      <formula>LEFT(E241,LEN("Functioning At Risk"))="Functioning At Risk"</formula>
    </cfRule>
  </conditionalFormatting>
  <conditionalFormatting sqref="E243:E251">
    <cfRule type="containsText" dxfId="587" priority="803" operator="containsText" text="Functioning">
      <formula>NOT(ISERROR(SEARCH("Functioning",E243)))</formula>
    </cfRule>
    <cfRule type="beginsWith" dxfId="586" priority="802" stopIfTrue="1" operator="beginsWith" text="Not Functioning">
      <formula>LEFT(E243,LEN("Not Functioning"))="Not Functioning"</formula>
    </cfRule>
    <cfRule type="beginsWith" dxfId="585" priority="801" stopIfTrue="1" operator="beginsWith" text="Functioning At Risk">
      <formula>LEFT(E243,LEN("Functioning At Risk"))="Functioning At Risk"</formula>
    </cfRule>
  </conditionalFormatting>
  <conditionalFormatting sqref="E253:E258">
    <cfRule type="beginsWith" dxfId="584" priority="1479" stopIfTrue="1" operator="beginsWith" text="Functioning At Risk">
      <formula>LEFT(E253,LEN("Functioning At Risk"))="Functioning At Risk"</formula>
    </cfRule>
    <cfRule type="beginsWith" dxfId="583" priority="1480" stopIfTrue="1" operator="beginsWith" text="Not Functioning">
      <formula>LEFT(E253,LEN("Not Functioning"))="Not Functioning"</formula>
    </cfRule>
    <cfRule type="containsText" dxfId="582" priority="1481" operator="containsText" text="Functioning">
      <formula>NOT(ISERROR(SEARCH("Functioning",E253)))</formula>
    </cfRule>
  </conditionalFormatting>
  <conditionalFormatting sqref="E260:E263">
    <cfRule type="expression" dxfId="581" priority="473">
      <formula>$D$233="Bedrock"</formula>
    </cfRule>
  </conditionalFormatting>
  <conditionalFormatting sqref="E265">
    <cfRule type="beginsWith" dxfId="580" priority="2688" stopIfTrue="1" operator="beginsWith" text="Not Functioning">
      <formula>LEFT(E265,LEN("Not Functioning"))="Not Functioning"</formula>
    </cfRule>
    <cfRule type="expression" dxfId="579" priority="2686">
      <formula>#REF!="Level 4 - Physicochemical"</formula>
    </cfRule>
    <cfRule type="containsText" dxfId="578" priority="2689" operator="containsText" text="Functioning">
      <formula>NOT(ISERROR(SEARCH("Functioning",E265)))</formula>
    </cfRule>
    <cfRule type="expression" dxfId="577" priority="2685">
      <formula>#REF!="Level 5 - Biology"</formula>
    </cfRule>
    <cfRule type="beginsWith" dxfId="576" priority="2687" stopIfTrue="1" operator="beginsWith" text="Functioning At Risk">
      <formula>LEFT(E265,LEN("Functioning At Risk"))="Functioning At Risk"</formula>
    </cfRule>
  </conditionalFormatting>
  <conditionalFormatting sqref="E266">
    <cfRule type="expression" dxfId="575" priority="2679">
      <formula>#REF!="Level 5 - Biology"</formula>
    </cfRule>
    <cfRule type="expression" dxfId="574" priority="2678">
      <formula>#REF!="Level 4 - Physicochemical"</formula>
    </cfRule>
  </conditionalFormatting>
  <conditionalFormatting sqref="E267">
    <cfRule type="expression" dxfId="573" priority="2682">
      <formula>#REF!="Level 5 - Biology"</formula>
    </cfRule>
    <cfRule type="expression" dxfId="572" priority="2681">
      <formula>#REF!="Level 4 - Physicochemical"</formula>
    </cfRule>
  </conditionalFormatting>
  <conditionalFormatting sqref="E268">
    <cfRule type="expression" dxfId="571" priority="2684">
      <formula>#REF!="Level 5 - Biology"</formula>
    </cfRule>
    <cfRule type="expression" dxfId="570" priority="2683">
      <formula>#REF!="Level 4 - Physicochemical"</formula>
    </cfRule>
  </conditionalFormatting>
  <conditionalFormatting sqref="E269:E271">
    <cfRule type="expression" dxfId="569" priority="2680">
      <formula>B232="Level 5 - Biology"</formula>
    </cfRule>
  </conditionalFormatting>
  <conditionalFormatting sqref="E269:E274">
    <cfRule type="beginsWith" dxfId="568" priority="2620" stopIfTrue="1" operator="beginsWith" text="Functioning At Risk">
      <formula>LEFT(E269,LEN("Functioning At Risk"))="Functioning At Risk"</formula>
    </cfRule>
    <cfRule type="beginsWith" dxfId="567" priority="2621" stopIfTrue="1" operator="beginsWith" text="Not Functioning">
      <formula>LEFT(E269,LEN("Not Functioning"))="Not Functioning"</formula>
    </cfRule>
    <cfRule type="containsText" dxfId="566" priority="2622" operator="containsText" text="Functioning">
      <formula>NOT(ISERROR(SEARCH("Functioning",E269)))</formula>
    </cfRule>
  </conditionalFormatting>
  <conditionalFormatting sqref="E272">
    <cfRule type="expression" dxfId="565" priority="2677">
      <formula>#REF!="Level 5 - Biology"</formula>
    </cfRule>
  </conditionalFormatting>
  <conditionalFormatting sqref="E273">
    <cfRule type="expression" dxfId="564" priority="2691">
      <formula>#REF!="Level 5 - Biology"</formula>
    </cfRule>
  </conditionalFormatting>
  <conditionalFormatting sqref="E274">
    <cfRule type="expression" dxfId="563" priority="2690">
      <formula>#REF!="Level 5 - Biology"</formula>
    </cfRule>
  </conditionalFormatting>
  <conditionalFormatting sqref="E287:E288 E305:E320">
    <cfRule type="expression" dxfId="562" priority="1557">
      <formula>$D$281="Ephemeral"</formula>
    </cfRule>
  </conditionalFormatting>
  <conditionalFormatting sqref="E287:E288 E306:E310">
    <cfRule type="beginsWith" dxfId="561" priority="2510" stopIfTrue="1" operator="beginsWith" text="Not Functioning">
      <formula>LEFT(E287,LEN("Not Functioning"))="Not Functioning"</formula>
    </cfRule>
    <cfRule type="beginsWith" dxfId="560" priority="2509" stopIfTrue="1" operator="beginsWith" text="Functioning At Risk">
      <formula>LEFT(E287,LEN("Functioning At Risk"))="Functioning At Risk"</formula>
    </cfRule>
    <cfRule type="containsText" dxfId="559" priority="2511" operator="containsText" text="Functioning">
      <formula>NOT(ISERROR(SEARCH("Functioning",E287)))</formula>
    </cfRule>
  </conditionalFormatting>
  <conditionalFormatting sqref="E289:E297">
    <cfRule type="containsText" dxfId="558" priority="800" operator="containsText" text="Functioning">
      <formula>NOT(ISERROR(SEARCH("Functioning",E289)))</formula>
    </cfRule>
    <cfRule type="beginsWith" dxfId="557" priority="799" stopIfTrue="1" operator="beginsWith" text="Not Functioning">
      <formula>LEFT(E289,LEN("Not Functioning"))="Not Functioning"</formula>
    </cfRule>
    <cfRule type="beginsWith" dxfId="556" priority="798" stopIfTrue="1" operator="beginsWith" text="Functioning At Risk">
      <formula>LEFT(E289,LEN("Functioning At Risk"))="Functioning At Risk"</formula>
    </cfRule>
  </conditionalFormatting>
  <conditionalFormatting sqref="E299:E304">
    <cfRule type="containsText" dxfId="555" priority="1493" operator="containsText" text="Functioning">
      <formula>NOT(ISERROR(SEARCH("Functioning",E299)))</formula>
    </cfRule>
    <cfRule type="beginsWith" dxfId="554" priority="1491" stopIfTrue="1" operator="beginsWith" text="Functioning At Risk">
      <formula>LEFT(E299,LEN("Functioning At Risk"))="Functioning At Risk"</formula>
    </cfRule>
    <cfRule type="beginsWith" dxfId="553" priority="1492" stopIfTrue="1" operator="beginsWith" text="Not Functioning">
      <formula>LEFT(E299,LEN("Not Functioning"))="Not Functioning"</formula>
    </cfRule>
  </conditionalFormatting>
  <conditionalFormatting sqref="E306:E309">
    <cfRule type="expression" dxfId="552" priority="472">
      <formula>$D$279="Bedrock"</formula>
    </cfRule>
  </conditionalFormatting>
  <conditionalFormatting sqref="E311">
    <cfRule type="expression" dxfId="551" priority="2541">
      <formula>#REF!="Level 5 - Biology"</formula>
    </cfRule>
    <cfRule type="expression" dxfId="550" priority="2542">
      <formula>#REF!="Level 4 - Physicochemical"</formula>
    </cfRule>
    <cfRule type="beginsWith" dxfId="549" priority="2543" stopIfTrue="1" operator="beginsWith" text="Functioning At Risk">
      <formula>LEFT(E311,LEN("Functioning At Risk"))="Functioning At Risk"</formula>
    </cfRule>
    <cfRule type="beginsWith" dxfId="548" priority="2544" stopIfTrue="1" operator="beginsWith" text="Not Functioning">
      <formula>LEFT(E311,LEN("Not Functioning"))="Not Functioning"</formula>
    </cfRule>
    <cfRule type="containsText" dxfId="547" priority="2545" operator="containsText" text="Functioning">
      <formula>NOT(ISERROR(SEARCH("Functioning",E311)))</formula>
    </cfRule>
  </conditionalFormatting>
  <conditionalFormatting sqref="E312">
    <cfRule type="expression" dxfId="546" priority="2535">
      <formula>#REF!="Level 5 - Biology"</formula>
    </cfRule>
    <cfRule type="expression" dxfId="545" priority="2534">
      <formula>#REF!="Level 4 - Physicochemical"</formula>
    </cfRule>
  </conditionalFormatting>
  <conditionalFormatting sqref="E313">
    <cfRule type="expression" dxfId="544" priority="2538">
      <formula>#REF!="Level 5 - Biology"</formula>
    </cfRule>
    <cfRule type="expression" dxfId="543" priority="2537">
      <formula>#REF!="Level 4 - Physicochemical"</formula>
    </cfRule>
  </conditionalFormatting>
  <conditionalFormatting sqref="E314">
    <cfRule type="expression" dxfId="542" priority="2540">
      <formula>#REF!="Level 5 - Biology"</formula>
    </cfRule>
    <cfRule type="expression" dxfId="541" priority="2539">
      <formula>#REF!="Level 4 - Physicochemical"</formula>
    </cfRule>
  </conditionalFormatting>
  <conditionalFormatting sqref="E315:E317">
    <cfRule type="expression" dxfId="540" priority="2536">
      <formula>B278="Level 5 - Biology"</formula>
    </cfRule>
  </conditionalFormatting>
  <conditionalFormatting sqref="E315:E320">
    <cfRule type="beginsWith" dxfId="539" priority="2476" stopIfTrue="1" operator="beginsWith" text="Functioning At Risk">
      <formula>LEFT(E315,LEN("Functioning At Risk"))="Functioning At Risk"</formula>
    </cfRule>
    <cfRule type="beginsWith" dxfId="538" priority="2477" stopIfTrue="1" operator="beginsWith" text="Not Functioning">
      <formula>LEFT(E315,LEN("Not Functioning"))="Not Functioning"</formula>
    </cfRule>
    <cfRule type="containsText" dxfId="537" priority="2478" operator="containsText" text="Functioning">
      <formula>NOT(ISERROR(SEARCH("Functioning",E315)))</formula>
    </cfRule>
  </conditionalFormatting>
  <conditionalFormatting sqref="E318">
    <cfRule type="expression" dxfId="536" priority="2533">
      <formula>#REF!="Level 5 - Biology"</formula>
    </cfRule>
  </conditionalFormatting>
  <conditionalFormatting sqref="E319">
    <cfRule type="expression" dxfId="535" priority="2547">
      <formula>#REF!="Level 5 - Biology"</formula>
    </cfRule>
  </conditionalFormatting>
  <conditionalFormatting sqref="E320">
    <cfRule type="expression" dxfId="534" priority="2546">
      <formula>#REF!="Level 5 - Biology"</formula>
    </cfRule>
  </conditionalFormatting>
  <conditionalFormatting sqref="E333:E334 E351:E366">
    <cfRule type="expression" dxfId="533" priority="1556">
      <formula>$D$327="Ephemeral"</formula>
    </cfRule>
  </conditionalFormatting>
  <conditionalFormatting sqref="E333:E334 E352:E356">
    <cfRule type="beginsWith" dxfId="532" priority="2365" stopIfTrue="1" operator="beginsWith" text="Functioning At Risk">
      <formula>LEFT(E333,LEN("Functioning At Risk"))="Functioning At Risk"</formula>
    </cfRule>
    <cfRule type="beginsWith" dxfId="531" priority="2366" stopIfTrue="1" operator="beginsWith" text="Not Functioning">
      <formula>LEFT(E333,LEN("Not Functioning"))="Not Functioning"</formula>
    </cfRule>
    <cfRule type="containsText" dxfId="530" priority="2367" operator="containsText" text="Functioning">
      <formula>NOT(ISERROR(SEARCH("Functioning",E333)))</formula>
    </cfRule>
  </conditionalFormatting>
  <conditionalFormatting sqref="E335:E343">
    <cfRule type="containsText" dxfId="529" priority="797" operator="containsText" text="Functioning">
      <formula>NOT(ISERROR(SEARCH("Functioning",E335)))</formula>
    </cfRule>
    <cfRule type="beginsWith" dxfId="528" priority="796" stopIfTrue="1" operator="beginsWith" text="Not Functioning">
      <formula>LEFT(E335,LEN("Not Functioning"))="Not Functioning"</formula>
    </cfRule>
    <cfRule type="beginsWith" dxfId="527" priority="795" stopIfTrue="1" operator="beginsWith" text="Functioning At Risk">
      <formula>LEFT(E335,LEN("Functioning At Risk"))="Functioning At Risk"</formula>
    </cfRule>
  </conditionalFormatting>
  <conditionalFormatting sqref="E345:E350">
    <cfRule type="beginsWith" dxfId="526" priority="1503" stopIfTrue="1" operator="beginsWith" text="Functioning At Risk">
      <formula>LEFT(E345,LEN("Functioning At Risk"))="Functioning At Risk"</formula>
    </cfRule>
    <cfRule type="beginsWith" dxfId="525" priority="1504" stopIfTrue="1" operator="beginsWith" text="Not Functioning">
      <formula>LEFT(E345,LEN("Not Functioning"))="Not Functioning"</formula>
    </cfRule>
    <cfRule type="containsText" dxfId="524" priority="1505" operator="containsText" text="Functioning">
      <formula>NOT(ISERROR(SEARCH("Functioning",E345)))</formula>
    </cfRule>
  </conditionalFormatting>
  <conditionalFormatting sqref="E352:E355">
    <cfRule type="expression" dxfId="523" priority="471">
      <formula>$D$325="Bedrock"</formula>
    </cfRule>
  </conditionalFormatting>
  <conditionalFormatting sqref="E357">
    <cfRule type="containsText" dxfId="522" priority="2401" operator="containsText" text="Functioning">
      <formula>NOT(ISERROR(SEARCH("Functioning",E357)))</formula>
    </cfRule>
    <cfRule type="beginsWith" dxfId="521" priority="2399" stopIfTrue="1" operator="beginsWith" text="Functioning At Risk">
      <formula>LEFT(E357,LEN("Functioning At Risk"))="Functioning At Risk"</formula>
    </cfRule>
    <cfRule type="beginsWith" dxfId="520" priority="2400" stopIfTrue="1" operator="beginsWith" text="Not Functioning">
      <formula>LEFT(E357,LEN("Not Functioning"))="Not Functioning"</formula>
    </cfRule>
    <cfRule type="expression" dxfId="519" priority="2398">
      <formula>#REF!="Level 4 - Physicochemical"</formula>
    </cfRule>
    <cfRule type="expression" dxfId="518" priority="2397">
      <formula>#REF!="Level 5 - Biology"</formula>
    </cfRule>
  </conditionalFormatting>
  <conditionalFormatting sqref="E358">
    <cfRule type="expression" dxfId="517" priority="2390">
      <formula>#REF!="Level 4 - Physicochemical"</formula>
    </cfRule>
    <cfRule type="expression" dxfId="516" priority="2391">
      <formula>#REF!="Level 5 - Biology"</formula>
    </cfRule>
  </conditionalFormatting>
  <conditionalFormatting sqref="E359">
    <cfRule type="expression" dxfId="515" priority="2393">
      <formula>#REF!="Level 4 - Physicochemical"</formula>
    </cfRule>
    <cfRule type="expression" dxfId="514" priority="2394">
      <formula>#REF!="Level 5 - Biology"</formula>
    </cfRule>
  </conditionalFormatting>
  <conditionalFormatting sqref="E360">
    <cfRule type="expression" dxfId="513" priority="2396">
      <formula>#REF!="Level 5 - Biology"</formula>
    </cfRule>
    <cfRule type="expression" dxfId="512" priority="2395">
      <formula>#REF!="Level 4 - Physicochemical"</formula>
    </cfRule>
  </conditionalFormatting>
  <conditionalFormatting sqref="E361:E363">
    <cfRule type="expression" dxfId="511" priority="2392">
      <formula>B324="Level 5 - Biology"</formula>
    </cfRule>
  </conditionalFormatting>
  <conditionalFormatting sqref="E361:E366">
    <cfRule type="beginsWith" dxfId="510" priority="2333" stopIfTrue="1" operator="beginsWith" text="Not Functioning">
      <formula>LEFT(E361,LEN("Not Functioning"))="Not Functioning"</formula>
    </cfRule>
    <cfRule type="beginsWith" dxfId="509" priority="2332" stopIfTrue="1" operator="beginsWith" text="Functioning At Risk">
      <formula>LEFT(E361,LEN("Functioning At Risk"))="Functioning At Risk"</formula>
    </cfRule>
    <cfRule type="containsText" dxfId="508" priority="2334" operator="containsText" text="Functioning">
      <formula>NOT(ISERROR(SEARCH("Functioning",E361)))</formula>
    </cfRule>
  </conditionalFormatting>
  <conditionalFormatting sqref="E364">
    <cfRule type="expression" dxfId="507" priority="2389">
      <formula>#REF!="Level 5 - Biology"</formula>
    </cfRule>
  </conditionalFormatting>
  <conditionalFormatting sqref="E365">
    <cfRule type="expression" dxfId="506" priority="2403">
      <formula>#REF!="Level 5 - Biology"</formula>
    </cfRule>
  </conditionalFormatting>
  <conditionalFormatting sqref="E366">
    <cfRule type="expression" dxfId="505" priority="2402">
      <formula>#REF!="Level 5 - Biology"</formula>
    </cfRule>
  </conditionalFormatting>
  <conditionalFormatting sqref="E379:E380 E397:E412">
    <cfRule type="expression" dxfId="504" priority="1555">
      <formula>$D$373="Ephemeral"</formula>
    </cfRule>
  </conditionalFormatting>
  <conditionalFormatting sqref="E379:E380 E398:E402">
    <cfRule type="beginsWith" dxfId="503" priority="2221" stopIfTrue="1" operator="beginsWith" text="Functioning At Risk">
      <formula>LEFT(E379,LEN("Functioning At Risk"))="Functioning At Risk"</formula>
    </cfRule>
    <cfRule type="containsText" dxfId="502" priority="2223" operator="containsText" text="Functioning">
      <formula>NOT(ISERROR(SEARCH("Functioning",E379)))</formula>
    </cfRule>
    <cfRule type="beginsWith" dxfId="501" priority="2222" stopIfTrue="1" operator="beginsWith" text="Not Functioning">
      <formula>LEFT(E379,LEN("Not Functioning"))="Not Functioning"</formula>
    </cfRule>
  </conditionalFormatting>
  <conditionalFormatting sqref="E381:E389">
    <cfRule type="beginsWith" dxfId="500" priority="792" stopIfTrue="1" operator="beginsWith" text="Functioning At Risk">
      <formula>LEFT(E381,LEN("Functioning At Risk"))="Functioning At Risk"</formula>
    </cfRule>
    <cfRule type="beginsWith" dxfId="499" priority="793" stopIfTrue="1" operator="beginsWith" text="Not Functioning">
      <formula>LEFT(E381,LEN("Not Functioning"))="Not Functioning"</formula>
    </cfRule>
    <cfRule type="containsText" dxfId="498" priority="794" operator="containsText" text="Functioning">
      <formula>NOT(ISERROR(SEARCH("Functioning",E381)))</formula>
    </cfRule>
  </conditionalFormatting>
  <conditionalFormatting sqref="E391:E396">
    <cfRule type="containsText" dxfId="497" priority="1517" operator="containsText" text="Functioning">
      <formula>NOT(ISERROR(SEARCH("Functioning",E391)))</formula>
    </cfRule>
    <cfRule type="beginsWith" dxfId="496" priority="1515" stopIfTrue="1" operator="beginsWith" text="Functioning At Risk">
      <formula>LEFT(E391,LEN("Functioning At Risk"))="Functioning At Risk"</formula>
    </cfRule>
    <cfRule type="beginsWith" dxfId="495" priority="1516" stopIfTrue="1" operator="beginsWith" text="Not Functioning">
      <formula>LEFT(E391,LEN("Not Functioning"))="Not Functioning"</formula>
    </cfRule>
  </conditionalFormatting>
  <conditionalFormatting sqref="E398:E401">
    <cfRule type="expression" dxfId="494" priority="470">
      <formula>$D$371="Bedrock"</formula>
    </cfRule>
  </conditionalFormatting>
  <conditionalFormatting sqref="E403">
    <cfRule type="expression" dxfId="493" priority="2254">
      <formula>#REF!="Level 4 - Physicochemical"</formula>
    </cfRule>
    <cfRule type="expression" dxfId="492" priority="2253">
      <formula>#REF!="Level 5 - Biology"</formula>
    </cfRule>
    <cfRule type="containsText" dxfId="491" priority="2257" operator="containsText" text="Functioning">
      <formula>NOT(ISERROR(SEARCH("Functioning",E403)))</formula>
    </cfRule>
    <cfRule type="beginsWith" dxfId="490" priority="2256" stopIfTrue="1" operator="beginsWith" text="Not Functioning">
      <formula>LEFT(E403,LEN("Not Functioning"))="Not Functioning"</formula>
    </cfRule>
    <cfRule type="beginsWith" dxfId="489" priority="2255" stopIfTrue="1" operator="beginsWith" text="Functioning At Risk">
      <formula>LEFT(E403,LEN("Functioning At Risk"))="Functioning At Risk"</formula>
    </cfRule>
  </conditionalFormatting>
  <conditionalFormatting sqref="E404">
    <cfRule type="expression" dxfId="488" priority="2246">
      <formula>#REF!="Level 4 - Physicochemical"</formula>
    </cfRule>
    <cfRule type="expression" dxfId="487" priority="2247">
      <formula>#REF!="Level 5 - Biology"</formula>
    </cfRule>
  </conditionalFormatting>
  <conditionalFormatting sqref="E405">
    <cfRule type="expression" dxfId="486" priority="2250">
      <formula>#REF!="Level 5 - Biology"</formula>
    </cfRule>
    <cfRule type="expression" dxfId="485" priority="2249">
      <formula>#REF!="Level 4 - Physicochemical"</formula>
    </cfRule>
  </conditionalFormatting>
  <conditionalFormatting sqref="E406">
    <cfRule type="expression" dxfId="484" priority="2252">
      <formula>#REF!="Level 5 - Biology"</formula>
    </cfRule>
    <cfRule type="expression" dxfId="483" priority="2251">
      <formula>#REF!="Level 4 - Physicochemical"</formula>
    </cfRule>
  </conditionalFormatting>
  <conditionalFormatting sqref="E407:E409">
    <cfRule type="expression" dxfId="482" priority="2248">
      <formula>B370="Level 5 - Biology"</formula>
    </cfRule>
  </conditionalFormatting>
  <conditionalFormatting sqref="E407:E412">
    <cfRule type="beginsWith" dxfId="481" priority="2188" stopIfTrue="1" operator="beginsWith" text="Functioning At Risk">
      <formula>LEFT(E407,LEN("Functioning At Risk"))="Functioning At Risk"</formula>
    </cfRule>
    <cfRule type="beginsWith" dxfId="480" priority="2189" stopIfTrue="1" operator="beginsWith" text="Not Functioning">
      <formula>LEFT(E407,LEN("Not Functioning"))="Not Functioning"</formula>
    </cfRule>
    <cfRule type="containsText" dxfId="479" priority="2190" operator="containsText" text="Functioning">
      <formula>NOT(ISERROR(SEARCH("Functioning",E407)))</formula>
    </cfRule>
  </conditionalFormatting>
  <conditionalFormatting sqref="E410">
    <cfRule type="expression" dxfId="478" priority="2245">
      <formula>#REF!="Level 5 - Biology"</formula>
    </cfRule>
  </conditionalFormatting>
  <conditionalFormatting sqref="E411">
    <cfRule type="expression" dxfId="477" priority="2259">
      <formula>#REF!="Level 5 - Biology"</formula>
    </cfRule>
  </conditionalFormatting>
  <conditionalFormatting sqref="E412">
    <cfRule type="expression" dxfId="476" priority="2258">
      <formula>#REF!="Level 5 - Biology"</formula>
    </cfRule>
  </conditionalFormatting>
  <conditionalFormatting sqref="E425:E426 E443:E458">
    <cfRule type="expression" dxfId="475" priority="1554">
      <formula>$D$419="Ephemeral"</formula>
    </cfRule>
  </conditionalFormatting>
  <conditionalFormatting sqref="E425:E426 E444:E448">
    <cfRule type="beginsWith" dxfId="474" priority="2078" stopIfTrue="1" operator="beginsWith" text="Not Functioning">
      <formula>LEFT(E425,LEN("Not Functioning"))="Not Functioning"</formula>
    </cfRule>
    <cfRule type="beginsWith" dxfId="473" priority="2077" stopIfTrue="1" operator="beginsWith" text="Functioning At Risk">
      <formula>LEFT(E425,LEN("Functioning At Risk"))="Functioning At Risk"</formula>
    </cfRule>
    <cfRule type="containsText" dxfId="472" priority="2079" operator="containsText" text="Functioning">
      <formula>NOT(ISERROR(SEARCH("Functioning",E425)))</formula>
    </cfRule>
  </conditionalFormatting>
  <conditionalFormatting sqref="E427:E435">
    <cfRule type="beginsWith" dxfId="471" priority="790" stopIfTrue="1" operator="beginsWith" text="Not Functioning">
      <formula>LEFT(E427,LEN("Not Functioning"))="Not Functioning"</formula>
    </cfRule>
    <cfRule type="beginsWith" dxfId="470" priority="789" stopIfTrue="1" operator="beginsWith" text="Functioning At Risk">
      <formula>LEFT(E427,LEN("Functioning At Risk"))="Functioning At Risk"</formula>
    </cfRule>
    <cfRule type="containsText" dxfId="469" priority="791" operator="containsText" text="Functioning">
      <formula>NOT(ISERROR(SEARCH("Functioning",E427)))</formula>
    </cfRule>
  </conditionalFormatting>
  <conditionalFormatting sqref="E437:E442">
    <cfRule type="beginsWith" dxfId="468" priority="1993" stopIfTrue="1" operator="beginsWith" text="Functioning At Risk">
      <formula>LEFT(E437,LEN("Functioning At Risk"))="Functioning At Risk"</formula>
    </cfRule>
    <cfRule type="beginsWith" dxfId="467" priority="1994" stopIfTrue="1" operator="beginsWith" text="Not Functioning">
      <formula>LEFT(E437,LEN("Not Functioning"))="Not Functioning"</formula>
    </cfRule>
    <cfRule type="containsText" dxfId="466" priority="1995" operator="containsText" text="Functioning">
      <formula>NOT(ISERROR(SEARCH("Functioning",E437)))</formula>
    </cfRule>
  </conditionalFormatting>
  <conditionalFormatting sqref="E444:E447">
    <cfRule type="expression" dxfId="465" priority="469">
      <formula>$D$417="Bedrock"</formula>
    </cfRule>
  </conditionalFormatting>
  <conditionalFormatting sqref="E449">
    <cfRule type="containsText" dxfId="464" priority="2113" operator="containsText" text="Functioning">
      <formula>NOT(ISERROR(SEARCH("Functioning",E449)))</formula>
    </cfRule>
    <cfRule type="beginsWith" dxfId="463" priority="2112" stopIfTrue="1" operator="beginsWith" text="Not Functioning">
      <formula>LEFT(E449,LEN("Not Functioning"))="Not Functioning"</formula>
    </cfRule>
    <cfRule type="beginsWith" dxfId="462" priority="2111" stopIfTrue="1" operator="beginsWith" text="Functioning At Risk">
      <formula>LEFT(E449,LEN("Functioning At Risk"))="Functioning At Risk"</formula>
    </cfRule>
    <cfRule type="expression" dxfId="461" priority="2109">
      <formula>#REF!="Level 5 - Biology"</formula>
    </cfRule>
    <cfRule type="expression" dxfId="460" priority="2110">
      <formula>#REF!="Level 4 - Physicochemical"</formula>
    </cfRule>
  </conditionalFormatting>
  <conditionalFormatting sqref="E450">
    <cfRule type="expression" dxfId="459" priority="2103">
      <formula>#REF!="Level 5 - Biology"</formula>
    </cfRule>
    <cfRule type="expression" dxfId="458" priority="2102">
      <formula>#REF!="Level 4 - Physicochemical"</formula>
    </cfRule>
  </conditionalFormatting>
  <conditionalFormatting sqref="E451">
    <cfRule type="expression" dxfId="457" priority="2105">
      <formula>#REF!="Level 4 - Physicochemical"</formula>
    </cfRule>
    <cfRule type="expression" dxfId="456" priority="2106">
      <formula>#REF!="Level 5 - Biology"</formula>
    </cfRule>
  </conditionalFormatting>
  <conditionalFormatting sqref="E452">
    <cfRule type="expression" dxfId="455" priority="2107">
      <formula>#REF!="Level 4 - Physicochemical"</formula>
    </cfRule>
    <cfRule type="expression" dxfId="454" priority="2108">
      <formula>#REF!="Level 5 - Biology"</formula>
    </cfRule>
  </conditionalFormatting>
  <conditionalFormatting sqref="E453:E455">
    <cfRule type="expression" dxfId="453" priority="2104">
      <formula>B416="Level 5 - Biology"</formula>
    </cfRule>
  </conditionalFormatting>
  <conditionalFormatting sqref="E453:E458">
    <cfRule type="beginsWith" dxfId="452" priority="2044" stopIfTrue="1" operator="beginsWith" text="Functioning At Risk">
      <formula>LEFT(E453,LEN("Functioning At Risk"))="Functioning At Risk"</formula>
    </cfRule>
    <cfRule type="containsText" dxfId="451" priority="2046" operator="containsText" text="Functioning">
      <formula>NOT(ISERROR(SEARCH("Functioning",E453)))</formula>
    </cfRule>
    <cfRule type="beginsWith" dxfId="450" priority="2045" stopIfTrue="1" operator="beginsWith" text="Not Functioning">
      <formula>LEFT(E453,LEN("Not Functioning"))="Not Functioning"</formula>
    </cfRule>
  </conditionalFormatting>
  <conditionalFormatting sqref="E456">
    <cfRule type="expression" dxfId="449" priority="2101">
      <formula>#REF!="Level 5 - Biology"</formula>
    </cfRule>
  </conditionalFormatting>
  <conditionalFormatting sqref="E457">
    <cfRule type="expression" dxfId="448" priority="2115">
      <formula>#REF!="Level 5 - Biology"</formula>
    </cfRule>
  </conditionalFormatting>
  <conditionalFormatting sqref="E458">
    <cfRule type="expression" dxfId="447" priority="2114">
      <formula>#REF!="Level 5 - Biology"</formula>
    </cfRule>
  </conditionalFormatting>
  <conditionalFormatting sqref="E54:J54">
    <cfRule type="beginsWith" dxfId="446" priority="1551" stopIfTrue="1" operator="beginsWith" text="Functioning At Risk">
      <formula>LEFT(E54,LEN("Functioning At Risk"))="Functioning At Risk"</formula>
    </cfRule>
    <cfRule type="containsText" dxfId="445" priority="1553" operator="containsText" text="Functioning">
      <formula>NOT(ISERROR(SEARCH("Functioning",E54)))</formula>
    </cfRule>
    <cfRule type="beginsWith" dxfId="444" priority="1552" stopIfTrue="1" operator="beginsWith" text="Not Functioning">
      <formula>LEFT(E54,LEN("Not Functioning"))="Not Functioning"</formula>
    </cfRule>
  </conditionalFormatting>
  <conditionalFormatting sqref="E100:J100">
    <cfRule type="beginsWith" dxfId="443" priority="1549" stopIfTrue="1" operator="beginsWith" text="Not Functioning">
      <formula>LEFT(E100,LEN("Not Functioning"))="Not Functioning"</formula>
    </cfRule>
    <cfRule type="containsText" dxfId="442" priority="1550" operator="containsText" text="Functioning">
      <formula>NOT(ISERROR(SEARCH("Functioning",E100)))</formula>
    </cfRule>
    <cfRule type="beginsWith" dxfId="441" priority="1548" stopIfTrue="1" operator="beginsWith" text="Functioning At Risk">
      <formula>LEFT(E100,LEN("Functioning At Risk"))="Functioning At Risk"</formula>
    </cfRule>
  </conditionalFormatting>
  <conditionalFormatting sqref="E146:J146">
    <cfRule type="containsText" dxfId="440" priority="1547" operator="containsText" text="Functioning">
      <formula>NOT(ISERROR(SEARCH("Functioning",E146)))</formula>
    </cfRule>
    <cfRule type="beginsWith" dxfId="439" priority="1546" stopIfTrue="1" operator="beginsWith" text="Not Functioning">
      <formula>LEFT(E146,LEN("Not Functioning"))="Not Functioning"</formula>
    </cfRule>
    <cfRule type="beginsWith" dxfId="438" priority="1545" stopIfTrue="1" operator="beginsWith" text="Functioning At Risk">
      <formula>LEFT(E146,LEN("Functioning At Risk"))="Functioning At Risk"</formula>
    </cfRule>
  </conditionalFormatting>
  <conditionalFormatting sqref="E192:J192">
    <cfRule type="beginsWith" dxfId="437" priority="1542" stopIfTrue="1" operator="beginsWith" text="Functioning At Risk">
      <formula>LEFT(E192,LEN("Functioning At Risk"))="Functioning At Risk"</formula>
    </cfRule>
    <cfRule type="containsText" dxfId="436" priority="1544" operator="containsText" text="Functioning">
      <formula>NOT(ISERROR(SEARCH("Functioning",E192)))</formula>
    </cfRule>
    <cfRule type="beginsWith" dxfId="435" priority="1543" stopIfTrue="1" operator="beginsWith" text="Not Functioning">
      <formula>LEFT(E192,LEN("Not Functioning"))="Not Functioning"</formula>
    </cfRule>
  </conditionalFormatting>
  <conditionalFormatting sqref="E238:J238">
    <cfRule type="beginsWith" dxfId="434" priority="1540" stopIfTrue="1" operator="beginsWith" text="Not Functioning">
      <formula>LEFT(E238,LEN("Not Functioning"))="Not Functioning"</formula>
    </cfRule>
    <cfRule type="beginsWith" dxfId="433" priority="1539" stopIfTrue="1" operator="beginsWith" text="Functioning At Risk">
      <formula>LEFT(E238,LEN("Functioning At Risk"))="Functioning At Risk"</formula>
    </cfRule>
    <cfRule type="containsText" dxfId="432" priority="1541" operator="containsText" text="Functioning">
      <formula>NOT(ISERROR(SEARCH("Functioning",E238)))</formula>
    </cfRule>
  </conditionalFormatting>
  <conditionalFormatting sqref="E284:J284">
    <cfRule type="beginsWith" dxfId="431" priority="1537" stopIfTrue="1" operator="beginsWith" text="Not Functioning">
      <formula>LEFT(E284,LEN("Not Functioning"))="Not Functioning"</formula>
    </cfRule>
    <cfRule type="beginsWith" dxfId="430" priority="1536" stopIfTrue="1" operator="beginsWith" text="Functioning At Risk">
      <formula>LEFT(E284,LEN("Functioning At Risk"))="Functioning At Risk"</formula>
    </cfRule>
    <cfRule type="containsText" dxfId="429" priority="1538" operator="containsText" text="Functioning">
      <formula>NOT(ISERROR(SEARCH("Functioning",E284)))</formula>
    </cfRule>
  </conditionalFormatting>
  <conditionalFormatting sqref="E330:J330">
    <cfRule type="beginsWith" dxfId="428" priority="1533" stopIfTrue="1" operator="beginsWith" text="Functioning At Risk">
      <formula>LEFT(E330,LEN("Functioning At Risk"))="Functioning At Risk"</formula>
    </cfRule>
    <cfRule type="containsText" dxfId="427" priority="1535" operator="containsText" text="Functioning">
      <formula>NOT(ISERROR(SEARCH("Functioning",E330)))</formula>
    </cfRule>
    <cfRule type="beginsWith" dxfId="426" priority="1534" stopIfTrue="1" operator="beginsWith" text="Not Functioning">
      <formula>LEFT(E330,LEN("Not Functioning"))="Not Functioning"</formula>
    </cfRule>
  </conditionalFormatting>
  <conditionalFormatting sqref="E376:J376">
    <cfRule type="beginsWith" dxfId="425" priority="1530" stopIfTrue="1" operator="beginsWith" text="Functioning At Risk">
      <formula>LEFT(E376,LEN("Functioning At Risk"))="Functioning At Risk"</formula>
    </cfRule>
    <cfRule type="beginsWith" dxfId="424" priority="1531" stopIfTrue="1" operator="beginsWith" text="Not Functioning">
      <formula>LEFT(E376,LEN("Not Functioning"))="Not Functioning"</formula>
    </cfRule>
    <cfRule type="containsText" dxfId="423" priority="1532" operator="containsText" text="Functioning">
      <formula>NOT(ISERROR(SEARCH("Functioning",E376)))</formula>
    </cfRule>
  </conditionalFormatting>
  <conditionalFormatting sqref="E422:J422">
    <cfRule type="containsText" dxfId="422" priority="1529" operator="containsText" text="Functioning">
      <formula>NOT(ISERROR(SEARCH("Functioning",E422)))</formula>
    </cfRule>
    <cfRule type="beginsWith" dxfId="421" priority="1528" stopIfTrue="1" operator="beginsWith" text="Not Functioning">
      <formula>LEFT(E422,LEN("Not Functioning"))="Not Functioning"</formula>
    </cfRule>
    <cfRule type="beginsWith" dxfId="420" priority="1527" stopIfTrue="1" operator="beginsWith" text="Functioning At Risk">
      <formula>LEFT(E422,LEN("Functioning At Risk"))="Functioning At Risk"</formula>
    </cfRule>
  </conditionalFormatting>
  <conditionalFormatting sqref="F11:F14">
    <cfRule type="containsText" dxfId="419" priority="842" operator="containsText" text="Functioning">
      <formula>NOT(ISERROR(SEARCH("Functioning",F11)))</formula>
    </cfRule>
    <cfRule type="beginsWith" dxfId="418" priority="841" stopIfTrue="1" operator="beginsWith" text="Not Functioning">
      <formula>LEFT(F11,LEN("Not Functioning"))="Not Functioning"</formula>
    </cfRule>
    <cfRule type="beginsWith" dxfId="417" priority="840" stopIfTrue="1" operator="beginsWith" text="Functioning At Risk">
      <formula>LEFT(F11,LEN("Functioning At Risk"))="Functioning At Risk"</formula>
    </cfRule>
  </conditionalFormatting>
  <conditionalFormatting sqref="F16">
    <cfRule type="containsText" dxfId="416" priority="845" operator="containsText" text="Functioning">
      <formula>NOT(ISERROR(SEARCH("Functioning",F16)))</formula>
    </cfRule>
    <cfRule type="beginsWith" dxfId="415" priority="843" stopIfTrue="1" operator="beginsWith" text="Functioning At Risk">
      <formula>LEFT(F16,LEN("Functioning At Risk"))="Functioning At Risk"</formula>
    </cfRule>
    <cfRule type="beginsWith" dxfId="414" priority="844" stopIfTrue="1" operator="beginsWith" text="Not Functioning">
      <formula>LEFT(F16,LEN("Not Functioning"))="Not Functioning"</formula>
    </cfRule>
  </conditionalFormatting>
  <conditionalFormatting sqref="F19:F24">
    <cfRule type="containsText" dxfId="413" priority="836" operator="containsText" text="Functioning">
      <formula>NOT(ISERROR(SEARCH("Functioning",F19)))</formula>
    </cfRule>
    <cfRule type="beginsWith" dxfId="412" priority="835" stopIfTrue="1" operator="beginsWith" text="Not Functioning">
      <formula>LEFT(F19,LEN("Not Functioning"))="Not Functioning"</formula>
    </cfRule>
    <cfRule type="beginsWith" dxfId="411" priority="834" stopIfTrue="1" operator="beginsWith" text="Functioning At Risk">
      <formula>LEFT(F19,LEN("Functioning At Risk"))="Functioning At Risk"</formula>
    </cfRule>
  </conditionalFormatting>
  <conditionalFormatting sqref="F27:F28">
    <cfRule type="beginsWith" dxfId="410" priority="616" stopIfTrue="1" operator="beginsWith" text="Not Functioning">
      <formula>LEFT(F27,LEN("Not Functioning"))="Not Functioning"</formula>
    </cfRule>
    <cfRule type="containsText" dxfId="409" priority="617" operator="containsText" text="Functioning">
      <formula>NOT(ISERROR(SEARCH("Functioning",F27)))</formula>
    </cfRule>
    <cfRule type="beginsWith" dxfId="408" priority="615" stopIfTrue="1" operator="beginsWith" text="Functioning At Risk">
      <formula>LEFT(F27,LEN("Functioning At Risk"))="Functioning At Risk"</formula>
    </cfRule>
  </conditionalFormatting>
  <conditionalFormatting sqref="F31">
    <cfRule type="beginsWith" dxfId="407" priority="819" stopIfTrue="1" operator="beginsWith" text="Functioning At Risk">
      <formula>LEFT(F31,LEN("Functioning At Risk"))="Functioning At Risk"</formula>
    </cfRule>
    <cfRule type="containsText" dxfId="406" priority="821" operator="containsText" text="Functioning">
      <formula>NOT(ISERROR(SEARCH("Functioning",F31)))</formula>
    </cfRule>
    <cfRule type="beginsWith" dxfId="405" priority="820" stopIfTrue="1" operator="beginsWith" text="Not Functioning">
      <formula>LEFT(F31,LEN("Not Functioning"))="Not Functioning"</formula>
    </cfRule>
  </conditionalFormatting>
  <conditionalFormatting sqref="F34">
    <cfRule type="beginsWith" dxfId="404" priority="816" stopIfTrue="1" operator="beginsWith" text="Functioning At Risk">
      <formula>LEFT(F34,LEN("Functioning At Risk"))="Functioning At Risk"</formula>
    </cfRule>
    <cfRule type="beginsWith" dxfId="403" priority="817" stopIfTrue="1" operator="beginsWith" text="Not Functioning">
      <formula>LEFT(F34,LEN("Not Functioning"))="Not Functioning"</formula>
    </cfRule>
    <cfRule type="containsText" dxfId="402" priority="818" operator="containsText" text="Functioning">
      <formula>NOT(ISERROR(SEARCH("Functioning",F34)))</formula>
    </cfRule>
  </conditionalFormatting>
  <conditionalFormatting sqref="F39:F44">
    <cfRule type="beginsWith" dxfId="401" priority="115" stopIfTrue="1" operator="beginsWith" text="Functioning At Risk">
      <formula>LEFT(F39,LEN("Functioning At Risk"))="Functioning At Risk"</formula>
    </cfRule>
    <cfRule type="beginsWith" dxfId="400" priority="116" stopIfTrue="1" operator="beginsWith" text="Not Functioning">
      <formula>LEFT(F39,LEN("Not Functioning"))="Not Functioning"</formula>
    </cfRule>
    <cfRule type="containsText" dxfId="399" priority="117" operator="containsText" text="Functioning">
      <formula>NOT(ISERROR(SEARCH("Functioning",F39)))</formula>
    </cfRule>
  </conditionalFormatting>
  <conditionalFormatting sqref="F57:F60">
    <cfRule type="containsText" dxfId="398" priority="168" operator="containsText" text="Functioning">
      <formula>NOT(ISERROR(SEARCH("Functioning",F57)))</formula>
    </cfRule>
    <cfRule type="beginsWith" dxfId="397" priority="167" stopIfTrue="1" operator="beginsWith" text="Not Functioning">
      <formula>LEFT(F57,LEN("Not Functioning"))="Not Functioning"</formula>
    </cfRule>
    <cfRule type="beginsWith" dxfId="396" priority="166" stopIfTrue="1" operator="beginsWith" text="Functioning At Risk">
      <formula>LEFT(F57,LEN("Functioning At Risk"))="Functioning At Risk"</formula>
    </cfRule>
  </conditionalFormatting>
  <conditionalFormatting sqref="F62">
    <cfRule type="containsText" dxfId="395" priority="438" operator="containsText" text="Functioning">
      <formula>NOT(ISERROR(SEARCH("Functioning",F62)))</formula>
    </cfRule>
    <cfRule type="beginsWith" dxfId="394" priority="437" stopIfTrue="1" operator="beginsWith" text="Not Functioning">
      <formula>LEFT(F62,LEN("Not Functioning"))="Not Functioning"</formula>
    </cfRule>
    <cfRule type="beginsWith" dxfId="393" priority="436" stopIfTrue="1" operator="beginsWith" text="Functioning At Risk">
      <formula>LEFT(F62,LEN("Functioning At Risk"))="Functioning At Risk"</formula>
    </cfRule>
  </conditionalFormatting>
  <conditionalFormatting sqref="F65:F70">
    <cfRule type="containsText" dxfId="392" priority="429" operator="containsText" text="Functioning">
      <formula>NOT(ISERROR(SEARCH("Functioning",F65)))</formula>
    </cfRule>
    <cfRule type="beginsWith" dxfId="391" priority="428" stopIfTrue="1" operator="beginsWith" text="Not Functioning">
      <formula>LEFT(F65,LEN("Not Functioning"))="Not Functioning"</formula>
    </cfRule>
    <cfRule type="beginsWith" dxfId="390" priority="427" stopIfTrue="1" operator="beginsWith" text="Functioning At Risk">
      <formula>LEFT(F65,LEN("Functioning At Risk"))="Functioning At Risk"</formula>
    </cfRule>
  </conditionalFormatting>
  <conditionalFormatting sqref="F73:F74">
    <cfRule type="beginsWith" dxfId="389" priority="410" stopIfTrue="1" operator="beginsWith" text="Not Functioning">
      <formula>LEFT(F73,LEN("Not Functioning"))="Not Functioning"</formula>
    </cfRule>
    <cfRule type="beginsWith" dxfId="388" priority="409" stopIfTrue="1" operator="beginsWith" text="Functioning At Risk">
      <formula>LEFT(F73,LEN("Functioning At Risk"))="Functioning At Risk"</formula>
    </cfRule>
    <cfRule type="containsText" dxfId="387" priority="411" operator="containsText" text="Functioning">
      <formula>NOT(ISERROR(SEARCH("Functioning",F73)))</formula>
    </cfRule>
  </conditionalFormatting>
  <conditionalFormatting sqref="F77">
    <cfRule type="beginsWith" dxfId="386" priority="416" stopIfTrue="1" operator="beginsWith" text="Not Functioning">
      <formula>LEFT(F77,LEN("Not Functioning"))="Not Functioning"</formula>
    </cfRule>
    <cfRule type="containsText" dxfId="385" priority="417" operator="containsText" text="Functioning">
      <formula>NOT(ISERROR(SEARCH("Functioning",F77)))</formula>
    </cfRule>
    <cfRule type="beginsWith" dxfId="384" priority="415" stopIfTrue="1" operator="beginsWith" text="Functioning At Risk">
      <formula>LEFT(F77,LEN("Functioning At Risk"))="Functioning At Risk"</formula>
    </cfRule>
  </conditionalFormatting>
  <conditionalFormatting sqref="F80">
    <cfRule type="beginsWith" dxfId="383" priority="413" stopIfTrue="1" operator="beginsWith" text="Not Functioning">
      <formula>LEFT(F80,LEN("Not Functioning"))="Not Functioning"</formula>
    </cfRule>
    <cfRule type="containsText" dxfId="382" priority="414" operator="containsText" text="Functioning">
      <formula>NOT(ISERROR(SEARCH("Functioning",F80)))</formula>
    </cfRule>
    <cfRule type="beginsWith" dxfId="381" priority="412" stopIfTrue="1" operator="beginsWith" text="Functioning At Risk">
      <formula>LEFT(F80,LEN("Functioning At Risk"))="Functioning At Risk"</formula>
    </cfRule>
  </conditionalFormatting>
  <conditionalFormatting sqref="F85:F90">
    <cfRule type="containsText" dxfId="380" priority="120" operator="containsText" text="Functioning">
      <formula>NOT(ISERROR(SEARCH("Functioning",F85)))</formula>
    </cfRule>
    <cfRule type="beginsWith" dxfId="379" priority="119" stopIfTrue="1" operator="beginsWith" text="Not Functioning">
      <formula>LEFT(F85,LEN("Not Functioning"))="Not Functioning"</formula>
    </cfRule>
    <cfRule type="beginsWith" dxfId="378" priority="118" stopIfTrue="1" operator="beginsWith" text="Functioning At Risk">
      <formula>LEFT(F85,LEN("Functioning At Risk"))="Functioning At Risk"</formula>
    </cfRule>
  </conditionalFormatting>
  <conditionalFormatting sqref="F103:F106">
    <cfRule type="beginsWith" dxfId="377" priority="164" stopIfTrue="1" operator="beginsWith" text="Not Functioning">
      <formula>LEFT(F103,LEN("Not Functioning"))="Not Functioning"</formula>
    </cfRule>
    <cfRule type="beginsWith" dxfId="376" priority="163" stopIfTrue="1" operator="beginsWith" text="Functioning At Risk">
      <formula>LEFT(F103,LEN("Functioning At Risk"))="Functioning At Risk"</formula>
    </cfRule>
    <cfRule type="containsText" dxfId="375" priority="165" operator="containsText" text="Functioning">
      <formula>NOT(ISERROR(SEARCH("Functioning",F103)))</formula>
    </cfRule>
  </conditionalFormatting>
  <conditionalFormatting sqref="F108">
    <cfRule type="beginsWith" dxfId="374" priority="406" stopIfTrue="1" operator="beginsWith" text="Functioning At Risk">
      <formula>LEFT(F108,LEN("Functioning At Risk"))="Functioning At Risk"</formula>
    </cfRule>
    <cfRule type="beginsWith" dxfId="373" priority="407" stopIfTrue="1" operator="beginsWith" text="Not Functioning">
      <formula>LEFT(F108,LEN("Not Functioning"))="Not Functioning"</formula>
    </cfRule>
    <cfRule type="containsText" dxfId="372" priority="408" operator="containsText" text="Functioning">
      <formula>NOT(ISERROR(SEARCH("Functioning",F108)))</formula>
    </cfRule>
  </conditionalFormatting>
  <conditionalFormatting sqref="F111:F116">
    <cfRule type="beginsWith" dxfId="371" priority="398" stopIfTrue="1" operator="beginsWith" text="Not Functioning">
      <formula>LEFT(F111,LEN("Not Functioning"))="Not Functioning"</formula>
    </cfRule>
    <cfRule type="beginsWith" dxfId="370" priority="397" stopIfTrue="1" operator="beginsWith" text="Functioning At Risk">
      <formula>LEFT(F111,LEN("Functioning At Risk"))="Functioning At Risk"</formula>
    </cfRule>
    <cfRule type="containsText" dxfId="369" priority="399" operator="containsText" text="Functioning">
      <formula>NOT(ISERROR(SEARCH("Functioning",F111)))</formula>
    </cfRule>
  </conditionalFormatting>
  <conditionalFormatting sqref="F119:F120">
    <cfRule type="beginsWith" dxfId="368" priority="379" stopIfTrue="1" operator="beginsWith" text="Functioning At Risk">
      <formula>LEFT(F119,LEN("Functioning At Risk"))="Functioning At Risk"</formula>
    </cfRule>
    <cfRule type="beginsWith" dxfId="367" priority="380" stopIfTrue="1" operator="beginsWith" text="Not Functioning">
      <formula>LEFT(F119,LEN("Not Functioning"))="Not Functioning"</formula>
    </cfRule>
    <cfRule type="containsText" dxfId="366" priority="381" operator="containsText" text="Functioning">
      <formula>NOT(ISERROR(SEARCH("Functioning",F119)))</formula>
    </cfRule>
  </conditionalFormatting>
  <conditionalFormatting sqref="F123">
    <cfRule type="containsText" dxfId="365" priority="387" operator="containsText" text="Functioning">
      <formula>NOT(ISERROR(SEARCH("Functioning",F123)))</formula>
    </cfRule>
    <cfRule type="beginsWith" dxfId="364" priority="386" stopIfTrue="1" operator="beginsWith" text="Not Functioning">
      <formula>LEFT(F123,LEN("Not Functioning"))="Not Functioning"</formula>
    </cfRule>
    <cfRule type="beginsWith" dxfId="363" priority="385" stopIfTrue="1" operator="beginsWith" text="Functioning At Risk">
      <formula>LEFT(F123,LEN("Functioning At Risk"))="Functioning At Risk"</formula>
    </cfRule>
  </conditionalFormatting>
  <conditionalFormatting sqref="F126">
    <cfRule type="beginsWith" dxfId="362" priority="382" stopIfTrue="1" operator="beginsWith" text="Functioning At Risk">
      <formula>LEFT(F126,LEN("Functioning At Risk"))="Functioning At Risk"</formula>
    </cfRule>
    <cfRule type="beginsWith" dxfId="361" priority="383" stopIfTrue="1" operator="beginsWith" text="Not Functioning">
      <formula>LEFT(F126,LEN("Not Functioning"))="Not Functioning"</formula>
    </cfRule>
    <cfRule type="containsText" dxfId="360" priority="384" operator="containsText" text="Functioning">
      <formula>NOT(ISERROR(SEARCH("Functioning",F126)))</formula>
    </cfRule>
  </conditionalFormatting>
  <conditionalFormatting sqref="F131:F136">
    <cfRule type="containsText" dxfId="359" priority="123" operator="containsText" text="Functioning">
      <formula>NOT(ISERROR(SEARCH("Functioning",F131)))</formula>
    </cfRule>
    <cfRule type="beginsWith" dxfId="358" priority="121" stopIfTrue="1" operator="beginsWith" text="Functioning At Risk">
      <formula>LEFT(F131,LEN("Functioning At Risk"))="Functioning At Risk"</formula>
    </cfRule>
    <cfRule type="beginsWith" dxfId="357" priority="122" stopIfTrue="1" operator="beginsWith" text="Not Functioning">
      <formula>LEFT(F131,LEN("Not Functioning"))="Not Functioning"</formula>
    </cfRule>
  </conditionalFormatting>
  <conditionalFormatting sqref="F149:F152">
    <cfRule type="beginsWith" dxfId="356" priority="160" stopIfTrue="1" operator="beginsWith" text="Functioning At Risk">
      <formula>LEFT(F149,LEN("Functioning At Risk"))="Functioning At Risk"</formula>
    </cfRule>
    <cfRule type="beginsWith" dxfId="355" priority="161" stopIfTrue="1" operator="beginsWith" text="Not Functioning">
      <formula>LEFT(F149,LEN("Not Functioning"))="Not Functioning"</formula>
    </cfRule>
    <cfRule type="containsText" dxfId="354" priority="162" operator="containsText" text="Functioning">
      <formula>NOT(ISERROR(SEARCH("Functioning",F149)))</formula>
    </cfRule>
  </conditionalFormatting>
  <conditionalFormatting sqref="F154">
    <cfRule type="beginsWith" dxfId="353" priority="377" stopIfTrue="1" operator="beginsWith" text="Not Functioning">
      <formula>LEFT(F154,LEN("Not Functioning"))="Not Functioning"</formula>
    </cfRule>
    <cfRule type="containsText" dxfId="352" priority="378" operator="containsText" text="Functioning">
      <formula>NOT(ISERROR(SEARCH("Functioning",F154)))</formula>
    </cfRule>
    <cfRule type="beginsWith" dxfId="351" priority="376" stopIfTrue="1" operator="beginsWith" text="Functioning At Risk">
      <formula>LEFT(F154,LEN("Functioning At Risk"))="Functioning At Risk"</formula>
    </cfRule>
  </conditionalFormatting>
  <conditionalFormatting sqref="F157:F162">
    <cfRule type="containsText" dxfId="350" priority="369" operator="containsText" text="Functioning">
      <formula>NOT(ISERROR(SEARCH("Functioning",F157)))</formula>
    </cfRule>
    <cfRule type="beginsWith" dxfId="349" priority="368" stopIfTrue="1" operator="beginsWith" text="Not Functioning">
      <formula>LEFT(F157,LEN("Not Functioning"))="Not Functioning"</formula>
    </cfRule>
    <cfRule type="beginsWith" dxfId="348" priority="367" stopIfTrue="1" operator="beginsWith" text="Functioning At Risk">
      <formula>LEFT(F157,LEN("Functioning At Risk"))="Functioning At Risk"</formula>
    </cfRule>
  </conditionalFormatting>
  <conditionalFormatting sqref="F165:F166">
    <cfRule type="beginsWith" dxfId="347" priority="350" stopIfTrue="1" operator="beginsWith" text="Not Functioning">
      <formula>LEFT(F165,LEN("Not Functioning"))="Not Functioning"</formula>
    </cfRule>
    <cfRule type="beginsWith" dxfId="346" priority="349" stopIfTrue="1" operator="beginsWith" text="Functioning At Risk">
      <formula>LEFT(F165,LEN("Functioning At Risk"))="Functioning At Risk"</formula>
    </cfRule>
    <cfRule type="containsText" dxfId="345" priority="351" operator="containsText" text="Functioning">
      <formula>NOT(ISERROR(SEARCH("Functioning",F165)))</formula>
    </cfRule>
  </conditionalFormatting>
  <conditionalFormatting sqref="F169">
    <cfRule type="beginsWith" dxfId="344" priority="355" stopIfTrue="1" operator="beginsWith" text="Functioning At Risk">
      <formula>LEFT(F169,LEN("Functioning At Risk"))="Functioning At Risk"</formula>
    </cfRule>
    <cfRule type="containsText" dxfId="343" priority="357" operator="containsText" text="Functioning">
      <formula>NOT(ISERROR(SEARCH("Functioning",F169)))</formula>
    </cfRule>
    <cfRule type="beginsWith" dxfId="342" priority="356" stopIfTrue="1" operator="beginsWith" text="Not Functioning">
      <formula>LEFT(F169,LEN("Not Functioning"))="Not Functioning"</formula>
    </cfRule>
  </conditionalFormatting>
  <conditionalFormatting sqref="F172">
    <cfRule type="containsText" dxfId="341" priority="354" operator="containsText" text="Functioning">
      <formula>NOT(ISERROR(SEARCH("Functioning",F172)))</formula>
    </cfRule>
    <cfRule type="beginsWith" dxfId="340" priority="352" stopIfTrue="1" operator="beginsWith" text="Functioning At Risk">
      <formula>LEFT(F172,LEN("Functioning At Risk"))="Functioning At Risk"</formula>
    </cfRule>
    <cfRule type="beginsWith" dxfId="339" priority="353" stopIfTrue="1" operator="beginsWith" text="Not Functioning">
      <formula>LEFT(F172,LEN("Not Functioning"))="Not Functioning"</formula>
    </cfRule>
  </conditionalFormatting>
  <conditionalFormatting sqref="F177:F182">
    <cfRule type="beginsWith" dxfId="338" priority="124" stopIfTrue="1" operator="beginsWith" text="Functioning At Risk">
      <formula>LEFT(F177,LEN("Functioning At Risk"))="Functioning At Risk"</formula>
    </cfRule>
    <cfRule type="beginsWith" dxfId="337" priority="125" stopIfTrue="1" operator="beginsWith" text="Not Functioning">
      <formula>LEFT(F177,LEN("Not Functioning"))="Not Functioning"</formula>
    </cfRule>
    <cfRule type="containsText" dxfId="336" priority="126" operator="containsText" text="Functioning">
      <formula>NOT(ISERROR(SEARCH("Functioning",F177)))</formula>
    </cfRule>
  </conditionalFormatting>
  <conditionalFormatting sqref="F195:F198">
    <cfRule type="beginsWith" dxfId="335" priority="157" stopIfTrue="1" operator="beginsWith" text="Functioning At Risk">
      <formula>LEFT(F195,LEN("Functioning At Risk"))="Functioning At Risk"</formula>
    </cfRule>
    <cfRule type="containsText" dxfId="334" priority="159" operator="containsText" text="Functioning">
      <formula>NOT(ISERROR(SEARCH("Functioning",F195)))</formula>
    </cfRule>
    <cfRule type="beginsWith" dxfId="333" priority="158" stopIfTrue="1" operator="beginsWith" text="Not Functioning">
      <formula>LEFT(F195,LEN("Not Functioning"))="Not Functioning"</formula>
    </cfRule>
  </conditionalFormatting>
  <conditionalFormatting sqref="F200">
    <cfRule type="beginsWith" dxfId="332" priority="346" stopIfTrue="1" operator="beginsWith" text="Functioning At Risk">
      <formula>LEFT(F200,LEN("Functioning At Risk"))="Functioning At Risk"</formula>
    </cfRule>
    <cfRule type="containsText" dxfId="331" priority="348" operator="containsText" text="Functioning">
      <formula>NOT(ISERROR(SEARCH("Functioning",F200)))</formula>
    </cfRule>
    <cfRule type="beginsWith" dxfId="330" priority="347" stopIfTrue="1" operator="beginsWith" text="Not Functioning">
      <formula>LEFT(F200,LEN("Not Functioning"))="Not Functioning"</formula>
    </cfRule>
  </conditionalFormatting>
  <conditionalFormatting sqref="F203:F208">
    <cfRule type="beginsWith" dxfId="329" priority="338" stopIfTrue="1" operator="beginsWith" text="Not Functioning">
      <formula>LEFT(F203,LEN("Not Functioning"))="Not Functioning"</formula>
    </cfRule>
    <cfRule type="containsText" dxfId="328" priority="339" operator="containsText" text="Functioning">
      <formula>NOT(ISERROR(SEARCH("Functioning",F203)))</formula>
    </cfRule>
    <cfRule type="beginsWith" dxfId="327" priority="337" stopIfTrue="1" operator="beginsWith" text="Functioning At Risk">
      <formula>LEFT(F203,LEN("Functioning At Risk"))="Functioning At Risk"</formula>
    </cfRule>
  </conditionalFormatting>
  <conditionalFormatting sqref="F211:F212">
    <cfRule type="containsText" dxfId="326" priority="321" operator="containsText" text="Functioning">
      <formula>NOT(ISERROR(SEARCH("Functioning",F211)))</formula>
    </cfRule>
    <cfRule type="beginsWith" dxfId="325" priority="319" stopIfTrue="1" operator="beginsWith" text="Functioning At Risk">
      <formula>LEFT(F211,LEN("Functioning At Risk"))="Functioning At Risk"</formula>
    </cfRule>
    <cfRule type="beginsWith" dxfId="324" priority="320" stopIfTrue="1" operator="beginsWith" text="Not Functioning">
      <formula>LEFT(F211,LEN("Not Functioning"))="Not Functioning"</formula>
    </cfRule>
  </conditionalFormatting>
  <conditionalFormatting sqref="F215">
    <cfRule type="beginsWith" dxfId="323" priority="325" stopIfTrue="1" operator="beginsWith" text="Functioning At Risk">
      <formula>LEFT(F215,LEN("Functioning At Risk"))="Functioning At Risk"</formula>
    </cfRule>
    <cfRule type="beginsWith" dxfId="322" priority="326" stopIfTrue="1" operator="beginsWith" text="Not Functioning">
      <formula>LEFT(F215,LEN("Not Functioning"))="Not Functioning"</formula>
    </cfRule>
    <cfRule type="containsText" dxfId="321" priority="327" operator="containsText" text="Functioning">
      <formula>NOT(ISERROR(SEARCH("Functioning",F215)))</formula>
    </cfRule>
  </conditionalFormatting>
  <conditionalFormatting sqref="F218">
    <cfRule type="containsText" dxfId="320" priority="324" operator="containsText" text="Functioning">
      <formula>NOT(ISERROR(SEARCH("Functioning",F218)))</formula>
    </cfRule>
    <cfRule type="beginsWith" dxfId="319" priority="323" stopIfTrue="1" operator="beginsWith" text="Not Functioning">
      <formula>LEFT(F218,LEN("Not Functioning"))="Not Functioning"</formula>
    </cfRule>
    <cfRule type="beginsWith" dxfId="318" priority="322" stopIfTrue="1" operator="beginsWith" text="Functioning At Risk">
      <formula>LEFT(F218,LEN("Functioning At Risk"))="Functioning At Risk"</formula>
    </cfRule>
  </conditionalFormatting>
  <conditionalFormatting sqref="F223:F228">
    <cfRule type="containsText" dxfId="317" priority="129" operator="containsText" text="Functioning">
      <formula>NOT(ISERROR(SEARCH("Functioning",F223)))</formula>
    </cfRule>
    <cfRule type="beginsWith" dxfId="316" priority="128" stopIfTrue="1" operator="beginsWith" text="Not Functioning">
      <formula>LEFT(F223,LEN("Not Functioning"))="Not Functioning"</formula>
    </cfRule>
    <cfRule type="beginsWith" dxfId="315" priority="127" stopIfTrue="1" operator="beginsWith" text="Functioning At Risk">
      <formula>LEFT(F223,LEN("Functioning At Risk"))="Functioning At Risk"</formula>
    </cfRule>
  </conditionalFormatting>
  <conditionalFormatting sqref="F241:F244">
    <cfRule type="beginsWith" dxfId="314" priority="155" stopIfTrue="1" operator="beginsWith" text="Not Functioning">
      <formula>LEFT(F241,LEN("Not Functioning"))="Not Functioning"</formula>
    </cfRule>
    <cfRule type="beginsWith" dxfId="313" priority="154" stopIfTrue="1" operator="beginsWith" text="Functioning At Risk">
      <formula>LEFT(F241,LEN("Functioning At Risk"))="Functioning At Risk"</formula>
    </cfRule>
    <cfRule type="containsText" dxfId="312" priority="156" operator="containsText" text="Functioning">
      <formula>NOT(ISERROR(SEARCH("Functioning",F241)))</formula>
    </cfRule>
  </conditionalFormatting>
  <conditionalFormatting sqref="F246">
    <cfRule type="containsText" dxfId="311" priority="318" operator="containsText" text="Functioning">
      <formula>NOT(ISERROR(SEARCH("Functioning",F246)))</formula>
    </cfRule>
    <cfRule type="beginsWith" dxfId="310" priority="317" stopIfTrue="1" operator="beginsWith" text="Not Functioning">
      <formula>LEFT(F246,LEN("Not Functioning"))="Not Functioning"</formula>
    </cfRule>
    <cfRule type="beginsWith" dxfId="309" priority="316" stopIfTrue="1" operator="beginsWith" text="Functioning At Risk">
      <formula>LEFT(F246,LEN("Functioning At Risk"))="Functioning At Risk"</formula>
    </cfRule>
  </conditionalFormatting>
  <conditionalFormatting sqref="F249:F254">
    <cfRule type="beginsWith" dxfId="308" priority="307" stopIfTrue="1" operator="beginsWith" text="Functioning At Risk">
      <formula>LEFT(F249,LEN("Functioning At Risk"))="Functioning At Risk"</formula>
    </cfRule>
    <cfRule type="beginsWith" dxfId="307" priority="308" stopIfTrue="1" operator="beginsWith" text="Not Functioning">
      <formula>LEFT(F249,LEN("Not Functioning"))="Not Functioning"</formula>
    </cfRule>
    <cfRule type="containsText" dxfId="306" priority="309" operator="containsText" text="Functioning">
      <formula>NOT(ISERROR(SEARCH("Functioning",F249)))</formula>
    </cfRule>
  </conditionalFormatting>
  <conditionalFormatting sqref="F257:F258">
    <cfRule type="beginsWith" dxfId="305" priority="290" stopIfTrue="1" operator="beginsWith" text="Not Functioning">
      <formula>LEFT(F257,LEN("Not Functioning"))="Not Functioning"</formula>
    </cfRule>
    <cfRule type="beginsWith" dxfId="304" priority="289" stopIfTrue="1" operator="beginsWith" text="Functioning At Risk">
      <formula>LEFT(F257,LEN("Functioning At Risk"))="Functioning At Risk"</formula>
    </cfRule>
    <cfRule type="containsText" dxfId="303" priority="291" operator="containsText" text="Functioning">
      <formula>NOT(ISERROR(SEARCH("Functioning",F257)))</formula>
    </cfRule>
  </conditionalFormatting>
  <conditionalFormatting sqref="F261">
    <cfRule type="beginsWith" dxfId="302" priority="296" stopIfTrue="1" operator="beginsWith" text="Not Functioning">
      <formula>LEFT(F261,LEN("Not Functioning"))="Not Functioning"</formula>
    </cfRule>
    <cfRule type="beginsWith" dxfId="301" priority="295" stopIfTrue="1" operator="beginsWith" text="Functioning At Risk">
      <formula>LEFT(F261,LEN("Functioning At Risk"))="Functioning At Risk"</formula>
    </cfRule>
    <cfRule type="containsText" dxfId="300" priority="297" operator="containsText" text="Functioning">
      <formula>NOT(ISERROR(SEARCH("Functioning",F261)))</formula>
    </cfRule>
  </conditionalFormatting>
  <conditionalFormatting sqref="F264">
    <cfRule type="containsText" dxfId="299" priority="294" operator="containsText" text="Functioning">
      <formula>NOT(ISERROR(SEARCH("Functioning",F264)))</formula>
    </cfRule>
    <cfRule type="beginsWith" dxfId="298" priority="292" stopIfTrue="1" operator="beginsWith" text="Functioning At Risk">
      <formula>LEFT(F264,LEN("Functioning At Risk"))="Functioning At Risk"</formula>
    </cfRule>
    <cfRule type="beginsWith" dxfId="297" priority="293" stopIfTrue="1" operator="beginsWith" text="Not Functioning">
      <formula>LEFT(F264,LEN("Not Functioning"))="Not Functioning"</formula>
    </cfRule>
  </conditionalFormatting>
  <conditionalFormatting sqref="F269:F274">
    <cfRule type="beginsWith" dxfId="296" priority="131" stopIfTrue="1" operator="beginsWith" text="Not Functioning">
      <formula>LEFT(F269,LEN("Not Functioning"))="Not Functioning"</formula>
    </cfRule>
    <cfRule type="containsText" dxfId="295" priority="132" operator="containsText" text="Functioning">
      <formula>NOT(ISERROR(SEARCH("Functioning",F269)))</formula>
    </cfRule>
    <cfRule type="beginsWith" dxfId="294" priority="130" stopIfTrue="1" operator="beginsWith" text="Functioning At Risk">
      <formula>LEFT(F269,LEN("Functioning At Risk"))="Functioning At Risk"</formula>
    </cfRule>
  </conditionalFormatting>
  <conditionalFormatting sqref="F287:F290">
    <cfRule type="beginsWith" dxfId="293" priority="152" stopIfTrue="1" operator="beginsWith" text="Not Functioning">
      <formula>LEFT(F287,LEN("Not Functioning"))="Not Functioning"</formula>
    </cfRule>
    <cfRule type="beginsWith" dxfId="292" priority="151" stopIfTrue="1" operator="beginsWith" text="Functioning At Risk">
      <formula>LEFT(F287,LEN("Functioning At Risk"))="Functioning At Risk"</formula>
    </cfRule>
    <cfRule type="containsText" dxfId="291" priority="153" operator="containsText" text="Functioning">
      <formula>NOT(ISERROR(SEARCH("Functioning",F287)))</formula>
    </cfRule>
  </conditionalFormatting>
  <conditionalFormatting sqref="F292">
    <cfRule type="containsText" dxfId="290" priority="288" operator="containsText" text="Functioning">
      <formula>NOT(ISERROR(SEARCH("Functioning",F292)))</formula>
    </cfRule>
    <cfRule type="beginsWith" dxfId="289" priority="286" stopIfTrue="1" operator="beginsWith" text="Functioning At Risk">
      <formula>LEFT(F292,LEN("Functioning At Risk"))="Functioning At Risk"</formula>
    </cfRule>
    <cfRule type="beginsWith" dxfId="288" priority="287" stopIfTrue="1" operator="beginsWith" text="Not Functioning">
      <formula>LEFT(F292,LEN("Not Functioning"))="Not Functioning"</formula>
    </cfRule>
  </conditionalFormatting>
  <conditionalFormatting sqref="F295:F300">
    <cfRule type="containsText" dxfId="287" priority="279" operator="containsText" text="Functioning">
      <formula>NOT(ISERROR(SEARCH("Functioning",F295)))</formula>
    </cfRule>
    <cfRule type="beginsWith" dxfId="286" priority="278" stopIfTrue="1" operator="beginsWith" text="Not Functioning">
      <formula>LEFT(F295,LEN("Not Functioning"))="Not Functioning"</formula>
    </cfRule>
    <cfRule type="beginsWith" dxfId="285" priority="277" stopIfTrue="1" operator="beginsWith" text="Functioning At Risk">
      <formula>LEFT(F295,LEN("Functioning At Risk"))="Functioning At Risk"</formula>
    </cfRule>
  </conditionalFormatting>
  <conditionalFormatting sqref="F303:F304">
    <cfRule type="containsText" dxfId="284" priority="261" operator="containsText" text="Functioning">
      <formula>NOT(ISERROR(SEARCH("Functioning",F303)))</formula>
    </cfRule>
    <cfRule type="beginsWith" dxfId="283" priority="259" stopIfTrue="1" operator="beginsWith" text="Functioning At Risk">
      <formula>LEFT(F303,LEN("Functioning At Risk"))="Functioning At Risk"</formula>
    </cfRule>
    <cfRule type="beginsWith" dxfId="282" priority="260" stopIfTrue="1" operator="beginsWith" text="Not Functioning">
      <formula>LEFT(F303,LEN("Not Functioning"))="Not Functioning"</formula>
    </cfRule>
  </conditionalFormatting>
  <conditionalFormatting sqref="F307">
    <cfRule type="containsText" dxfId="281" priority="267" operator="containsText" text="Functioning">
      <formula>NOT(ISERROR(SEARCH("Functioning",F307)))</formula>
    </cfRule>
    <cfRule type="beginsWith" dxfId="280" priority="266" stopIfTrue="1" operator="beginsWith" text="Not Functioning">
      <formula>LEFT(F307,LEN("Not Functioning"))="Not Functioning"</formula>
    </cfRule>
    <cfRule type="beginsWith" dxfId="279" priority="265" stopIfTrue="1" operator="beginsWith" text="Functioning At Risk">
      <formula>LEFT(F307,LEN("Functioning At Risk"))="Functioning At Risk"</formula>
    </cfRule>
  </conditionalFormatting>
  <conditionalFormatting sqref="F310">
    <cfRule type="beginsWith" dxfId="278" priority="262" stopIfTrue="1" operator="beginsWith" text="Functioning At Risk">
      <formula>LEFT(F310,LEN("Functioning At Risk"))="Functioning At Risk"</formula>
    </cfRule>
    <cfRule type="containsText" dxfId="277" priority="264" operator="containsText" text="Functioning">
      <formula>NOT(ISERROR(SEARCH("Functioning",F310)))</formula>
    </cfRule>
    <cfRule type="beginsWith" dxfId="276" priority="263" stopIfTrue="1" operator="beginsWith" text="Not Functioning">
      <formula>LEFT(F310,LEN("Not Functioning"))="Not Functioning"</formula>
    </cfRule>
  </conditionalFormatting>
  <conditionalFormatting sqref="F315:F320">
    <cfRule type="containsText" dxfId="275" priority="270" operator="containsText" text="Functioning">
      <formula>NOT(ISERROR(SEARCH("Functioning",F315)))</formula>
    </cfRule>
    <cfRule type="beginsWith" dxfId="274" priority="269" stopIfTrue="1" operator="beginsWith" text="Not Functioning">
      <formula>LEFT(F315,LEN("Not Functioning"))="Not Functioning"</formula>
    </cfRule>
    <cfRule type="beginsWith" dxfId="273" priority="268" stopIfTrue="1" operator="beginsWith" text="Functioning At Risk">
      <formula>LEFT(F315,LEN("Functioning At Risk"))="Functioning At Risk"</formula>
    </cfRule>
  </conditionalFormatting>
  <conditionalFormatting sqref="F333:F336">
    <cfRule type="beginsWith" dxfId="272" priority="148" stopIfTrue="1" operator="beginsWith" text="Functioning At Risk">
      <formula>LEFT(F333,LEN("Functioning At Risk"))="Functioning At Risk"</formula>
    </cfRule>
    <cfRule type="beginsWith" dxfId="271" priority="149" stopIfTrue="1" operator="beginsWith" text="Not Functioning">
      <formula>LEFT(F333,LEN("Not Functioning"))="Not Functioning"</formula>
    </cfRule>
    <cfRule type="containsText" dxfId="270" priority="150" operator="containsText" text="Functioning">
      <formula>NOT(ISERROR(SEARCH("Functioning",F333)))</formula>
    </cfRule>
  </conditionalFormatting>
  <conditionalFormatting sqref="F338">
    <cfRule type="containsText" dxfId="269" priority="258" operator="containsText" text="Functioning">
      <formula>NOT(ISERROR(SEARCH("Functioning",F338)))</formula>
    </cfRule>
    <cfRule type="beginsWith" dxfId="268" priority="257" stopIfTrue="1" operator="beginsWith" text="Not Functioning">
      <formula>LEFT(F338,LEN("Not Functioning"))="Not Functioning"</formula>
    </cfRule>
    <cfRule type="beginsWith" dxfId="267" priority="256" stopIfTrue="1" operator="beginsWith" text="Functioning At Risk">
      <formula>LEFT(F338,LEN("Functioning At Risk"))="Functioning At Risk"</formula>
    </cfRule>
  </conditionalFormatting>
  <conditionalFormatting sqref="F341:F346">
    <cfRule type="containsText" dxfId="266" priority="249" operator="containsText" text="Functioning">
      <formula>NOT(ISERROR(SEARCH("Functioning",F341)))</formula>
    </cfRule>
    <cfRule type="beginsWith" dxfId="265" priority="248" stopIfTrue="1" operator="beginsWith" text="Not Functioning">
      <formula>LEFT(F341,LEN("Not Functioning"))="Not Functioning"</formula>
    </cfRule>
    <cfRule type="beginsWith" dxfId="264" priority="247" stopIfTrue="1" operator="beginsWith" text="Functioning At Risk">
      <formula>LEFT(F341,LEN("Functioning At Risk"))="Functioning At Risk"</formula>
    </cfRule>
  </conditionalFormatting>
  <conditionalFormatting sqref="F349:F350">
    <cfRule type="containsText" dxfId="263" priority="231" operator="containsText" text="Functioning">
      <formula>NOT(ISERROR(SEARCH("Functioning",F349)))</formula>
    </cfRule>
    <cfRule type="beginsWith" dxfId="262" priority="230" stopIfTrue="1" operator="beginsWith" text="Not Functioning">
      <formula>LEFT(F349,LEN("Not Functioning"))="Not Functioning"</formula>
    </cfRule>
    <cfRule type="beginsWith" dxfId="261" priority="229" stopIfTrue="1" operator="beginsWith" text="Functioning At Risk">
      <formula>LEFT(F349,LEN("Functioning At Risk"))="Functioning At Risk"</formula>
    </cfRule>
  </conditionalFormatting>
  <conditionalFormatting sqref="F353">
    <cfRule type="beginsWith" dxfId="260" priority="235" stopIfTrue="1" operator="beginsWith" text="Functioning At Risk">
      <formula>LEFT(F353,LEN("Functioning At Risk"))="Functioning At Risk"</formula>
    </cfRule>
    <cfRule type="containsText" dxfId="259" priority="237" operator="containsText" text="Functioning">
      <formula>NOT(ISERROR(SEARCH("Functioning",F353)))</formula>
    </cfRule>
    <cfRule type="beginsWith" dxfId="258" priority="236" stopIfTrue="1" operator="beginsWith" text="Not Functioning">
      <formula>LEFT(F353,LEN("Not Functioning"))="Not Functioning"</formula>
    </cfRule>
  </conditionalFormatting>
  <conditionalFormatting sqref="F356">
    <cfRule type="beginsWith" dxfId="257" priority="233" stopIfTrue="1" operator="beginsWith" text="Not Functioning">
      <formula>LEFT(F356,LEN("Not Functioning"))="Not Functioning"</formula>
    </cfRule>
    <cfRule type="beginsWith" dxfId="256" priority="232" stopIfTrue="1" operator="beginsWith" text="Functioning At Risk">
      <formula>LEFT(F356,LEN("Functioning At Risk"))="Functioning At Risk"</formula>
    </cfRule>
    <cfRule type="containsText" dxfId="255" priority="234" operator="containsText" text="Functioning">
      <formula>NOT(ISERROR(SEARCH("Functioning",F356)))</formula>
    </cfRule>
  </conditionalFormatting>
  <conditionalFormatting sqref="F361:F366">
    <cfRule type="beginsWith" dxfId="254" priority="139" stopIfTrue="1" operator="beginsWith" text="Functioning At Risk">
      <formula>LEFT(F361,LEN("Functioning At Risk"))="Functioning At Risk"</formula>
    </cfRule>
    <cfRule type="beginsWith" dxfId="253" priority="140" stopIfTrue="1" operator="beginsWith" text="Not Functioning">
      <formula>LEFT(F361,LEN("Not Functioning"))="Not Functioning"</formula>
    </cfRule>
    <cfRule type="containsText" dxfId="252" priority="141" operator="containsText" text="Functioning">
      <formula>NOT(ISERROR(SEARCH("Functioning",F361)))</formula>
    </cfRule>
  </conditionalFormatting>
  <conditionalFormatting sqref="F379:F382">
    <cfRule type="beginsWith" dxfId="251" priority="146" stopIfTrue="1" operator="beginsWith" text="Not Functioning">
      <formula>LEFT(F379,LEN("Not Functioning"))="Not Functioning"</formula>
    </cfRule>
    <cfRule type="containsText" dxfId="250" priority="147" operator="containsText" text="Functioning">
      <formula>NOT(ISERROR(SEARCH("Functioning",F379)))</formula>
    </cfRule>
    <cfRule type="beginsWith" dxfId="249" priority="145" stopIfTrue="1" operator="beginsWith" text="Functioning At Risk">
      <formula>LEFT(F379,LEN("Functioning At Risk"))="Functioning At Risk"</formula>
    </cfRule>
  </conditionalFormatting>
  <conditionalFormatting sqref="F384">
    <cfRule type="containsText" dxfId="248" priority="228" operator="containsText" text="Functioning">
      <formula>NOT(ISERROR(SEARCH("Functioning",F384)))</formula>
    </cfRule>
    <cfRule type="beginsWith" dxfId="247" priority="226" stopIfTrue="1" operator="beginsWith" text="Functioning At Risk">
      <formula>LEFT(F384,LEN("Functioning At Risk"))="Functioning At Risk"</formula>
    </cfRule>
    <cfRule type="beginsWith" dxfId="246" priority="227" stopIfTrue="1" operator="beginsWith" text="Not Functioning">
      <formula>LEFT(F384,LEN("Not Functioning"))="Not Functioning"</formula>
    </cfRule>
  </conditionalFormatting>
  <conditionalFormatting sqref="F387:F392">
    <cfRule type="beginsWith" dxfId="245" priority="217" stopIfTrue="1" operator="beginsWith" text="Functioning At Risk">
      <formula>LEFT(F387,LEN("Functioning At Risk"))="Functioning At Risk"</formula>
    </cfRule>
    <cfRule type="beginsWith" dxfId="244" priority="218" stopIfTrue="1" operator="beginsWith" text="Not Functioning">
      <formula>LEFT(F387,LEN("Not Functioning"))="Not Functioning"</formula>
    </cfRule>
    <cfRule type="containsText" dxfId="243" priority="219" operator="containsText" text="Functioning">
      <formula>NOT(ISERROR(SEARCH("Functioning",F387)))</formula>
    </cfRule>
  </conditionalFormatting>
  <conditionalFormatting sqref="F395:F396">
    <cfRule type="beginsWith" dxfId="242" priority="200" stopIfTrue="1" operator="beginsWith" text="Not Functioning">
      <formula>LEFT(F395,LEN("Not Functioning"))="Not Functioning"</formula>
    </cfRule>
    <cfRule type="beginsWith" dxfId="241" priority="199" stopIfTrue="1" operator="beginsWith" text="Functioning At Risk">
      <formula>LEFT(F395,LEN("Functioning At Risk"))="Functioning At Risk"</formula>
    </cfRule>
    <cfRule type="containsText" dxfId="240" priority="201" operator="containsText" text="Functioning">
      <formula>NOT(ISERROR(SEARCH("Functioning",F395)))</formula>
    </cfRule>
  </conditionalFormatting>
  <conditionalFormatting sqref="F399">
    <cfRule type="containsText" dxfId="239" priority="207" operator="containsText" text="Functioning">
      <formula>NOT(ISERROR(SEARCH("Functioning",F399)))</formula>
    </cfRule>
    <cfRule type="beginsWith" dxfId="238" priority="205" stopIfTrue="1" operator="beginsWith" text="Functioning At Risk">
      <formula>LEFT(F399,LEN("Functioning At Risk"))="Functioning At Risk"</formula>
    </cfRule>
    <cfRule type="beginsWith" dxfId="237" priority="206" stopIfTrue="1" operator="beginsWith" text="Not Functioning">
      <formula>LEFT(F399,LEN("Not Functioning"))="Not Functioning"</formula>
    </cfRule>
  </conditionalFormatting>
  <conditionalFormatting sqref="F402">
    <cfRule type="containsText" dxfId="236" priority="204" operator="containsText" text="Functioning">
      <formula>NOT(ISERROR(SEARCH("Functioning",F402)))</formula>
    </cfRule>
    <cfRule type="beginsWith" dxfId="235" priority="203" stopIfTrue="1" operator="beginsWith" text="Not Functioning">
      <formula>LEFT(F402,LEN("Not Functioning"))="Not Functioning"</formula>
    </cfRule>
    <cfRule type="beginsWith" dxfId="234" priority="202" stopIfTrue="1" operator="beginsWith" text="Functioning At Risk">
      <formula>LEFT(F402,LEN("Functioning At Risk"))="Functioning At Risk"</formula>
    </cfRule>
  </conditionalFormatting>
  <conditionalFormatting sqref="F407:F412">
    <cfRule type="beginsWith" dxfId="233" priority="137" stopIfTrue="1" operator="beginsWith" text="Not Functioning">
      <formula>LEFT(F407,LEN("Not Functioning"))="Not Functioning"</formula>
    </cfRule>
    <cfRule type="beginsWith" dxfId="232" priority="136" stopIfTrue="1" operator="beginsWith" text="Functioning At Risk">
      <formula>LEFT(F407,LEN("Functioning At Risk"))="Functioning At Risk"</formula>
    </cfRule>
    <cfRule type="containsText" dxfId="231" priority="138" operator="containsText" text="Functioning">
      <formula>NOT(ISERROR(SEARCH("Functioning",F407)))</formula>
    </cfRule>
  </conditionalFormatting>
  <conditionalFormatting sqref="F425:F428">
    <cfRule type="beginsWith" dxfId="230" priority="142" stopIfTrue="1" operator="beginsWith" text="Functioning At Risk">
      <formula>LEFT(F425,LEN("Functioning At Risk"))="Functioning At Risk"</formula>
    </cfRule>
    <cfRule type="beginsWith" dxfId="229" priority="143" stopIfTrue="1" operator="beginsWith" text="Not Functioning">
      <formula>LEFT(F425,LEN("Not Functioning"))="Not Functioning"</formula>
    </cfRule>
    <cfRule type="containsText" dxfId="228" priority="144" operator="containsText" text="Functioning">
      <formula>NOT(ISERROR(SEARCH("Functioning",F425)))</formula>
    </cfRule>
  </conditionalFormatting>
  <conditionalFormatting sqref="F430">
    <cfRule type="containsText" dxfId="227" priority="198" operator="containsText" text="Functioning">
      <formula>NOT(ISERROR(SEARCH("Functioning",F430)))</formula>
    </cfRule>
    <cfRule type="beginsWith" dxfId="226" priority="197" stopIfTrue="1" operator="beginsWith" text="Not Functioning">
      <formula>LEFT(F430,LEN("Not Functioning"))="Not Functioning"</formula>
    </cfRule>
    <cfRule type="beginsWith" dxfId="225" priority="196" stopIfTrue="1" operator="beginsWith" text="Functioning At Risk">
      <formula>LEFT(F430,LEN("Functioning At Risk"))="Functioning At Risk"</formula>
    </cfRule>
  </conditionalFormatting>
  <conditionalFormatting sqref="F433:F438">
    <cfRule type="beginsWith" dxfId="224" priority="188" stopIfTrue="1" operator="beginsWith" text="Not Functioning">
      <formula>LEFT(F433,LEN("Not Functioning"))="Not Functioning"</formula>
    </cfRule>
    <cfRule type="containsText" dxfId="223" priority="189" operator="containsText" text="Functioning">
      <formula>NOT(ISERROR(SEARCH("Functioning",F433)))</formula>
    </cfRule>
    <cfRule type="beginsWith" dxfId="222" priority="187" stopIfTrue="1" operator="beginsWith" text="Functioning At Risk">
      <formula>LEFT(F433,LEN("Functioning At Risk"))="Functioning At Risk"</formula>
    </cfRule>
  </conditionalFormatting>
  <conditionalFormatting sqref="F441:F442">
    <cfRule type="beginsWith" dxfId="221" priority="169" stopIfTrue="1" operator="beginsWith" text="Functioning At Risk">
      <formula>LEFT(F441,LEN("Functioning At Risk"))="Functioning At Risk"</formula>
    </cfRule>
    <cfRule type="beginsWith" dxfId="220" priority="170" stopIfTrue="1" operator="beginsWith" text="Not Functioning">
      <formula>LEFT(F441,LEN("Not Functioning"))="Not Functioning"</formula>
    </cfRule>
    <cfRule type="containsText" dxfId="219" priority="171" operator="containsText" text="Functioning">
      <formula>NOT(ISERROR(SEARCH("Functioning",F441)))</formula>
    </cfRule>
  </conditionalFormatting>
  <conditionalFormatting sqref="F445">
    <cfRule type="beginsWith" dxfId="218" priority="176" stopIfTrue="1" operator="beginsWith" text="Not Functioning">
      <formula>LEFT(F445,LEN("Not Functioning"))="Not Functioning"</formula>
    </cfRule>
    <cfRule type="beginsWith" dxfId="217" priority="175" stopIfTrue="1" operator="beginsWith" text="Functioning At Risk">
      <formula>LEFT(F445,LEN("Functioning At Risk"))="Functioning At Risk"</formula>
    </cfRule>
    <cfRule type="containsText" dxfId="216" priority="177" operator="containsText" text="Functioning">
      <formula>NOT(ISERROR(SEARCH("Functioning",F445)))</formula>
    </cfRule>
  </conditionalFormatting>
  <conditionalFormatting sqref="F448">
    <cfRule type="beginsWith" dxfId="215" priority="173" stopIfTrue="1" operator="beginsWith" text="Not Functioning">
      <formula>LEFT(F448,LEN("Not Functioning"))="Not Functioning"</formula>
    </cfRule>
    <cfRule type="containsText" dxfId="214" priority="174" operator="containsText" text="Functioning">
      <formula>NOT(ISERROR(SEARCH("Functioning",F448)))</formula>
    </cfRule>
    <cfRule type="beginsWith" dxfId="213" priority="172" stopIfTrue="1" operator="beginsWith" text="Functioning At Risk">
      <formula>LEFT(F448,LEN("Functioning At Risk"))="Functioning At Risk"</formula>
    </cfRule>
  </conditionalFormatting>
  <conditionalFormatting sqref="F453:F458">
    <cfRule type="containsText" dxfId="212" priority="135" operator="containsText" text="Functioning">
      <formula>NOT(ISERROR(SEARCH("Functioning",F453)))</formula>
    </cfRule>
    <cfRule type="beginsWith" dxfId="211" priority="133" stopIfTrue="1" operator="beginsWith" text="Functioning At Risk">
      <formula>LEFT(F453,LEN("Functioning At Risk"))="Functioning At Risk"</formula>
    </cfRule>
    <cfRule type="beginsWith" dxfId="210" priority="134" stopIfTrue="1" operator="beginsWith" text="Not Functioning">
      <formula>LEFT(F453,LEN("Not Functioning"))="Not Functioning"</formula>
    </cfRule>
  </conditionalFormatting>
  <conditionalFormatting sqref="G4:G5">
    <cfRule type="beginsWith" dxfId="209" priority="1565" stopIfTrue="1" operator="beginsWith" text="Not Functioning">
      <formula>LEFT(G4,LEN("Not Functioning"))="Not Functioning"</formula>
    </cfRule>
    <cfRule type="beginsWith" dxfId="208" priority="1564" stopIfTrue="1" operator="beginsWith" text="Functioning At Risk">
      <formula>LEFT(G4,LEN("Functioning At Risk"))="Functioning At Risk"</formula>
    </cfRule>
  </conditionalFormatting>
  <conditionalFormatting sqref="G5">
    <cfRule type="containsText" dxfId="207" priority="1566" operator="containsText" text="Functioning">
      <formula>NOT(ISERROR(SEARCH("Functioning",G5)))</formula>
    </cfRule>
  </conditionalFormatting>
  <conditionalFormatting sqref="G50:G51">
    <cfRule type="beginsWith" dxfId="206" priority="774" stopIfTrue="1" operator="beginsWith" text="Functioning At Risk">
      <formula>LEFT(G50,LEN("Functioning At Risk"))="Functioning At Risk"</formula>
    </cfRule>
    <cfRule type="beginsWith" dxfId="205" priority="775" stopIfTrue="1" operator="beginsWith" text="Not Functioning">
      <formula>LEFT(G50,LEN("Not Functioning"))="Not Functioning"</formula>
    </cfRule>
    <cfRule type="containsText" dxfId="204" priority="776" operator="containsText" text="Functioning">
      <formula>NOT(ISERROR(SEARCH("Functioning",G50)))</formula>
    </cfRule>
  </conditionalFormatting>
  <conditionalFormatting sqref="G96:G97">
    <cfRule type="beginsWith" dxfId="203" priority="760" stopIfTrue="1" operator="beginsWith" text="Not Functioning">
      <formula>LEFT(G96,LEN("Not Functioning"))="Not Functioning"</formula>
    </cfRule>
    <cfRule type="containsText" dxfId="202" priority="761" operator="containsText" text="Functioning">
      <formula>NOT(ISERROR(SEARCH("Functioning",G96)))</formula>
    </cfRule>
    <cfRule type="beginsWith" dxfId="201" priority="759" stopIfTrue="1" operator="beginsWith" text="Functioning At Risk">
      <formula>LEFT(G96,LEN("Functioning At Risk"))="Functioning At Risk"</formula>
    </cfRule>
  </conditionalFormatting>
  <conditionalFormatting sqref="G142:G143">
    <cfRule type="containsText" dxfId="200" priority="746" operator="containsText" text="Functioning">
      <formula>NOT(ISERROR(SEARCH("Functioning",G142)))</formula>
    </cfRule>
    <cfRule type="beginsWith" dxfId="199" priority="744" stopIfTrue="1" operator="beginsWith" text="Functioning At Risk">
      <formula>LEFT(G142,LEN("Functioning At Risk"))="Functioning At Risk"</formula>
    </cfRule>
    <cfRule type="beginsWith" dxfId="198" priority="745" stopIfTrue="1" operator="beginsWith" text="Not Functioning">
      <formula>LEFT(G142,LEN("Not Functioning"))="Not Functioning"</formula>
    </cfRule>
  </conditionalFormatting>
  <conditionalFormatting sqref="G188:G189">
    <cfRule type="containsText" dxfId="197" priority="731" operator="containsText" text="Functioning">
      <formula>NOT(ISERROR(SEARCH("Functioning",G188)))</formula>
    </cfRule>
    <cfRule type="beginsWith" dxfId="196" priority="730" stopIfTrue="1" operator="beginsWith" text="Not Functioning">
      <formula>LEFT(G188,LEN("Not Functioning"))="Not Functioning"</formula>
    </cfRule>
    <cfRule type="beginsWith" dxfId="195" priority="729" stopIfTrue="1" operator="beginsWith" text="Functioning At Risk">
      <formula>LEFT(G188,LEN("Functioning At Risk"))="Functioning At Risk"</formula>
    </cfRule>
  </conditionalFormatting>
  <conditionalFormatting sqref="G234:G235">
    <cfRule type="beginsWith" dxfId="194" priority="714" stopIfTrue="1" operator="beginsWith" text="Functioning At Risk">
      <formula>LEFT(G234,LEN("Functioning At Risk"))="Functioning At Risk"</formula>
    </cfRule>
    <cfRule type="beginsWith" dxfId="193" priority="715" stopIfTrue="1" operator="beginsWith" text="Not Functioning">
      <formula>LEFT(G234,LEN("Not Functioning"))="Not Functioning"</formula>
    </cfRule>
    <cfRule type="containsText" dxfId="192" priority="716" operator="containsText" text="Functioning">
      <formula>NOT(ISERROR(SEARCH("Functioning",G234)))</formula>
    </cfRule>
  </conditionalFormatting>
  <conditionalFormatting sqref="G280:G281">
    <cfRule type="beginsWith" dxfId="191" priority="699" stopIfTrue="1" operator="beginsWith" text="Functioning At Risk">
      <formula>LEFT(G280,LEN("Functioning At Risk"))="Functioning At Risk"</formula>
    </cfRule>
    <cfRule type="beginsWith" dxfId="190" priority="700" stopIfTrue="1" operator="beginsWith" text="Not Functioning">
      <formula>LEFT(G280,LEN("Not Functioning"))="Not Functioning"</formula>
    </cfRule>
    <cfRule type="containsText" dxfId="189" priority="701" operator="containsText" text="Functioning">
      <formula>NOT(ISERROR(SEARCH("Functioning",G280)))</formula>
    </cfRule>
  </conditionalFormatting>
  <conditionalFormatting sqref="G326:G327">
    <cfRule type="beginsWith" dxfId="188" priority="684" stopIfTrue="1" operator="beginsWith" text="Functioning At Risk">
      <formula>LEFT(G326,LEN("Functioning At Risk"))="Functioning At Risk"</formula>
    </cfRule>
    <cfRule type="containsText" dxfId="187" priority="686" operator="containsText" text="Functioning">
      <formula>NOT(ISERROR(SEARCH("Functioning",G326)))</formula>
    </cfRule>
    <cfRule type="beginsWith" dxfId="186" priority="685" stopIfTrue="1" operator="beginsWith" text="Not Functioning">
      <formula>LEFT(G326,LEN("Not Functioning"))="Not Functioning"</formula>
    </cfRule>
  </conditionalFormatting>
  <conditionalFormatting sqref="G372:G373">
    <cfRule type="containsText" dxfId="185" priority="671" operator="containsText" text="Functioning">
      <formula>NOT(ISERROR(SEARCH("Functioning",G372)))</formula>
    </cfRule>
    <cfRule type="beginsWith" dxfId="184" priority="670" stopIfTrue="1" operator="beginsWith" text="Not Functioning">
      <formula>LEFT(G372,LEN("Not Functioning"))="Not Functioning"</formula>
    </cfRule>
    <cfRule type="beginsWith" dxfId="183" priority="669" stopIfTrue="1" operator="beginsWith" text="Functioning At Risk">
      <formula>LEFT(G372,LEN("Functioning At Risk"))="Functioning At Risk"</formula>
    </cfRule>
  </conditionalFormatting>
  <conditionalFormatting sqref="G418:G419">
    <cfRule type="containsText" dxfId="182" priority="656" operator="containsText" text="Functioning">
      <formula>NOT(ISERROR(SEARCH("Functioning",G418)))</formula>
    </cfRule>
    <cfRule type="beginsWith" dxfId="181" priority="654" stopIfTrue="1" operator="beginsWith" text="Functioning At Risk">
      <formula>LEFT(G418,LEN("Functioning At Risk"))="Functioning At Risk"</formula>
    </cfRule>
    <cfRule type="beginsWith" dxfId="180" priority="655" stopIfTrue="1" operator="beginsWith" text="Not Functioning">
      <formula>LEFT(G418,LEN("Not Functioning"))="Not Functioning"</formula>
    </cfRule>
  </conditionalFormatting>
  <conditionalFormatting sqref="H2:H5">
    <cfRule type="beginsWith" dxfId="179" priority="786" stopIfTrue="1" operator="beginsWith" text="Functioning At Risk">
      <formula>LEFT(H2,LEN("Functioning At Risk"))="Functioning At Risk"</formula>
    </cfRule>
    <cfRule type="beginsWith" dxfId="178" priority="787" stopIfTrue="1" operator="beginsWith" text="Not Functioning">
      <formula>LEFT(H2,LEN("Not Functioning"))="Not Functioning"</formula>
    </cfRule>
    <cfRule type="containsText" dxfId="177" priority="788" operator="containsText" text="Functioning">
      <formula>NOT(ISERROR(SEARCH("Functioning",H2)))</formula>
    </cfRule>
  </conditionalFormatting>
  <conditionalFormatting sqref="H9">
    <cfRule type="beginsWith" dxfId="176" priority="619" stopIfTrue="1" operator="beginsWith" text="Not Functioning">
      <formula>LEFT(H9,LEN("Not Functioning"))="Not Functioning"</formula>
    </cfRule>
    <cfRule type="containsText" dxfId="175" priority="620" operator="containsText" text="Functioning">
      <formula>NOT(ISERROR(SEARCH("Functioning",H9)))</formula>
    </cfRule>
    <cfRule type="beginsWith" dxfId="174" priority="618" stopIfTrue="1" operator="beginsWith" text="Functioning At Risk">
      <formula>LEFT(H9,LEN("Functioning At Risk"))="Functioning At Risk"</formula>
    </cfRule>
  </conditionalFormatting>
  <conditionalFormatting sqref="H48:H51">
    <cfRule type="containsText" dxfId="173" priority="773" operator="containsText" text="Functioning">
      <formula>NOT(ISERROR(SEARCH("Functioning",H48)))</formula>
    </cfRule>
    <cfRule type="beginsWith" dxfId="172" priority="771" stopIfTrue="1" operator="beginsWith" text="Functioning At Risk">
      <formula>LEFT(H48,LEN("Functioning At Risk"))="Functioning At Risk"</formula>
    </cfRule>
    <cfRule type="beginsWith" dxfId="171" priority="772" stopIfTrue="1" operator="beginsWith" text="Not Functioning">
      <formula>LEFT(H48,LEN("Not Functioning"))="Not Functioning"</formula>
    </cfRule>
  </conditionalFormatting>
  <conditionalFormatting sqref="H55">
    <cfRule type="containsText" dxfId="170" priority="99" operator="containsText" text="Functioning">
      <formula>NOT(ISERROR(SEARCH("Functioning",H55)))</formula>
    </cfRule>
    <cfRule type="beginsWith" dxfId="169" priority="98" stopIfTrue="1" operator="beginsWith" text="Not Functioning">
      <formula>LEFT(H55,LEN("Not Functioning"))="Not Functioning"</formula>
    </cfRule>
    <cfRule type="beginsWith" dxfId="168" priority="97" stopIfTrue="1" operator="beginsWith" text="Functioning At Risk">
      <formula>LEFT(H55,LEN("Functioning At Risk"))="Functioning At Risk"</formula>
    </cfRule>
  </conditionalFormatting>
  <conditionalFormatting sqref="H81">
    <cfRule type="containsText" dxfId="167" priority="105" operator="containsText" text="Functioning">
      <formula>NOT(ISERROR(SEARCH("Functioning",H81)))</formula>
    </cfRule>
  </conditionalFormatting>
  <conditionalFormatting sqref="H94:H97">
    <cfRule type="beginsWith" dxfId="166" priority="757" stopIfTrue="1" operator="beginsWith" text="Not Functioning">
      <formula>LEFT(H94,LEN("Not Functioning"))="Not Functioning"</formula>
    </cfRule>
    <cfRule type="containsText" dxfId="165" priority="758" operator="containsText" text="Functioning">
      <formula>NOT(ISERROR(SEARCH("Functioning",H94)))</formula>
    </cfRule>
    <cfRule type="beginsWith" dxfId="164" priority="756" stopIfTrue="1" operator="beginsWith" text="Functioning At Risk">
      <formula>LEFT(H94,LEN("Functioning At Risk"))="Functioning At Risk"</formula>
    </cfRule>
  </conditionalFormatting>
  <conditionalFormatting sqref="H101">
    <cfRule type="beginsWith" dxfId="163" priority="86" stopIfTrue="1" operator="beginsWith" text="Not Functioning">
      <formula>LEFT(H101,LEN("Not Functioning"))="Not Functioning"</formula>
    </cfRule>
    <cfRule type="containsText" dxfId="162" priority="87" operator="containsText" text="Functioning">
      <formula>NOT(ISERROR(SEARCH("Functioning",H101)))</formula>
    </cfRule>
    <cfRule type="beginsWith" dxfId="161" priority="85" stopIfTrue="1" operator="beginsWith" text="Functioning At Risk">
      <formula>LEFT(H101,LEN("Functioning At Risk"))="Functioning At Risk"</formula>
    </cfRule>
  </conditionalFormatting>
  <conditionalFormatting sqref="H127">
    <cfRule type="containsText" dxfId="160" priority="93" operator="containsText" text="Functioning">
      <formula>NOT(ISERROR(SEARCH("Functioning",H127)))</formula>
    </cfRule>
  </conditionalFormatting>
  <conditionalFormatting sqref="H140:H143">
    <cfRule type="beginsWith" dxfId="159" priority="741" stopIfTrue="1" operator="beginsWith" text="Functioning At Risk">
      <formula>LEFT(H140,LEN("Functioning At Risk"))="Functioning At Risk"</formula>
    </cfRule>
    <cfRule type="beginsWith" dxfId="158" priority="742" stopIfTrue="1" operator="beginsWith" text="Not Functioning">
      <formula>LEFT(H140,LEN("Not Functioning"))="Not Functioning"</formula>
    </cfRule>
    <cfRule type="containsText" dxfId="157" priority="743" operator="containsText" text="Functioning">
      <formula>NOT(ISERROR(SEARCH("Functioning",H140)))</formula>
    </cfRule>
  </conditionalFormatting>
  <conditionalFormatting sqref="H147">
    <cfRule type="beginsWith" dxfId="156" priority="74" stopIfTrue="1" operator="beginsWith" text="Not Functioning">
      <formula>LEFT(H147,LEN("Not Functioning"))="Not Functioning"</formula>
    </cfRule>
    <cfRule type="beginsWith" dxfId="155" priority="73" stopIfTrue="1" operator="beginsWith" text="Functioning At Risk">
      <formula>LEFT(H147,LEN("Functioning At Risk"))="Functioning At Risk"</formula>
    </cfRule>
    <cfRule type="containsText" dxfId="154" priority="75" operator="containsText" text="Functioning">
      <formula>NOT(ISERROR(SEARCH("Functioning",H147)))</formula>
    </cfRule>
  </conditionalFormatting>
  <conditionalFormatting sqref="H173">
    <cfRule type="containsText" dxfId="153" priority="81" operator="containsText" text="Functioning">
      <formula>NOT(ISERROR(SEARCH("Functioning",H173)))</formula>
    </cfRule>
  </conditionalFormatting>
  <conditionalFormatting sqref="H186:H189">
    <cfRule type="containsText" dxfId="152" priority="728" operator="containsText" text="Functioning">
      <formula>NOT(ISERROR(SEARCH("Functioning",H186)))</formula>
    </cfRule>
    <cfRule type="beginsWith" dxfId="151" priority="727" stopIfTrue="1" operator="beginsWith" text="Not Functioning">
      <formula>LEFT(H186,LEN("Not Functioning"))="Not Functioning"</formula>
    </cfRule>
    <cfRule type="beginsWith" dxfId="150" priority="726" stopIfTrue="1" operator="beginsWith" text="Functioning At Risk">
      <formula>LEFT(H186,LEN("Functioning At Risk"))="Functioning At Risk"</formula>
    </cfRule>
  </conditionalFormatting>
  <conditionalFormatting sqref="H193">
    <cfRule type="beginsWith" dxfId="149" priority="62" stopIfTrue="1" operator="beginsWith" text="Not Functioning">
      <formula>LEFT(H193,LEN("Not Functioning"))="Not Functioning"</formula>
    </cfRule>
    <cfRule type="containsText" dxfId="148" priority="63" operator="containsText" text="Functioning">
      <formula>NOT(ISERROR(SEARCH("Functioning",H193)))</formula>
    </cfRule>
    <cfRule type="beginsWith" dxfId="147" priority="61" stopIfTrue="1" operator="beginsWith" text="Functioning At Risk">
      <formula>LEFT(H193,LEN("Functioning At Risk"))="Functioning At Risk"</formula>
    </cfRule>
  </conditionalFormatting>
  <conditionalFormatting sqref="H219">
    <cfRule type="containsText" dxfId="146" priority="69" operator="containsText" text="Functioning">
      <formula>NOT(ISERROR(SEARCH("Functioning",H219)))</formula>
    </cfRule>
  </conditionalFormatting>
  <conditionalFormatting sqref="H232:H235">
    <cfRule type="beginsWith" dxfId="145" priority="711" stopIfTrue="1" operator="beginsWith" text="Functioning At Risk">
      <formula>LEFT(H232,LEN("Functioning At Risk"))="Functioning At Risk"</formula>
    </cfRule>
    <cfRule type="beginsWith" dxfId="144" priority="712" stopIfTrue="1" operator="beginsWith" text="Not Functioning">
      <formula>LEFT(H232,LEN("Not Functioning"))="Not Functioning"</formula>
    </cfRule>
    <cfRule type="containsText" dxfId="143" priority="713" operator="containsText" text="Functioning">
      <formula>NOT(ISERROR(SEARCH("Functioning",H232)))</formula>
    </cfRule>
  </conditionalFormatting>
  <conditionalFormatting sqref="H239">
    <cfRule type="beginsWith" dxfId="142" priority="49" stopIfTrue="1" operator="beginsWith" text="Functioning At Risk">
      <formula>LEFT(H239,LEN("Functioning At Risk"))="Functioning At Risk"</formula>
    </cfRule>
    <cfRule type="beginsWith" dxfId="141" priority="50" stopIfTrue="1" operator="beginsWith" text="Not Functioning">
      <formula>LEFT(H239,LEN("Not Functioning"))="Not Functioning"</formula>
    </cfRule>
    <cfRule type="containsText" dxfId="140" priority="51" operator="containsText" text="Functioning">
      <formula>NOT(ISERROR(SEARCH("Functioning",H239)))</formula>
    </cfRule>
  </conditionalFormatting>
  <conditionalFormatting sqref="H265">
    <cfRule type="containsText" dxfId="139" priority="57" operator="containsText" text="Functioning">
      <formula>NOT(ISERROR(SEARCH("Functioning",H265)))</formula>
    </cfRule>
  </conditionalFormatting>
  <conditionalFormatting sqref="H278:H281">
    <cfRule type="beginsWith" dxfId="138" priority="696" stopIfTrue="1" operator="beginsWith" text="Functioning At Risk">
      <formula>LEFT(H278,LEN("Functioning At Risk"))="Functioning At Risk"</formula>
    </cfRule>
    <cfRule type="containsText" dxfId="137" priority="698" operator="containsText" text="Functioning">
      <formula>NOT(ISERROR(SEARCH("Functioning",H278)))</formula>
    </cfRule>
    <cfRule type="beginsWith" dxfId="136" priority="697" stopIfTrue="1" operator="beginsWith" text="Not Functioning">
      <formula>LEFT(H278,LEN("Not Functioning"))="Not Functioning"</formula>
    </cfRule>
  </conditionalFormatting>
  <conditionalFormatting sqref="H285">
    <cfRule type="beginsWith" dxfId="135" priority="37" stopIfTrue="1" operator="beginsWith" text="Functioning At Risk">
      <formula>LEFT(H285,LEN("Functioning At Risk"))="Functioning At Risk"</formula>
    </cfRule>
    <cfRule type="beginsWith" dxfId="134" priority="38" stopIfTrue="1" operator="beginsWith" text="Not Functioning">
      <formula>LEFT(H285,LEN("Not Functioning"))="Not Functioning"</formula>
    </cfRule>
    <cfRule type="containsText" dxfId="133" priority="39" operator="containsText" text="Functioning">
      <formula>NOT(ISERROR(SEARCH("Functioning",H285)))</formula>
    </cfRule>
  </conditionalFormatting>
  <conditionalFormatting sqref="H311">
    <cfRule type="containsText" dxfId="132" priority="45" operator="containsText" text="Functioning">
      <formula>NOT(ISERROR(SEARCH("Functioning",H311)))</formula>
    </cfRule>
  </conditionalFormatting>
  <conditionalFormatting sqref="H324:H327">
    <cfRule type="containsText" dxfId="131" priority="683" operator="containsText" text="Functioning">
      <formula>NOT(ISERROR(SEARCH("Functioning",H324)))</formula>
    </cfRule>
    <cfRule type="beginsWith" dxfId="130" priority="682" stopIfTrue="1" operator="beginsWith" text="Not Functioning">
      <formula>LEFT(H324,LEN("Not Functioning"))="Not Functioning"</formula>
    </cfRule>
    <cfRule type="beginsWith" dxfId="129" priority="681" stopIfTrue="1" operator="beginsWith" text="Functioning At Risk">
      <formula>LEFT(H324,LEN("Functioning At Risk"))="Functioning At Risk"</formula>
    </cfRule>
  </conditionalFormatting>
  <conditionalFormatting sqref="H331">
    <cfRule type="beginsWith" dxfId="128" priority="25" stopIfTrue="1" operator="beginsWith" text="Functioning At Risk">
      <formula>LEFT(H331,LEN("Functioning At Risk"))="Functioning At Risk"</formula>
    </cfRule>
    <cfRule type="beginsWith" dxfId="127" priority="26" stopIfTrue="1" operator="beginsWith" text="Not Functioning">
      <formula>LEFT(H331,LEN("Not Functioning"))="Not Functioning"</formula>
    </cfRule>
    <cfRule type="containsText" dxfId="126" priority="27" operator="containsText" text="Functioning">
      <formula>NOT(ISERROR(SEARCH("Functioning",H331)))</formula>
    </cfRule>
  </conditionalFormatting>
  <conditionalFormatting sqref="H357">
    <cfRule type="containsText" dxfId="125" priority="33" operator="containsText" text="Functioning">
      <formula>NOT(ISERROR(SEARCH("Functioning",H357)))</formula>
    </cfRule>
  </conditionalFormatting>
  <conditionalFormatting sqref="H370:H373">
    <cfRule type="beginsWith" dxfId="124" priority="666" stopIfTrue="1" operator="beginsWith" text="Functioning At Risk">
      <formula>LEFT(H370,LEN("Functioning At Risk"))="Functioning At Risk"</formula>
    </cfRule>
    <cfRule type="containsText" dxfId="123" priority="668" operator="containsText" text="Functioning">
      <formula>NOT(ISERROR(SEARCH("Functioning",H370)))</formula>
    </cfRule>
    <cfRule type="beginsWith" dxfId="122" priority="667" stopIfTrue="1" operator="beginsWith" text="Not Functioning">
      <formula>LEFT(H370,LEN("Not Functioning"))="Not Functioning"</formula>
    </cfRule>
  </conditionalFormatting>
  <conditionalFormatting sqref="H377">
    <cfRule type="beginsWith" dxfId="121" priority="14" stopIfTrue="1" operator="beginsWith" text="Not Functioning">
      <formula>LEFT(H377,LEN("Not Functioning"))="Not Functioning"</formula>
    </cfRule>
    <cfRule type="containsText" dxfId="120" priority="15" operator="containsText" text="Functioning">
      <formula>NOT(ISERROR(SEARCH("Functioning",H377)))</formula>
    </cfRule>
    <cfRule type="beginsWith" dxfId="119" priority="13" stopIfTrue="1" operator="beginsWith" text="Functioning At Risk">
      <formula>LEFT(H377,LEN("Functioning At Risk"))="Functioning At Risk"</formula>
    </cfRule>
  </conditionalFormatting>
  <conditionalFormatting sqref="H403">
    <cfRule type="containsText" dxfId="118" priority="21" operator="containsText" text="Functioning">
      <formula>NOT(ISERROR(SEARCH("Functioning",H403)))</formula>
    </cfRule>
  </conditionalFormatting>
  <conditionalFormatting sqref="H416:H419">
    <cfRule type="beginsWith" dxfId="117" priority="651" stopIfTrue="1" operator="beginsWith" text="Functioning At Risk">
      <formula>LEFT(H416,LEN("Functioning At Risk"))="Functioning At Risk"</formula>
    </cfRule>
    <cfRule type="beginsWith" dxfId="116" priority="652" stopIfTrue="1" operator="beginsWith" text="Not Functioning">
      <formula>LEFT(H416,LEN("Not Functioning"))="Not Functioning"</formula>
    </cfRule>
    <cfRule type="containsText" dxfId="115" priority="653" operator="containsText" text="Functioning">
      <formula>NOT(ISERROR(SEARCH("Functioning",H416)))</formula>
    </cfRule>
  </conditionalFormatting>
  <conditionalFormatting sqref="H423">
    <cfRule type="beginsWith" dxfId="114" priority="2" stopIfTrue="1" operator="beginsWith" text="Not Functioning">
      <formula>LEFT(H423,LEN("Not Functioning"))="Not Functioning"</formula>
    </cfRule>
    <cfRule type="containsText" dxfId="113" priority="3" operator="containsText" text="Functioning">
      <formula>NOT(ISERROR(SEARCH("Functioning",H423)))</formula>
    </cfRule>
    <cfRule type="beginsWith" dxfId="112" priority="1" stopIfTrue="1" operator="beginsWith" text="Functioning At Risk">
      <formula>LEFT(H423,LEN("Functioning At Risk"))="Functioning At Risk"</formula>
    </cfRule>
  </conditionalFormatting>
  <conditionalFormatting sqref="H449">
    <cfRule type="containsText" dxfId="111" priority="9" operator="containsText" text="Functioning">
      <formula>NOT(ISERROR(SEARCH("Functioning",H449)))</formula>
    </cfRule>
  </conditionalFormatting>
  <conditionalFormatting sqref="H35:I35">
    <cfRule type="containsText" dxfId="110" priority="5155" operator="containsText" text="Functioning">
      <formula>NOT(ISERROR(SEARCH("Functioning",H35)))</formula>
    </cfRule>
    <cfRule type="beginsWith" dxfId="109" priority="5153" stopIfTrue="1" operator="beginsWith" text="Functioning At Risk">
      <formula>LEFT(H35,LEN("Functioning At Risk"))="Functioning At Risk"</formula>
    </cfRule>
    <cfRule type="beginsWith" dxfId="108" priority="5154" stopIfTrue="1" operator="beginsWith" text="Not Functioning">
      <formula>LEFT(H35,LEN("Not Functioning"))="Not Functioning"</formula>
    </cfRule>
  </conditionalFormatting>
  <conditionalFormatting sqref="H81:I81">
    <cfRule type="beginsWith" dxfId="107" priority="100" stopIfTrue="1" operator="beginsWith" text="Functioning At Risk">
      <formula>LEFT(H81,LEN("Functioning At Risk"))="Functioning At Risk"</formula>
    </cfRule>
    <cfRule type="beginsWith" dxfId="106" priority="101" stopIfTrue="1" operator="beginsWith" text="Not Functioning">
      <formula>LEFT(H81,LEN("Not Functioning"))="Not Functioning"</formula>
    </cfRule>
  </conditionalFormatting>
  <conditionalFormatting sqref="H127:I127">
    <cfRule type="beginsWith" dxfId="105" priority="88" stopIfTrue="1" operator="beginsWith" text="Functioning At Risk">
      <formula>LEFT(H127,LEN("Functioning At Risk"))="Functioning At Risk"</formula>
    </cfRule>
    <cfRule type="beginsWith" dxfId="104" priority="89" stopIfTrue="1" operator="beginsWith" text="Not Functioning">
      <formula>LEFT(H127,LEN("Not Functioning"))="Not Functioning"</formula>
    </cfRule>
  </conditionalFormatting>
  <conditionalFormatting sqref="H173:I173">
    <cfRule type="beginsWith" dxfId="103" priority="77" stopIfTrue="1" operator="beginsWith" text="Not Functioning">
      <formula>LEFT(H173,LEN("Not Functioning"))="Not Functioning"</formula>
    </cfRule>
    <cfRule type="beginsWith" dxfId="102" priority="76" stopIfTrue="1" operator="beginsWith" text="Functioning At Risk">
      <formula>LEFT(H173,LEN("Functioning At Risk"))="Functioning At Risk"</formula>
    </cfRule>
  </conditionalFormatting>
  <conditionalFormatting sqref="H219:I219">
    <cfRule type="beginsWith" dxfId="101" priority="65" stopIfTrue="1" operator="beginsWith" text="Not Functioning">
      <formula>LEFT(H219,LEN("Not Functioning"))="Not Functioning"</formula>
    </cfRule>
    <cfRule type="beginsWith" dxfId="100" priority="64" stopIfTrue="1" operator="beginsWith" text="Functioning At Risk">
      <formula>LEFT(H219,LEN("Functioning At Risk"))="Functioning At Risk"</formula>
    </cfRule>
  </conditionalFormatting>
  <conditionalFormatting sqref="H265:I265">
    <cfRule type="beginsWith" dxfId="99" priority="53" stopIfTrue="1" operator="beginsWith" text="Not Functioning">
      <formula>LEFT(H265,LEN("Not Functioning"))="Not Functioning"</formula>
    </cfRule>
    <cfRule type="beginsWith" dxfId="98" priority="52" stopIfTrue="1" operator="beginsWith" text="Functioning At Risk">
      <formula>LEFT(H265,LEN("Functioning At Risk"))="Functioning At Risk"</formula>
    </cfRule>
  </conditionalFormatting>
  <conditionalFormatting sqref="H311:I311">
    <cfRule type="beginsWith" dxfId="97" priority="40" stopIfTrue="1" operator="beginsWith" text="Functioning At Risk">
      <formula>LEFT(H311,LEN("Functioning At Risk"))="Functioning At Risk"</formula>
    </cfRule>
    <cfRule type="beginsWith" dxfId="96" priority="41" stopIfTrue="1" operator="beginsWith" text="Not Functioning">
      <formula>LEFT(H311,LEN("Not Functioning"))="Not Functioning"</formula>
    </cfRule>
  </conditionalFormatting>
  <conditionalFormatting sqref="H357:I357">
    <cfRule type="beginsWith" dxfId="95" priority="28" stopIfTrue="1" operator="beginsWith" text="Functioning At Risk">
      <formula>LEFT(H357,LEN("Functioning At Risk"))="Functioning At Risk"</formula>
    </cfRule>
    <cfRule type="beginsWith" dxfId="94" priority="29" stopIfTrue="1" operator="beginsWith" text="Not Functioning">
      <formula>LEFT(H357,LEN("Not Functioning"))="Not Functioning"</formula>
    </cfRule>
  </conditionalFormatting>
  <conditionalFormatting sqref="H403:I403">
    <cfRule type="beginsWith" dxfId="93" priority="17" stopIfTrue="1" operator="beginsWith" text="Not Functioning">
      <formula>LEFT(H403,LEN("Not Functioning"))="Not Functioning"</formula>
    </cfRule>
    <cfRule type="beginsWith" dxfId="92" priority="16" stopIfTrue="1" operator="beginsWith" text="Functioning At Risk">
      <formula>LEFT(H403,LEN("Functioning At Risk"))="Functioning At Risk"</formula>
    </cfRule>
  </conditionalFormatting>
  <conditionalFormatting sqref="H449:I449">
    <cfRule type="beginsWith" dxfId="91" priority="4" stopIfTrue="1" operator="beginsWith" text="Functioning At Risk">
      <formula>LEFT(H449,LEN("Functioning At Risk"))="Functioning At Risk"</formula>
    </cfRule>
    <cfRule type="beginsWith" dxfId="90" priority="5" stopIfTrue="1" operator="beginsWith" text="Not Functioning">
      <formula>LEFT(H449,LEN("Not Functioning"))="Not Functioning"</formula>
    </cfRule>
  </conditionalFormatting>
  <conditionalFormatting sqref="I81">
    <cfRule type="containsText" dxfId="89" priority="102" operator="containsText" text="Functioning">
      <formula>NOT(ISERROR(SEARCH("Functioning",I81)))</formula>
    </cfRule>
  </conditionalFormatting>
  <conditionalFormatting sqref="I127">
    <cfRule type="containsText" dxfId="88" priority="90" operator="containsText" text="Functioning">
      <formula>NOT(ISERROR(SEARCH("Functioning",I127)))</formula>
    </cfRule>
  </conditionalFormatting>
  <conditionalFormatting sqref="I173">
    <cfRule type="containsText" dxfId="87" priority="78" operator="containsText" text="Functioning">
      <formula>NOT(ISERROR(SEARCH("Functioning",I173)))</formula>
    </cfRule>
  </conditionalFormatting>
  <conditionalFormatting sqref="I219">
    <cfRule type="containsText" dxfId="86" priority="66" operator="containsText" text="Functioning">
      <formula>NOT(ISERROR(SEARCH("Functioning",I219)))</formula>
    </cfRule>
  </conditionalFormatting>
  <conditionalFormatting sqref="I265">
    <cfRule type="containsText" dxfId="85" priority="54" operator="containsText" text="Functioning">
      <formula>NOT(ISERROR(SEARCH("Functioning",I265)))</formula>
    </cfRule>
  </conditionalFormatting>
  <conditionalFormatting sqref="I311">
    <cfRule type="containsText" dxfId="84" priority="42" operator="containsText" text="Functioning">
      <formula>NOT(ISERROR(SEARCH("Functioning",I311)))</formula>
    </cfRule>
  </conditionalFormatting>
  <conditionalFormatting sqref="I357">
    <cfRule type="containsText" dxfId="83" priority="30" operator="containsText" text="Functioning">
      <formula>NOT(ISERROR(SEARCH("Functioning",I357)))</formula>
    </cfRule>
  </conditionalFormatting>
  <conditionalFormatting sqref="I403">
    <cfRule type="containsText" dxfId="82" priority="18" operator="containsText" text="Functioning">
      <formula>NOT(ISERROR(SEARCH("Functioning",I403)))</formula>
    </cfRule>
  </conditionalFormatting>
  <conditionalFormatting sqref="I449">
    <cfRule type="containsText" dxfId="81" priority="6" operator="containsText" text="Functioning">
      <formula>NOT(ISERROR(SEARCH("Functioning",I449)))</formula>
    </cfRule>
  </conditionalFormatting>
  <conditionalFormatting sqref="I55:J56 H57:I57 H59:I60 I85:I89">
    <cfRule type="beginsWith" dxfId="80" priority="107" stopIfTrue="1" operator="beginsWith" text="Not Functioning">
      <formula>LEFT(H55,LEN("Not Functioning"))="Not Functioning"</formula>
    </cfRule>
    <cfRule type="containsText" dxfId="79" priority="108" operator="containsText" text="Functioning">
      <formula>NOT(ISERROR(SEARCH("Functioning",H55)))</formula>
    </cfRule>
    <cfRule type="beginsWith" dxfId="78" priority="106" stopIfTrue="1" operator="beginsWith" text="Functioning At Risk">
      <formula>LEFT(H55,LEN("Functioning At Risk"))="Functioning At Risk"</formula>
    </cfRule>
  </conditionalFormatting>
  <conditionalFormatting sqref="I101:J102 H103:I103 H105:I106 I131:I135">
    <cfRule type="beginsWith" dxfId="77" priority="95" stopIfTrue="1" operator="beginsWith" text="Not Functioning">
      <formula>LEFT(H101,LEN("Not Functioning"))="Not Functioning"</formula>
    </cfRule>
    <cfRule type="containsText" dxfId="76" priority="96" operator="containsText" text="Functioning">
      <formula>NOT(ISERROR(SEARCH("Functioning",H101)))</formula>
    </cfRule>
    <cfRule type="beginsWith" dxfId="75" priority="94" stopIfTrue="1" operator="beginsWith" text="Functioning At Risk">
      <formula>LEFT(H101,LEN("Functioning At Risk"))="Functioning At Risk"</formula>
    </cfRule>
  </conditionalFormatting>
  <conditionalFormatting sqref="I147:J148 H149:I149 H151:I152 I177:I181">
    <cfRule type="containsText" dxfId="74" priority="84" operator="containsText" text="Functioning">
      <formula>NOT(ISERROR(SEARCH("Functioning",H147)))</formula>
    </cfRule>
    <cfRule type="beginsWith" dxfId="73" priority="82" stopIfTrue="1" operator="beginsWith" text="Functioning At Risk">
      <formula>LEFT(H147,LEN("Functioning At Risk"))="Functioning At Risk"</formula>
    </cfRule>
    <cfRule type="beginsWith" dxfId="72" priority="83" stopIfTrue="1" operator="beginsWith" text="Not Functioning">
      <formula>LEFT(H147,LEN("Not Functioning"))="Not Functioning"</formula>
    </cfRule>
  </conditionalFormatting>
  <conditionalFormatting sqref="I193:J194 H195:I195 H197:I198 I223:I227">
    <cfRule type="containsText" dxfId="71" priority="72" operator="containsText" text="Functioning">
      <formula>NOT(ISERROR(SEARCH("Functioning",H193)))</formula>
    </cfRule>
    <cfRule type="beginsWith" dxfId="70" priority="71" stopIfTrue="1" operator="beginsWith" text="Not Functioning">
      <formula>LEFT(H193,LEN("Not Functioning"))="Not Functioning"</formula>
    </cfRule>
    <cfRule type="beginsWith" dxfId="69" priority="70" stopIfTrue="1" operator="beginsWith" text="Functioning At Risk">
      <formula>LEFT(H193,LEN("Functioning At Risk"))="Functioning At Risk"</formula>
    </cfRule>
  </conditionalFormatting>
  <conditionalFormatting sqref="I239:J240 H241:I241 H243:I244 I269:I273">
    <cfRule type="beginsWith" dxfId="68" priority="58" stopIfTrue="1" operator="beginsWith" text="Functioning At Risk">
      <formula>LEFT(H239,LEN("Functioning At Risk"))="Functioning At Risk"</formula>
    </cfRule>
    <cfRule type="containsText" dxfId="67" priority="60" operator="containsText" text="Functioning">
      <formula>NOT(ISERROR(SEARCH("Functioning",H239)))</formula>
    </cfRule>
    <cfRule type="beginsWith" dxfId="66" priority="59" stopIfTrue="1" operator="beginsWith" text="Not Functioning">
      <formula>LEFT(H239,LEN("Not Functioning"))="Not Functioning"</formula>
    </cfRule>
  </conditionalFormatting>
  <conditionalFormatting sqref="I285:J286 H287:I287 H289:I290 I315:I319">
    <cfRule type="containsText" dxfId="65" priority="48" operator="containsText" text="Functioning">
      <formula>NOT(ISERROR(SEARCH("Functioning",H285)))</formula>
    </cfRule>
    <cfRule type="beginsWith" dxfId="64" priority="47" stopIfTrue="1" operator="beginsWith" text="Not Functioning">
      <formula>LEFT(H285,LEN("Not Functioning"))="Not Functioning"</formula>
    </cfRule>
    <cfRule type="beginsWith" dxfId="63" priority="46" stopIfTrue="1" operator="beginsWith" text="Functioning At Risk">
      <formula>LEFT(H285,LEN("Functioning At Risk"))="Functioning At Risk"</formula>
    </cfRule>
  </conditionalFormatting>
  <conditionalFormatting sqref="I331:J332 H333:I333 H335:I336 I361:I365">
    <cfRule type="containsText" dxfId="62" priority="36" operator="containsText" text="Functioning">
      <formula>NOT(ISERROR(SEARCH("Functioning",H331)))</formula>
    </cfRule>
    <cfRule type="beginsWith" dxfId="61" priority="34" stopIfTrue="1" operator="beginsWith" text="Functioning At Risk">
      <formula>LEFT(H331,LEN("Functioning At Risk"))="Functioning At Risk"</formula>
    </cfRule>
    <cfRule type="beginsWith" dxfId="60" priority="35" stopIfTrue="1" operator="beginsWith" text="Not Functioning">
      <formula>LEFT(H331,LEN("Not Functioning"))="Not Functioning"</formula>
    </cfRule>
  </conditionalFormatting>
  <conditionalFormatting sqref="I377:J378 H379:I379 H381:I382 I407:I411">
    <cfRule type="containsText" dxfId="59" priority="24" operator="containsText" text="Functioning">
      <formula>NOT(ISERROR(SEARCH("Functioning",H377)))</formula>
    </cfRule>
    <cfRule type="beginsWith" dxfId="58" priority="23" stopIfTrue="1" operator="beginsWith" text="Not Functioning">
      <formula>LEFT(H377,LEN("Not Functioning"))="Not Functioning"</formula>
    </cfRule>
    <cfRule type="beginsWith" dxfId="57" priority="22" stopIfTrue="1" operator="beginsWith" text="Functioning At Risk">
      <formula>LEFT(H377,LEN("Functioning At Risk"))="Functioning At Risk"</formula>
    </cfRule>
  </conditionalFormatting>
  <conditionalFormatting sqref="I423:J424 H425:I425 H427:I428 I453:I457">
    <cfRule type="containsText" dxfId="56" priority="12" operator="containsText" text="Functioning">
      <formula>NOT(ISERROR(SEARCH("Functioning",H423)))</formula>
    </cfRule>
    <cfRule type="beginsWith" dxfId="55" priority="11" stopIfTrue="1" operator="beginsWith" text="Not Functioning">
      <formula>LEFT(H423,LEN("Not Functioning"))="Not Functioning"</formula>
    </cfRule>
    <cfRule type="beginsWith" dxfId="54" priority="10" stopIfTrue="1" operator="beginsWith" text="Functioning At Risk">
      <formula>LEFT(H423,LEN("Functioning At Risk"))="Functioning At Risk"</formula>
    </cfRule>
  </conditionalFormatting>
  <conditionalFormatting sqref="J2:J5">
    <cfRule type="containsText" dxfId="53" priority="785" operator="containsText" text="Functioning">
      <formula>NOT(ISERROR(SEARCH("Functioning",J2)))</formula>
    </cfRule>
    <cfRule type="beginsWith" dxfId="52" priority="783" stopIfTrue="1" operator="beginsWith" text="Functioning At Risk">
      <formula>LEFT(J2,LEN("Functioning At Risk"))="Functioning At Risk"</formula>
    </cfRule>
    <cfRule type="beginsWith" dxfId="51" priority="784" stopIfTrue="1" operator="beginsWith" text="Not Functioning">
      <formula>LEFT(J2,LEN("Not Functioning"))="Not Functioning"</formula>
    </cfRule>
  </conditionalFormatting>
  <conditionalFormatting sqref="J48:J51">
    <cfRule type="beginsWith" dxfId="50" priority="769" stopIfTrue="1" operator="beginsWith" text="Not Functioning">
      <formula>LEFT(J48,LEN("Not Functioning"))="Not Functioning"</formula>
    </cfRule>
    <cfRule type="containsText" dxfId="49" priority="770" operator="containsText" text="Functioning">
      <formula>NOT(ISERROR(SEARCH("Functioning",J48)))</formula>
    </cfRule>
    <cfRule type="beginsWith" dxfId="48" priority="768" stopIfTrue="1" operator="beginsWith" text="Functioning At Risk">
      <formula>LEFT(J48,LEN("Functioning At Risk"))="Functioning At Risk"</formula>
    </cfRule>
  </conditionalFormatting>
  <conditionalFormatting sqref="J94:J97">
    <cfRule type="beginsWith" dxfId="47" priority="754" stopIfTrue="1" operator="beginsWith" text="Not Functioning">
      <formula>LEFT(J94,LEN("Not Functioning"))="Not Functioning"</formula>
    </cfRule>
    <cfRule type="beginsWith" dxfId="46" priority="753" stopIfTrue="1" operator="beginsWith" text="Functioning At Risk">
      <formula>LEFT(J94,LEN("Functioning At Risk"))="Functioning At Risk"</formula>
    </cfRule>
    <cfRule type="containsText" dxfId="45" priority="755" operator="containsText" text="Functioning">
      <formula>NOT(ISERROR(SEARCH("Functioning",J94)))</formula>
    </cfRule>
  </conditionalFormatting>
  <conditionalFormatting sqref="J140:J143">
    <cfRule type="containsText" dxfId="44" priority="740" operator="containsText" text="Functioning">
      <formula>NOT(ISERROR(SEARCH("Functioning",J140)))</formula>
    </cfRule>
    <cfRule type="beginsWith" dxfId="43" priority="739" stopIfTrue="1" operator="beginsWith" text="Not Functioning">
      <formula>LEFT(J140,LEN("Not Functioning"))="Not Functioning"</formula>
    </cfRule>
    <cfRule type="beginsWith" dxfId="42" priority="738" stopIfTrue="1" operator="beginsWith" text="Functioning At Risk">
      <formula>LEFT(J140,LEN("Functioning At Risk"))="Functioning At Risk"</formula>
    </cfRule>
  </conditionalFormatting>
  <conditionalFormatting sqref="J186:J189">
    <cfRule type="containsText" dxfId="41" priority="725" operator="containsText" text="Functioning">
      <formula>NOT(ISERROR(SEARCH("Functioning",J186)))</formula>
    </cfRule>
    <cfRule type="beginsWith" dxfId="40" priority="723" stopIfTrue="1" operator="beginsWith" text="Functioning At Risk">
      <formula>LEFT(J186,LEN("Functioning At Risk"))="Functioning At Risk"</formula>
    </cfRule>
    <cfRule type="beginsWith" dxfId="39" priority="724" stopIfTrue="1" operator="beginsWith" text="Not Functioning">
      <formula>LEFT(J186,LEN("Not Functioning"))="Not Functioning"</formula>
    </cfRule>
  </conditionalFormatting>
  <conditionalFormatting sqref="J232:J235">
    <cfRule type="containsText" dxfId="38" priority="710" operator="containsText" text="Functioning">
      <formula>NOT(ISERROR(SEARCH("Functioning",J232)))</formula>
    </cfRule>
    <cfRule type="beginsWith" dxfId="37" priority="708" stopIfTrue="1" operator="beginsWith" text="Functioning At Risk">
      <formula>LEFT(J232,LEN("Functioning At Risk"))="Functioning At Risk"</formula>
    </cfRule>
    <cfRule type="beginsWith" dxfId="36" priority="709" stopIfTrue="1" operator="beginsWith" text="Not Functioning">
      <formula>LEFT(J232,LEN("Not Functioning"))="Not Functioning"</formula>
    </cfRule>
  </conditionalFormatting>
  <conditionalFormatting sqref="J278:J281">
    <cfRule type="containsText" dxfId="35" priority="695" operator="containsText" text="Functioning">
      <formula>NOT(ISERROR(SEARCH("Functioning",J278)))</formula>
    </cfRule>
    <cfRule type="beginsWith" dxfId="34" priority="694" stopIfTrue="1" operator="beginsWith" text="Not Functioning">
      <formula>LEFT(J278,LEN("Not Functioning"))="Not Functioning"</formula>
    </cfRule>
    <cfRule type="beginsWith" dxfId="33" priority="693" stopIfTrue="1" operator="beginsWith" text="Functioning At Risk">
      <formula>LEFT(J278,LEN("Functioning At Risk"))="Functioning At Risk"</formula>
    </cfRule>
  </conditionalFormatting>
  <conditionalFormatting sqref="J324:J327">
    <cfRule type="beginsWith" dxfId="32" priority="678" stopIfTrue="1" operator="beginsWith" text="Functioning At Risk">
      <formula>LEFT(J324,LEN("Functioning At Risk"))="Functioning At Risk"</formula>
    </cfRule>
    <cfRule type="beginsWith" dxfId="31" priority="679" stopIfTrue="1" operator="beginsWith" text="Not Functioning">
      <formula>LEFT(J324,LEN("Not Functioning"))="Not Functioning"</formula>
    </cfRule>
    <cfRule type="containsText" dxfId="30" priority="680" operator="containsText" text="Functioning">
      <formula>NOT(ISERROR(SEARCH("Functioning",J324)))</formula>
    </cfRule>
  </conditionalFormatting>
  <conditionalFormatting sqref="J370:J373">
    <cfRule type="beginsWith" dxfId="29" priority="663" stopIfTrue="1" operator="beginsWith" text="Functioning At Risk">
      <formula>LEFT(J370,LEN("Functioning At Risk"))="Functioning At Risk"</formula>
    </cfRule>
    <cfRule type="containsText" dxfId="28" priority="665" operator="containsText" text="Functioning">
      <formula>NOT(ISERROR(SEARCH("Functioning",J370)))</formula>
    </cfRule>
    <cfRule type="beginsWith" dxfId="27" priority="664" stopIfTrue="1" operator="beginsWith" text="Not Functioning">
      <formula>LEFT(J370,LEN("Not Functioning"))="Not Functioning"</formula>
    </cfRule>
  </conditionalFormatting>
  <conditionalFormatting sqref="J416:J419">
    <cfRule type="beginsWith" dxfId="26" priority="649" stopIfTrue="1" operator="beginsWith" text="Not Functioning">
      <formula>LEFT(J416,LEN("Not Functioning"))="Not Functioning"</formula>
    </cfRule>
    <cfRule type="beginsWith" dxfId="25" priority="648" stopIfTrue="1" operator="beginsWith" text="Functioning At Risk">
      <formula>LEFT(J416,LEN("Functioning At Risk"))="Functioning At Risk"</formula>
    </cfRule>
    <cfRule type="containsText" dxfId="24" priority="650" operator="containsText" text="Functioning">
      <formula>NOT(ISERROR(SEARCH("Functioning",J416)))</formula>
    </cfRule>
  </conditionalFormatting>
  <conditionalFormatting sqref="K92">
    <cfRule type="beginsWith" dxfId="23" priority="4861" stopIfTrue="1" operator="beginsWith" text="Functioning At Risk">
      <formula>LEFT(K92,LEN("Functioning At Risk"))="Functioning At Risk"</formula>
    </cfRule>
    <cfRule type="beginsWith" dxfId="22" priority="4862" stopIfTrue="1" operator="beginsWith" text="Not Functioning">
      <formula>LEFT(K92,LEN("Not Functioning"))="Not Functioning"</formula>
    </cfRule>
    <cfRule type="containsText" dxfId="21" priority="4863" operator="containsText" text="Functioning">
      <formula>NOT(ISERROR(SEARCH("Functioning",K92)))</formula>
    </cfRule>
  </conditionalFormatting>
  <conditionalFormatting sqref="K138">
    <cfRule type="beginsWith" dxfId="20" priority="4744" stopIfTrue="1" operator="beginsWith" text="Functioning At Risk">
      <formula>LEFT(K138,LEN("Functioning At Risk"))="Functioning At Risk"</formula>
    </cfRule>
    <cfRule type="beginsWith" dxfId="19" priority="4745" stopIfTrue="1" operator="beginsWith" text="Not Functioning">
      <formula>LEFT(K138,LEN("Not Functioning"))="Not Functioning"</formula>
    </cfRule>
    <cfRule type="containsText" dxfId="18" priority="4746" operator="containsText" text="Functioning">
      <formula>NOT(ISERROR(SEARCH("Functioning",K138)))</formula>
    </cfRule>
  </conditionalFormatting>
  <conditionalFormatting sqref="K184">
    <cfRule type="containsText" dxfId="17" priority="4616" operator="containsText" text="Functioning">
      <formula>NOT(ISERROR(SEARCH("Functioning",K184)))</formula>
    </cfRule>
    <cfRule type="beginsWith" dxfId="16" priority="4614" stopIfTrue="1" operator="beginsWith" text="Functioning At Risk">
      <formula>LEFT(K184,LEN("Functioning At Risk"))="Functioning At Risk"</formula>
    </cfRule>
    <cfRule type="beginsWith" dxfId="15" priority="4615" stopIfTrue="1" operator="beginsWith" text="Not Functioning">
      <formula>LEFT(K184,LEN("Not Functioning"))="Not Functioning"</formula>
    </cfRule>
  </conditionalFormatting>
  <conditionalFormatting sqref="K230">
    <cfRule type="beginsWith" dxfId="14" priority="4496" stopIfTrue="1" operator="beginsWith" text="Not Functioning">
      <formula>LEFT(K230,LEN("Not Functioning"))="Not Functioning"</formula>
    </cfRule>
    <cfRule type="beginsWith" dxfId="13" priority="4495" stopIfTrue="1" operator="beginsWith" text="Functioning At Risk">
      <formula>LEFT(K230,LEN("Functioning At Risk"))="Functioning At Risk"</formula>
    </cfRule>
    <cfRule type="containsText" dxfId="12" priority="4497" operator="containsText" text="Functioning">
      <formula>NOT(ISERROR(SEARCH("Functioning",K230)))</formula>
    </cfRule>
  </conditionalFormatting>
  <conditionalFormatting sqref="K276">
    <cfRule type="beginsWith" dxfId="11" priority="4378" stopIfTrue="1" operator="beginsWith" text="Functioning At Risk">
      <formula>LEFT(K276,LEN("Functioning At Risk"))="Functioning At Risk"</formula>
    </cfRule>
    <cfRule type="beginsWith" dxfId="10" priority="4379" stopIfTrue="1" operator="beginsWith" text="Not Functioning">
      <formula>LEFT(K276,LEN("Not Functioning"))="Not Functioning"</formula>
    </cfRule>
    <cfRule type="containsText" dxfId="9" priority="4380" operator="containsText" text="Functioning">
      <formula>NOT(ISERROR(SEARCH("Functioning",K276)))</formula>
    </cfRule>
  </conditionalFormatting>
  <conditionalFormatting sqref="K322">
    <cfRule type="beginsWith" dxfId="8" priority="4261" stopIfTrue="1" operator="beginsWith" text="Functioning At Risk">
      <formula>LEFT(K322,LEN("Functioning At Risk"))="Functioning At Risk"</formula>
    </cfRule>
    <cfRule type="containsText" dxfId="7" priority="4263" operator="containsText" text="Functioning">
      <formula>NOT(ISERROR(SEARCH("Functioning",K322)))</formula>
    </cfRule>
    <cfRule type="beginsWith" dxfId="6" priority="4262" stopIfTrue="1" operator="beginsWith" text="Not Functioning">
      <formula>LEFT(K322,LEN("Not Functioning"))="Not Functioning"</formula>
    </cfRule>
  </conditionalFormatting>
  <conditionalFormatting sqref="K368">
    <cfRule type="beginsWith" dxfId="5" priority="4144" stopIfTrue="1" operator="beginsWith" text="Functioning At Risk">
      <formula>LEFT(K368,LEN("Functioning At Risk"))="Functioning At Risk"</formula>
    </cfRule>
    <cfRule type="containsText" dxfId="4" priority="4146" operator="containsText" text="Functioning">
      <formula>NOT(ISERROR(SEARCH("Functioning",K368)))</formula>
    </cfRule>
    <cfRule type="beginsWith" dxfId="3" priority="4145" stopIfTrue="1" operator="beginsWith" text="Not Functioning">
      <formula>LEFT(K368,LEN("Not Functioning"))="Not Functioning"</formula>
    </cfRule>
  </conditionalFormatting>
  <conditionalFormatting sqref="K414">
    <cfRule type="beginsWith" dxfId="2" priority="4027" stopIfTrue="1" operator="beginsWith" text="Functioning At Risk">
      <formula>LEFT(K414,LEN("Functioning At Risk"))="Functioning At Risk"</formula>
    </cfRule>
    <cfRule type="beginsWith" dxfId="1" priority="4028" stopIfTrue="1" operator="beginsWith" text="Not Functioning">
      <formula>LEFT(K414,LEN("Not Functioning"))="Not Functioning"</formula>
    </cfRule>
    <cfRule type="containsText" dxfId="0" priority="4029" operator="containsText" text="Functioning">
      <formula>NOT(ISERROR(SEARCH("Functioning",K414)))</formula>
    </cfRule>
  </conditionalFormatting>
  <dataValidations xWindow="656" yWindow="505" count="16">
    <dataValidation allowBlank="1" showErrorMessage="1" sqref="E29 D2 E397 D324 E75 D370 E121 D48 E167 D94 E213 D140 E259 D186 E305 D232 E351 D278 E443 D416" xr:uid="{00000000-0002-0000-0300-000000000000}"/>
    <dataValidation type="list" allowBlank="1" showErrorMessage="1" sqref="D3 D325 D371 D49 D95 D141 D187 D233 D279 D417" xr:uid="{00000000-0002-0000-0300-000001000000}">
      <formula1>BedMaterial</formula1>
    </dataValidation>
    <dataValidation type="list" allowBlank="1" showInputMessage="1" showErrorMessage="1" prompt="Select the dominant BEHI/NBS.  _x000a_If erosion rate was measured select blank. The user should only input a value for either BEHI/NBS or Erosion Rate, not both. " sqref="E384 E338 E16 E62 E108 E154 E200 E246 E292 E430" xr:uid="{00000000-0002-0000-0300-000002000000}">
      <formula1>BEHI.NBS</formula1>
    </dataValidation>
    <dataValidation type="list" allowBlank="1" showErrorMessage="1" sqref="B373 B327 B5 B51 B97 B143 B189 B235 B281 B419" xr:uid="{00000000-0002-0000-0300-000003000000}">
      <formula1>Region</formula1>
    </dataValidation>
    <dataValidation allowBlank="1" showErrorMessage="1" prompt="Select catchment conditon level from the completed catchment assessment form. " sqref="E9:E10 E331:E332 E377:E378 E55:E56 E101:E102 E147:E148 E193:E194 E239:E240 E285:E286 E423:E424" xr:uid="{00000000-0002-0000-0300-000004000000}"/>
    <dataValidation allowBlank="1" showInputMessage="1" showErrorMessage="1" prompt="The user should input a value for either BEHI/NBS or Erosion Rate, not both. " sqref="E429 E337 E383 E61 E107 E153 E199 E245 E291 E15" xr:uid="{00000000-0002-0000-0300-000005000000}"/>
    <dataValidation allowBlank="1" showInputMessage="1" showErrorMessage="1" prompt="This measurement method should be used in combination with either Erosion Rate or Dominant BEHI/NBS." sqref="E385 E339 E17 E63 E109 E155 E201 E247 E293 E431" xr:uid="{00000000-0002-0000-0300-000006000000}"/>
    <dataValidation type="decimal" allowBlank="1" showInputMessage="1" showErrorMessage="1" sqref="E65:E68 E111:E114 E157:E160 E203:E206 E249:E252 E295:E298 E341:E344 E387:E390 E433:E436 E19:E22" xr:uid="{00000000-0002-0000-0300-000007000000}">
      <formula1>0</formula1>
      <formula2>5280</formula2>
    </dataValidation>
    <dataValidation allowBlank="1" showErrorMessage="1" prompt="The user can only input a value for either leaf litter processing rate or shredders for organic matter, not both. " sqref="E36 E404 E82 E128 E174 E220 E266 E312 E358 E450" xr:uid="{00000000-0002-0000-0300-000008000000}"/>
    <dataValidation allowBlank="1" showInputMessage="1" showErrorMessage="1" prompt="The user should not input values for all 4 measurement methods. If the user is not using TMI, then the remaining 3 measurement methods should be used together." sqref="E39:E42 E407:E410 E453:E456 E131:E134 E177:E180 E223:E226 E269:E272 E315:E318 E361:E364 E85:E88" xr:uid="{00000000-0002-0000-0300-000009000000}"/>
    <dataValidation type="list" allowBlank="1" showErrorMessage="1" sqref="B3:B4 B325:B326 B371:B372 B49:B50 B95:B96 B141:B142 B187:B188 B233:B234 B279:B280 B417:B418" xr:uid="{00000000-0002-0000-0300-00000A000000}">
      <formula1>StreamType</formula1>
    </dataValidation>
    <dataValidation type="decimal" allowBlank="1" showErrorMessage="1" prompt="The user should input a value for either basal area or density, not both. " sqref="E437:E440 E391:E394 E345:E348 E299:E302 E253:E256 E207:E210 E161:E164 E115:E118 E69:E72 E23:E26" xr:uid="{00000000-0002-0000-0300-00000B000000}">
      <formula1>0</formula1>
      <formula2>5280</formula2>
    </dataValidation>
    <dataValidation allowBlank="1" showErrorMessage="1" prompt="The user should input a value for either basal area or density, not both. " sqref="E441:E442 E395:E396 E349:E350 E303:E304 E257:E258 E211:E212 E165:E166 E119:E120 E73:E74 E27:E28" xr:uid="{00000000-0002-0000-0300-00000C000000}"/>
    <dataValidation allowBlank="1" showErrorMessage="1" prompt="This measurement method should be used in combination with either Erosion Rate or Dominant BEHI/NBS." sqref="E18 E64 E110 E156 E202 E248 E294 E340 E386 E432" xr:uid="{00000000-0002-0000-0300-00000D000000}"/>
    <dataValidation allowBlank="1" showInputMessage="1" showErrorMessage="1" prompt="The user should input a value for either LWDI or # Pieces, not both. _x000a_" sqref="E13 E59 E105 E151 E197 E243 E289 E335 E381 E427" xr:uid="{00000000-0002-0000-0300-00000E000000}"/>
    <dataValidation allowBlank="1" showInputMessage="1" showErrorMessage="1" prompt="The user should input a value for either LWDI or # Pieces, not both. " sqref="E14 E60 E106 E152 E198 E244 E290 E336 E382 E428" xr:uid="{00000000-0002-0000-0300-00000F000000}"/>
  </dataValidations>
  <pageMargins left="0.25" right="0.25" top="0.75" bottom="0.75" header="0.3" footer="0.3"/>
  <pageSetup paperSize="3" fitToWidth="0" fitToHeight="0" orientation="landscape" r:id="rId1"/>
  <rowBreaks count="9" manualBreakCount="9">
    <brk id="45" max="16383" man="1"/>
    <brk id="91" max="16383" man="1"/>
    <brk id="137" max="16383" man="1"/>
    <brk id="183" max="16383" man="1"/>
    <brk id="229" max="16383" man="1"/>
    <brk id="275" max="16383" man="1"/>
    <brk id="321" max="16383" man="1"/>
    <brk id="367" max="16383" man="1"/>
    <brk id="413" max="16383" man="1"/>
  </rowBreaks>
  <extLst>
    <ext xmlns:x14="http://schemas.microsoft.com/office/spreadsheetml/2009/9/main" uri="{CCE6A557-97BC-4b89-ADB6-D9C93CAAB3DF}">
      <x14:dataValidations xmlns:xm="http://schemas.microsoft.com/office/excel/2006/main" xWindow="656" yWindow="505" count="6">
        <x14:dataValidation type="list" allowBlank="1" showErrorMessage="1" xr:uid="{00000000-0002-0000-0300-000010000000}">
          <x14:formula1>
            <xm:f>'Pull Down Notes'!$B$20:$B$21</xm:f>
          </x14:formula1>
          <xm:sqref>D373 D5 D327 D51 D97 D143 D189 D235 D281 D419</xm:sqref>
        </x14:dataValidation>
        <x14:dataValidation type="list" allowBlank="1" showInputMessage="1" showErrorMessage="1" xr:uid="{00000000-0002-0000-0300-000011000000}">
          <x14:formula1>
            <xm:f>'Pull Down Notes'!$B$98:$B$99</xm:f>
          </x14:formula1>
          <xm:sqref>G417 G325 G371 G49 G95 G141 G187 G233 G279 G3</xm:sqref>
        </x14:dataValidation>
        <x14:dataValidation type="list" allowBlank="1" showInputMessage="1" showErrorMessage="1" xr:uid="{00000000-0002-0000-0300-000012000000}">
          <x14:formula1>
            <xm:f>'Pull Down Notes'!$B$106:$B$108</xm:f>
          </x14:formula1>
          <xm:sqref>G4 G326 G372 G50 G96 G142 G188 G234 G280 G418</xm:sqref>
        </x14:dataValidation>
        <x14:dataValidation type="list" allowBlank="1" showInputMessage="1" showErrorMessage="1" xr:uid="{00000000-0002-0000-0300-000013000000}">
          <x14:formula1>
            <xm:f>'Pull Down Notes'!$B$110:$B$113</xm:f>
          </x14:formula1>
          <xm:sqref>G327 G5 G51 G97 G143 G189 G235 G281 G373 G419</xm:sqref>
        </x14:dataValidation>
        <x14:dataValidation type="list" allowBlank="1" showInputMessage="1" showErrorMessage="1" xr:uid="{00000000-0002-0000-0300-000014000000}">
          <x14:formula1>
            <xm:f>'Pull Down Notes'!$B$20:$B$21</xm:f>
          </x14:formula1>
          <xm:sqref>D5 D51 D97 D143 D189 D235 D281 D327 D373 D419</xm:sqref>
        </x14:dataValidation>
        <x14:dataValidation type="list" allowBlank="1" showInputMessage="1" showErrorMessage="1" xr:uid="{00000000-0002-0000-0300-000015000000}">
          <x14:formula1>
            <xm:f>'Pull Down Notes'!$B$82:$B$84</xm:f>
          </x14:formula1>
          <xm:sqref>G2 G48 G94 G140 G186 G232 G278 G324 G370 G416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28"/>
  <sheetViews>
    <sheetView zoomScale="70" zoomScaleNormal="70" zoomScaleSheetLayoutView="30" workbookViewId="0">
      <selection activeCell="P34" sqref="P34"/>
    </sheetView>
  </sheetViews>
  <sheetFormatPr defaultColWidth="9.109375" defaultRowHeight="14.4" x14ac:dyDescent="0.3"/>
  <cols>
    <col min="1" max="1" width="5.5546875" customWidth="1"/>
    <col min="2" max="2" width="11.6640625" customWidth="1"/>
    <col min="3" max="3" width="17.5546875" style="55" customWidth="1"/>
    <col min="4" max="4" width="7" customWidth="1"/>
    <col min="5" max="5" width="11.44140625" customWidth="1"/>
    <col min="6" max="6" width="24.6640625" style="55" customWidth="1"/>
    <col min="7" max="10" width="11.6640625" customWidth="1"/>
    <col min="11" max="11" width="13.6640625" style="55" customWidth="1"/>
    <col min="12" max="13" width="11.6640625" customWidth="1"/>
    <col min="14" max="14" width="17.6640625" customWidth="1"/>
    <col min="15" max="15" width="11.6640625" customWidth="1"/>
    <col min="16" max="16" width="16.109375" customWidth="1"/>
    <col min="17" max="17" width="11.6640625" customWidth="1"/>
    <col min="18" max="18" width="15.6640625" customWidth="1"/>
    <col min="19" max="19" width="13.88671875" customWidth="1"/>
    <col min="20" max="20" width="18.6640625" customWidth="1"/>
    <col min="21" max="21" width="14.6640625" style="55" customWidth="1"/>
    <col min="22" max="29" width="11.6640625" customWidth="1"/>
    <col min="30" max="30" width="11.6640625" style="55" customWidth="1"/>
    <col min="31" max="36" width="11.6640625" customWidth="1"/>
  </cols>
  <sheetData>
    <row r="1" spans="1:28" ht="15.6" x14ac:dyDescent="0.3">
      <c r="A1" s="89" t="s">
        <v>313</v>
      </c>
      <c r="D1" s="3" t="s">
        <v>0</v>
      </c>
      <c r="G1" s="3" t="s">
        <v>22</v>
      </c>
      <c r="L1" s="3" t="s">
        <v>175</v>
      </c>
      <c r="V1" s="3" t="s">
        <v>124</v>
      </c>
    </row>
    <row r="2" spans="1:28" ht="15" customHeight="1" x14ac:dyDescent="0.3">
      <c r="A2" s="30" t="s">
        <v>135</v>
      </c>
      <c r="B2" s="2"/>
      <c r="D2" t="s">
        <v>142</v>
      </c>
      <c r="G2" t="s">
        <v>135</v>
      </c>
      <c r="L2" t="s">
        <v>135</v>
      </c>
      <c r="V2" t="s">
        <v>135</v>
      </c>
    </row>
    <row r="3" spans="1:28" ht="15" customHeight="1" x14ac:dyDescent="0.3">
      <c r="A3" s="2" t="s">
        <v>88</v>
      </c>
      <c r="B3">
        <v>1.0529999999999999</v>
      </c>
      <c r="D3" s="2" t="s">
        <v>88</v>
      </c>
      <c r="E3" s="30">
        <v>0.46610000000000001</v>
      </c>
      <c r="F3" s="90"/>
      <c r="H3" s="194" t="s">
        <v>409</v>
      </c>
      <c r="I3" s="194"/>
      <c r="J3" s="194" t="s">
        <v>312</v>
      </c>
      <c r="K3" s="363"/>
      <c r="M3" s="2" t="s">
        <v>69</v>
      </c>
      <c r="N3" s="2" t="s">
        <v>172</v>
      </c>
      <c r="W3" s="4" t="s">
        <v>131</v>
      </c>
      <c r="X3" s="4" t="s">
        <v>132</v>
      </c>
      <c r="Y3" s="4" t="s">
        <v>133</v>
      </c>
      <c r="Z3" s="4" t="s">
        <v>134</v>
      </c>
    </row>
    <row r="4" spans="1:28" x14ac:dyDescent="0.3">
      <c r="A4" s="2" t="s">
        <v>89</v>
      </c>
      <c r="B4">
        <v>0</v>
      </c>
      <c r="D4" s="2" t="s">
        <v>89</v>
      </c>
      <c r="E4" s="30">
        <v>-2.5550999999999999</v>
      </c>
      <c r="F4" s="90"/>
      <c r="H4" s="2" t="s">
        <v>93</v>
      </c>
      <c r="I4" s="2" t="s">
        <v>69</v>
      </c>
      <c r="J4" s="2" t="s">
        <v>93</v>
      </c>
      <c r="K4" s="76" t="s">
        <v>69</v>
      </c>
      <c r="L4" s="2" t="s">
        <v>88</v>
      </c>
      <c r="M4" s="51">
        <v>-6.1600000000000001E-4</v>
      </c>
      <c r="N4" s="52">
        <v>-8.8105726999999998E-4</v>
      </c>
      <c r="V4" s="2" t="s">
        <v>88</v>
      </c>
      <c r="W4">
        <v>2.2700000000000001E-2</v>
      </c>
      <c r="X4">
        <v>6.25E-2</v>
      </c>
      <c r="Y4">
        <v>1.5599999999999999E-2</v>
      </c>
      <c r="Z4">
        <v>0.05</v>
      </c>
    </row>
    <row r="5" spans="1:28" x14ac:dyDescent="0.3">
      <c r="D5" s="2" t="s">
        <v>91</v>
      </c>
      <c r="E5" s="30">
        <v>3.0907</v>
      </c>
      <c r="F5" s="90"/>
      <c r="G5" s="2" t="s">
        <v>88</v>
      </c>
      <c r="H5">
        <v>2.8E-3</v>
      </c>
      <c r="I5">
        <v>5.0000000000000001E-4</v>
      </c>
      <c r="J5">
        <v>3.8999999999999998E-3</v>
      </c>
      <c r="K5" s="55">
        <v>1.8E-3</v>
      </c>
      <c r="L5" s="2" t="s">
        <v>89</v>
      </c>
      <c r="M5">
        <v>1</v>
      </c>
      <c r="N5" s="51">
        <v>1.1290749</v>
      </c>
      <c r="V5" s="2" t="s">
        <v>89</v>
      </c>
      <c r="W5">
        <v>0</v>
      </c>
      <c r="X5">
        <v>-0.875</v>
      </c>
      <c r="Y5">
        <v>0</v>
      </c>
      <c r="Z5">
        <v>-1.1000000000000001</v>
      </c>
    </row>
    <row r="6" spans="1:28" x14ac:dyDescent="0.3">
      <c r="A6" s="3"/>
      <c r="C6" s="63"/>
      <c r="D6" s="3" t="s">
        <v>12</v>
      </c>
      <c r="E6" s="30"/>
      <c r="F6" s="91"/>
      <c r="G6" s="2" t="s">
        <v>89</v>
      </c>
      <c r="H6">
        <v>0</v>
      </c>
      <c r="I6">
        <v>0.57499999999999996</v>
      </c>
      <c r="J6">
        <v>0</v>
      </c>
      <c r="K6" s="55">
        <v>0.38240000000000002</v>
      </c>
      <c r="L6" s="3" t="s">
        <v>234</v>
      </c>
      <c r="V6" s="3" t="s">
        <v>136</v>
      </c>
      <c r="Y6" s="4"/>
    </row>
    <row r="7" spans="1:28" x14ac:dyDescent="0.3">
      <c r="A7" s="30"/>
      <c r="D7" t="s">
        <v>135</v>
      </c>
      <c r="E7" s="30"/>
      <c r="F7" s="90"/>
      <c r="G7" s="3" t="s">
        <v>266</v>
      </c>
      <c r="L7" t="s">
        <v>130</v>
      </c>
      <c r="V7" s="30" t="s">
        <v>142</v>
      </c>
      <c r="X7" s="30"/>
    </row>
    <row r="8" spans="1:28" x14ac:dyDescent="0.3">
      <c r="A8" s="2"/>
      <c r="E8" s="30" t="s">
        <v>69</v>
      </c>
      <c r="F8" s="90" t="s">
        <v>96</v>
      </c>
      <c r="G8" t="s">
        <v>135</v>
      </c>
      <c r="I8" s="1"/>
      <c r="J8" s="1"/>
      <c r="K8" s="75"/>
      <c r="M8" t="s">
        <v>126</v>
      </c>
      <c r="N8" t="s">
        <v>127</v>
      </c>
      <c r="O8" t="s">
        <v>128</v>
      </c>
      <c r="P8" t="s">
        <v>129</v>
      </c>
      <c r="W8" s="4" t="s">
        <v>137</v>
      </c>
      <c r="X8" s="4" t="s">
        <v>138</v>
      </c>
      <c r="Y8" s="4" t="s">
        <v>139</v>
      </c>
      <c r="Z8" s="4" t="s">
        <v>140</v>
      </c>
      <c r="AA8" s="4" t="s">
        <v>141</v>
      </c>
    </row>
    <row r="9" spans="1:28" x14ac:dyDescent="0.3">
      <c r="A9" s="2"/>
      <c r="D9" s="2" t="s">
        <v>88</v>
      </c>
      <c r="E9" s="30">
        <v>0.1154</v>
      </c>
      <c r="F9" s="90">
        <v>1</v>
      </c>
      <c r="H9" s="194" t="s">
        <v>409</v>
      </c>
      <c r="I9" s="194"/>
      <c r="J9" s="194" t="s">
        <v>312</v>
      </c>
      <c r="K9" s="363"/>
      <c r="L9" s="2" t="s">
        <v>88</v>
      </c>
      <c r="M9">
        <v>1.36E-4</v>
      </c>
      <c r="N9">
        <v>1.4799999999999999E-4</v>
      </c>
      <c r="O9">
        <v>1.7799999999999999E-4</v>
      </c>
      <c r="P9">
        <v>2.5799999999999998E-4</v>
      </c>
      <c r="V9" s="2" t="s">
        <v>88</v>
      </c>
      <c r="W9">
        <v>3.388E-3</v>
      </c>
      <c r="X9">
        <v>1.9780000000000002E-3</v>
      </c>
      <c r="Y9">
        <v>1.255E-3</v>
      </c>
      <c r="Z9">
        <v>6.9200000000000002E-4</v>
      </c>
      <c r="AA9">
        <v>4.3600000000000003E-4</v>
      </c>
    </row>
    <row r="10" spans="1:28" x14ac:dyDescent="0.3">
      <c r="D10" s="2" t="s">
        <v>89</v>
      </c>
      <c r="E10" s="30">
        <v>0.42309999999999998</v>
      </c>
      <c r="F10" s="90">
        <v>-1.7</v>
      </c>
      <c r="H10" s="2" t="s">
        <v>93</v>
      </c>
      <c r="I10" s="2" t="s">
        <v>69</v>
      </c>
      <c r="J10" s="2" t="s">
        <v>93</v>
      </c>
      <c r="K10" s="76" t="s">
        <v>69</v>
      </c>
      <c r="L10" s="2" t="s">
        <v>89</v>
      </c>
      <c r="M10">
        <v>-2.6662999999999999E-2</v>
      </c>
      <c r="N10">
        <v>-2.9159000000000001E-2</v>
      </c>
      <c r="O10">
        <v>-3.4851E-2</v>
      </c>
      <c r="P10">
        <v>-5.0597999999999997E-2</v>
      </c>
      <c r="V10" s="2" t="s">
        <v>89</v>
      </c>
      <c r="W10">
        <v>-9.4509999999999993E-3</v>
      </c>
      <c r="X10">
        <v>-5.0930000000000003E-3</v>
      </c>
      <c r="Y10">
        <v>-3.3119999999999998E-3</v>
      </c>
      <c r="Z10">
        <v>-1.6479999999999999E-3</v>
      </c>
      <c r="AA10">
        <v>-1.294E-3</v>
      </c>
    </row>
    <row r="11" spans="1:28" x14ac:dyDescent="0.3">
      <c r="D11" s="3" t="s">
        <v>75</v>
      </c>
      <c r="E11" s="30"/>
      <c r="F11" s="90"/>
      <c r="G11" s="2" t="s">
        <v>88</v>
      </c>
      <c r="H11">
        <v>5.3846199999999997E-2</v>
      </c>
      <c r="I11">
        <v>1.74647E-2</v>
      </c>
      <c r="J11">
        <v>7.7799999999999994E-2</v>
      </c>
      <c r="K11" s="55">
        <v>4.2900000000000001E-2</v>
      </c>
      <c r="L11" s="2" t="s">
        <v>91</v>
      </c>
      <c r="M11">
        <v>1.309512</v>
      </c>
      <c r="N11">
        <v>1.439346</v>
      </c>
      <c r="O11">
        <v>1.704521</v>
      </c>
      <c r="P11">
        <v>2.4846119999999998</v>
      </c>
      <c r="S11" s="5"/>
      <c r="V11" s="2" t="s">
        <v>91</v>
      </c>
      <c r="W11">
        <v>1.189E-3</v>
      </c>
      <c r="X11">
        <v>8.3999999999999995E-3</v>
      </c>
      <c r="Y11">
        <v>6.8599999999999998E-4</v>
      </c>
      <c r="Z11">
        <v>4.5100000000000001E-4</v>
      </c>
      <c r="AA11">
        <v>4.55E-4</v>
      </c>
    </row>
    <row r="12" spans="1:28" x14ac:dyDescent="0.3">
      <c r="D12" s="30" t="s">
        <v>135</v>
      </c>
      <c r="E12" s="30"/>
      <c r="F12" s="90"/>
      <c r="G12" s="2" t="s">
        <v>89</v>
      </c>
      <c r="H12">
        <v>0</v>
      </c>
      <c r="I12">
        <v>0.47058800000000001</v>
      </c>
      <c r="J12">
        <v>0</v>
      </c>
      <c r="K12" s="55">
        <v>0.31430000000000002</v>
      </c>
      <c r="L12" s="3" t="s">
        <v>334</v>
      </c>
      <c r="V12" s="3" t="s">
        <v>143</v>
      </c>
    </row>
    <row r="13" spans="1:28" x14ac:dyDescent="0.3">
      <c r="E13" s="30" t="s">
        <v>93</v>
      </c>
      <c r="F13" s="90" t="s">
        <v>69</v>
      </c>
      <c r="G13" s="3" t="s">
        <v>66</v>
      </c>
      <c r="L13" s="64" t="s">
        <v>142</v>
      </c>
      <c r="M13" s="32"/>
      <c r="N13" s="32"/>
      <c r="O13" s="59"/>
      <c r="P13" s="360" t="s">
        <v>90</v>
      </c>
      <c r="Q13" s="361"/>
      <c r="R13" s="360" t="s">
        <v>172</v>
      </c>
      <c r="S13" s="361"/>
      <c r="V13" s="30" t="s">
        <v>142</v>
      </c>
    </row>
    <row r="14" spans="1:28" x14ac:dyDescent="0.3">
      <c r="D14" s="2" t="s">
        <v>88</v>
      </c>
      <c r="E14" s="30">
        <v>2</v>
      </c>
      <c r="F14" s="90">
        <v>0.375</v>
      </c>
      <c r="G14" t="s">
        <v>265</v>
      </c>
      <c r="M14" s="4" t="s">
        <v>220</v>
      </c>
      <c r="N14" s="4" t="s">
        <v>223</v>
      </c>
      <c r="O14" s="63" t="s">
        <v>224</v>
      </c>
      <c r="P14" s="62" t="s">
        <v>221</v>
      </c>
      <c r="Q14" s="63" t="s">
        <v>222</v>
      </c>
      <c r="R14" s="62" t="s">
        <v>221</v>
      </c>
      <c r="S14" s="63" t="s">
        <v>222</v>
      </c>
      <c r="W14" s="4" t="s">
        <v>144</v>
      </c>
      <c r="X14" s="4" t="s">
        <v>145</v>
      </c>
      <c r="Y14" s="4" t="s">
        <v>146</v>
      </c>
      <c r="Z14" s="4" t="s">
        <v>147</v>
      </c>
      <c r="AA14" s="4" t="s">
        <v>148</v>
      </c>
      <c r="AB14" s="4" t="s">
        <v>149</v>
      </c>
    </row>
    <row r="15" spans="1:28" x14ac:dyDescent="0.3">
      <c r="D15" s="2" t="s">
        <v>89</v>
      </c>
      <c r="E15" s="30">
        <v>-2.1</v>
      </c>
      <c r="F15" s="90">
        <v>0.17499999999999999</v>
      </c>
      <c r="G15" s="2" t="s">
        <v>88</v>
      </c>
      <c r="H15">
        <v>-4.976</v>
      </c>
      <c r="L15" s="2" t="s">
        <v>88</v>
      </c>
      <c r="M15">
        <v>-6.8026999999999997</v>
      </c>
      <c r="N15">
        <v>0.49719999999999998</v>
      </c>
      <c r="O15" s="55">
        <v>9.4700000000000006E-2</v>
      </c>
      <c r="P15" s="54"/>
      <c r="Q15" s="55"/>
      <c r="R15" s="54"/>
      <c r="S15" s="55"/>
      <c r="V15" s="2" t="s">
        <v>88</v>
      </c>
      <c r="W15">
        <v>3.0800000000000001E-4</v>
      </c>
      <c r="X15" s="4">
        <v>2.6400000000000002E-4</v>
      </c>
      <c r="Y15" s="4">
        <v>2.2499999999999999E-4</v>
      </c>
      <c r="Z15">
        <v>1.94E-4</v>
      </c>
      <c r="AA15">
        <v>1.6799999999999999E-4</v>
      </c>
      <c r="AB15">
        <v>1.54E-4</v>
      </c>
    </row>
    <row r="16" spans="1:28" x14ac:dyDescent="0.3">
      <c r="G16" s="2" t="s">
        <v>89</v>
      </c>
      <c r="H16">
        <v>8.24</v>
      </c>
      <c r="L16" s="2" t="s">
        <v>89</v>
      </c>
      <c r="M16">
        <v>-1.7686999999999999</v>
      </c>
      <c r="N16">
        <v>-1.2515000000000001</v>
      </c>
      <c r="O16" s="55">
        <v>-0.95269999999999999</v>
      </c>
      <c r="P16" s="54">
        <v>-0.61219999999999997</v>
      </c>
      <c r="Q16" s="55">
        <v>-4.2857000000000003</v>
      </c>
      <c r="R16" s="54">
        <v>-2.3529</v>
      </c>
      <c r="S16" s="55">
        <v>-1.6667000000000001</v>
      </c>
      <c r="V16" s="2" t="s">
        <v>89</v>
      </c>
      <c r="W16">
        <v>-1.2049999999999999E-3</v>
      </c>
      <c r="X16" s="4">
        <v>-1.2979999999999999E-3</v>
      </c>
      <c r="Y16">
        <v>-1.14E-3</v>
      </c>
      <c r="Z16">
        <v>-1.1850000000000001E-3</v>
      </c>
      <c r="AA16">
        <v>-8.8999999999999995E-4</v>
      </c>
      <c r="AB16">
        <v>-7.0699999999999995E-4</v>
      </c>
    </row>
    <row r="17" spans="7:28" x14ac:dyDescent="0.3">
      <c r="G17" s="2" t="s">
        <v>91</v>
      </c>
      <c r="H17">
        <v>-5.40198</v>
      </c>
      <c r="J17" s="5"/>
      <c r="L17" s="77" t="s">
        <v>91</v>
      </c>
      <c r="M17" s="57">
        <v>0.71840000000000004</v>
      </c>
      <c r="N17" s="57">
        <v>0.71250000000000002</v>
      </c>
      <c r="O17" s="58">
        <v>0.70950000000000002</v>
      </c>
      <c r="P17" s="56">
        <v>0.41020000000000001</v>
      </c>
      <c r="Q17" s="58">
        <v>1.3714</v>
      </c>
      <c r="R17" s="56">
        <v>0.72350000000000003</v>
      </c>
      <c r="S17" s="58">
        <v>0.7167</v>
      </c>
      <c r="V17" s="2" t="s">
        <v>91</v>
      </c>
      <c r="W17">
        <v>5.0049999999999997E-4</v>
      </c>
      <c r="X17">
        <v>6.4700000000000001E-4</v>
      </c>
      <c r="Y17">
        <v>5.8399999999999999E-4</v>
      </c>
      <c r="Z17">
        <v>7.0600000000000003E-4</v>
      </c>
      <c r="AA17">
        <v>5.2499999999999997E-4</v>
      </c>
      <c r="AB17">
        <v>3.97E-4</v>
      </c>
    </row>
    <row r="18" spans="7:28" x14ac:dyDescent="0.3">
      <c r="G18" s="2" t="s">
        <v>92</v>
      </c>
      <c r="H18">
        <v>1.4630000000000001</v>
      </c>
      <c r="J18" s="4"/>
      <c r="L18" s="3" t="s">
        <v>335</v>
      </c>
      <c r="V18" s="3" t="s">
        <v>154</v>
      </c>
    </row>
    <row r="19" spans="7:28" x14ac:dyDescent="0.3">
      <c r="G19" s="3" t="s">
        <v>72</v>
      </c>
      <c r="L19" s="64" t="s">
        <v>142</v>
      </c>
      <c r="M19" s="32"/>
      <c r="N19" s="32"/>
      <c r="O19" s="360" t="s">
        <v>93</v>
      </c>
      <c r="P19" s="361"/>
      <c r="Q19" s="360" t="s">
        <v>190</v>
      </c>
      <c r="R19" s="361"/>
      <c r="V19" s="30" t="s">
        <v>142</v>
      </c>
    </row>
    <row r="20" spans="7:28" x14ac:dyDescent="0.3">
      <c r="G20" t="s">
        <v>265</v>
      </c>
      <c r="M20" s="4" t="s">
        <v>225</v>
      </c>
      <c r="N20" t="s">
        <v>226</v>
      </c>
      <c r="O20" s="62" t="s">
        <v>228</v>
      </c>
      <c r="P20" s="54" t="s">
        <v>229</v>
      </c>
      <c r="Q20" s="62" t="s">
        <v>228</v>
      </c>
      <c r="R20" s="145" t="s">
        <v>229</v>
      </c>
      <c r="V20" s="2"/>
      <c r="W20" s="4" t="s">
        <v>137</v>
      </c>
      <c r="X20" s="4" t="s">
        <v>119</v>
      </c>
      <c r="Y20" s="4" t="s">
        <v>155</v>
      </c>
      <c r="Z20" s="4" t="s">
        <v>156</v>
      </c>
      <c r="AA20" s="4" t="s">
        <v>157</v>
      </c>
    </row>
    <row r="21" spans="7:28" x14ac:dyDescent="0.3">
      <c r="G21" s="2" t="s">
        <v>88</v>
      </c>
      <c r="H21">
        <v>-6.402E-5</v>
      </c>
      <c r="L21" s="2" t="s">
        <v>88</v>
      </c>
      <c r="M21">
        <v>2E-3</v>
      </c>
      <c r="N21" s="55">
        <v>-46.295999999999999</v>
      </c>
      <c r="O21">
        <v>-0.16420000000000001</v>
      </c>
      <c r="P21" s="55">
        <v>1.77E-2</v>
      </c>
      <c r="Q21" s="54"/>
      <c r="R21" s="55"/>
      <c r="V21" s="2" t="s">
        <v>88</v>
      </c>
      <c r="W21">
        <v>1.1289E-2</v>
      </c>
      <c r="X21" s="4">
        <v>9.1799999999999998E-4</v>
      </c>
      <c r="Y21" s="4">
        <v>6.78E-4</v>
      </c>
      <c r="Z21">
        <v>5.2099999999999998E-4</v>
      </c>
      <c r="AA21">
        <v>3.9899999999999999E-4</v>
      </c>
    </row>
    <row r="22" spans="7:28" x14ac:dyDescent="0.3">
      <c r="G22" s="2" t="s">
        <v>89</v>
      </c>
      <c r="H22">
        <v>4.9967400000000004E-3</v>
      </c>
      <c r="L22" s="2" t="s">
        <v>89</v>
      </c>
      <c r="M22">
        <v>-0.24010000000000001</v>
      </c>
      <c r="N22" s="55">
        <v>1.5741000000000001</v>
      </c>
      <c r="O22" s="54">
        <v>-5.8299999999999998E-2</v>
      </c>
      <c r="P22" s="55">
        <v>-0.55779999999999996</v>
      </c>
      <c r="Q22" s="54">
        <v>-7.5</v>
      </c>
      <c r="R22" s="55">
        <v>-2.7273000000000001</v>
      </c>
      <c r="V22" s="2" t="s">
        <v>89</v>
      </c>
      <c r="W22">
        <v>-6.2249999999999996E-3</v>
      </c>
      <c r="X22" s="4">
        <v>-1.0950000000000001E-3</v>
      </c>
      <c r="Y22">
        <v>-7.8899999999999999E-4</v>
      </c>
      <c r="Z22">
        <v>-3.88E-4</v>
      </c>
      <c r="AA22">
        <v>-8.4599999999999996E-4</v>
      </c>
    </row>
    <row r="23" spans="7:28" x14ac:dyDescent="0.3">
      <c r="G23" s="2" t="s">
        <v>91</v>
      </c>
      <c r="H23">
        <v>-0.13528754000000001</v>
      </c>
      <c r="L23" s="77" t="s">
        <v>91</v>
      </c>
      <c r="M23" s="57">
        <v>0.70240000000000002</v>
      </c>
      <c r="N23" s="57">
        <v>0.68700000000000006</v>
      </c>
      <c r="O23" s="56">
        <v>0.70330000000000004</v>
      </c>
      <c r="P23" s="58">
        <v>0.76670000000000005</v>
      </c>
      <c r="Q23" s="56">
        <v>1.075</v>
      </c>
      <c r="R23" s="58">
        <v>1.0273000000000001</v>
      </c>
      <c r="V23" s="2" t="s">
        <v>91</v>
      </c>
      <c r="W23">
        <v>-2.9E-5</v>
      </c>
      <c r="X23">
        <v>1.12E-4</v>
      </c>
      <c r="Y23">
        <v>-1.2E-5</v>
      </c>
      <c r="Z23">
        <v>-1.0900000000000001E-4</v>
      </c>
      <c r="AA23">
        <v>-1.44E-4</v>
      </c>
    </row>
    <row r="24" spans="7:28" x14ac:dyDescent="0.3">
      <c r="G24" s="2" t="s">
        <v>92</v>
      </c>
      <c r="H24">
        <v>1.5595214799999999</v>
      </c>
      <c r="I24" s="4"/>
      <c r="L24" s="3" t="s">
        <v>336</v>
      </c>
      <c r="V24" s="3" t="s">
        <v>164</v>
      </c>
    </row>
    <row r="25" spans="7:28" x14ac:dyDescent="0.3">
      <c r="G25" s="3" t="s">
        <v>349</v>
      </c>
      <c r="I25" s="4"/>
      <c r="L25" s="64" t="s">
        <v>142</v>
      </c>
      <c r="M25" s="32"/>
      <c r="N25" s="32"/>
      <c r="O25" s="32"/>
      <c r="P25" s="59"/>
      <c r="Q25" s="362" t="s">
        <v>190</v>
      </c>
      <c r="R25" s="362"/>
      <c r="S25" s="362"/>
      <c r="T25" s="361"/>
      <c r="V25" s="30" t="s">
        <v>142</v>
      </c>
    </row>
    <row r="26" spans="7:28" x14ac:dyDescent="0.3">
      <c r="G26" t="s">
        <v>325</v>
      </c>
      <c r="I26" s="4"/>
      <c r="M26" s="4" t="s">
        <v>230</v>
      </c>
      <c r="N26" s="4" t="s">
        <v>231</v>
      </c>
      <c r="O26" s="4" t="s">
        <v>232</v>
      </c>
      <c r="P26" s="63" t="s">
        <v>233</v>
      </c>
      <c r="Q26" s="4" t="s">
        <v>230</v>
      </c>
      <c r="R26" s="4" t="s">
        <v>231</v>
      </c>
      <c r="S26" s="4" t="s">
        <v>232</v>
      </c>
      <c r="T26" s="63" t="s">
        <v>233</v>
      </c>
      <c r="V26" s="2"/>
      <c r="W26" s="4" t="s">
        <v>158</v>
      </c>
      <c r="X26" s="4" t="s">
        <v>159</v>
      </c>
      <c r="Y26" s="4" t="s">
        <v>160</v>
      </c>
      <c r="Z26" s="4" t="s">
        <v>161</v>
      </c>
      <c r="AA26" s="4" t="s">
        <v>162</v>
      </c>
      <c r="AB26" s="4" t="s">
        <v>163</v>
      </c>
    </row>
    <row r="27" spans="7:28" x14ac:dyDescent="0.3">
      <c r="G27" s="2" t="s">
        <v>88</v>
      </c>
      <c r="H27">
        <v>-3.3300000000000003E-2</v>
      </c>
      <c r="I27" s="4"/>
      <c r="L27" s="2" t="s">
        <v>88</v>
      </c>
      <c r="M27">
        <v>2.4325999999999999</v>
      </c>
      <c r="N27">
        <v>-4.2900000000000001E-2</v>
      </c>
      <c r="P27" s="55">
        <v>-2.1600000000000001E-2</v>
      </c>
      <c r="T27" s="55"/>
      <c r="V27" s="2" t="s">
        <v>88</v>
      </c>
      <c r="W27">
        <v>3.0899999999999998E-4</v>
      </c>
      <c r="X27" s="4">
        <v>2.52E-4</v>
      </c>
      <c r="Y27">
        <v>2.23E-4</v>
      </c>
      <c r="Z27">
        <v>2.1800000000000001E-4</v>
      </c>
      <c r="AA27">
        <v>1.5699999999999999E-4</v>
      </c>
      <c r="AB27">
        <v>1.37E-4</v>
      </c>
    </row>
    <row r="28" spans="7:28" x14ac:dyDescent="0.3">
      <c r="G28" s="2" t="s">
        <v>89</v>
      </c>
      <c r="H28">
        <v>1</v>
      </c>
      <c r="I28" s="4"/>
      <c r="L28" s="2" t="s">
        <v>89</v>
      </c>
      <c r="M28">
        <v>-3.1556999999999999</v>
      </c>
      <c r="N28">
        <v>-0.1148</v>
      </c>
      <c r="O28">
        <v>-0.3659</v>
      </c>
      <c r="P28" s="55">
        <v>-8.5300000000000001E-2</v>
      </c>
      <c r="Q28">
        <v>-5</v>
      </c>
      <c r="R28">
        <v>-1.667</v>
      </c>
      <c r="S28">
        <v>-3.6842000000000001</v>
      </c>
      <c r="T28" s="55">
        <v>-2.1429</v>
      </c>
      <c r="V28" s="2" t="s">
        <v>89</v>
      </c>
      <c r="W28">
        <v>-4.5800000000000002E-4</v>
      </c>
      <c r="X28" s="4">
        <v>-3.5300000000000002E-4</v>
      </c>
      <c r="Y28">
        <v>-6.0499999999999996E-4</v>
      </c>
      <c r="Z28">
        <v>-1.751E-3</v>
      </c>
      <c r="AA28">
        <v>-4.1100000000000002E-4</v>
      </c>
      <c r="AB28">
        <v>-2.5399999999999999E-4</v>
      </c>
    </row>
    <row r="29" spans="7:28" x14ac:dyDescent="0.3">
      <c r="G29" s="3" t="s">
        <v>324</v>
      </c>
      <c r="L29" s="77" t="s">
        <v>91</v>
      </c>
      <c r="M29" s="57">
        <v>0.93689999999999996</v>
      </c>
      <c r="N29" s="57">
        <v>0.73</v>
      </c>
      <c r="O29" s="57">
        <v>0.47560000000000002</v>
      </c>
      <c r="P29" s="58">
        <v>0.76680000000000004</v>
      </c>
      <c r="Q29" s="57">
        <v>1.1000000000000001</v>
      </c>
      <c r="R29" s="57">
        <v>1.1000000000000001</v>
      </c>
      <c r="S29" s="57">
        <v>2.0684</v>
      </c>
      <c r="T29" s="58">
        <v>2.1356999999999999</v>
      </c>
      <c r="V29" s="2" t="s">
        <v>91</v>
      </c>
      <c r="W29">
        <v>-3.8999999999999999E-5</v>
      </c>
      <c r="X29">
        <v>-5.7000000000000003E-5</v>
      </c>
      <c r="Y29">
        <v>1.25E-4</v>
      </c>
      <c r="Z29">
        <v>1.1329999999999999E-3</v>
      </c>
      <c r="AA29">
        <v>8.2999999999999998E-5</v>
      </c>
      <c r="AB29">
        <v>-1.07E-4</v>
      </c>
    </row>
    <row r="30" spans="7:28" x14ac:dyDescent="0.3">
      <c r="G30" t="s">
        <v>325</v>
      </c>
      <c r="L30" s="3" t="s">
        <v>337</v>
      </c>
      <c r="O30" s="4"/>
      <c r="V30" s="3" t="s">
        <v>169</v>
      </c>
    </row>
    <row r="31" spans="7:28" x14ac:dyDescent="0.3">
      <c r="G31" s="2" t="s">
        <v>88</v>
      </c>
      <c r="H31">
        <v>0.1075</v>
      </c>
      <c r="L31" s="64" t="s">
        <v>142</v>
      </c>
      <c r="M31" s="32"/>
      <c r="N31" s="32"/>
      <c r="O31" s="360" t="s">
        <v>190</v>
      </c>
      <c r="P31" s="361"/>
      <c r="V31" s="30" t="s">
        <v>142</v>
      </c>
    </row>
    <row r="32" spans="7:28" x14ac:dyDescent="0.3">
      <c r="G32" s="2" t="s">
        <v>89</v>
      </c>
      <c r="H32">
        <v>0</v>
      </c>
      <c r="M32" s="4" t="s">
        <v>253</v>
      </c>
      <c r="N32" s="4" t="s">
        <v>115</v>
      </c>
      <c r="O32" s="62" t="s">
        <v>253</v>
      </c>
      <c r="P32" s="63" t="s">
        <v>115</v>
      </c>
      <c r="W32" s="4" t="s">
        <v>165</v>
      </c>
      <c r="X32" s="4" t="s">
        <v>166</v>
      </c>
      <c r="Y32" s="4" t="s">
        <v>167</v>
      </c>
      <c r="Z32" s="4" t="s">
        <v>168</v>
      </c>
    </row>
    <row r="33" spans="6:26" x14ac:dyDescent="0.3">
      <c r="G33" s="3" t="s">
        <v>284</v>
      </c>
      <c r="L33" s="2" t="s">
        <v>88</v>
      </c>
      <c r="M33">
        <v>0.57720000000000005</v>
      </c>
      <c r="N33">
        <v>0.1356</v>
      </c>
      <c r="O33" s="54"/>
      <c r="P33" s="55"/>
      <c r="V33" s="2" t="s">
        <v>88</v>
      </c>
      <c r="W33">
        <v>9.6000000000000002E-5</v>
      </c>
      <c r="X33">
        <v>1.06E-4</v>
      </c>
      <c r="Y33">
        <v>1.15E-4</v>
      </c>
      <c r="Z33">
        <v>1.22E-4</v>
      </c>
    </row>
    <row r="34" spans="6:26" x14ac:dyDescent="0.3">
      <c r="G34" s="30" t="s">
        <v>142</v>
      </c>
      <c r="I34" s="30"/>
      <c r="L34" s="2" t="s">
        <v>89</v>
      </c>
      <c r="M34">
        <v>-1.6595</v>
      </c>
      <c r="N34">
        <v>-0.97450000000000003</v>
      </c>
      <c r="O34" s="54">
        <v>-6</v>
      </c>
      <c r="P34" s="55">
        <v>-6</v>
      </c>
      <c r="V34" s="2" t="s">
        <v>89</v>
      </c>
      <c r="W34">
        <v>-1.9002000000000002E-2</v>
      </c>
      <c r="X34">
        <v>-2.0941000000000001E-2</v>
      </c>
      <c r="Y34">
        <v>-2.2595000000000001E-2</v>
      </c>
      <c r="Z34" s="49">
        <v>-2.4039999999999999E-2</v>
      </c>
    </row>
    <row r="35" spans="6:26" x14ac:dyDescent="0.3">
      <c r="H35" s="2" t="s">
        <v>93</v>
      </c>
      <c r="I35" s="2" t="s">
        <v>69</v>
      </c>
      <c r="L35" s="77" t="s">
        <v>91</v>
      </c>
      <c r="M35" s="57">
        <v>0.79749999999999999</v>
      </c>
      <c r="N35" s="57">
        <v>0.90780000000000005</v>
      </c>
      <c r="O35" s="56">
        <v>1.06</v>
      </c>
      <c r="P35" s="58">
        <v>2.02</v>
      </c>
      <c r="V35" s="2" t="s">
        <v>91</v>
      </c>
      <c r="W35">
        <v>0.93713500000000005</v>
      </c>
      <c r="X35">
        <v>1.0299990000000001</v>
      </c>
      <c r="Y35">
        <v>1.1135470000000001</v>
      </c>
      <c r="Z35">
        <v>1.188075</v>
      </c>
    </row>
    <row r="36" spans="6:26" x14ac:dyDescent="0.3">
      <c r="G36" s="2" t="s">
        <v>88</v>
      </c>
      <c r="H36">
        <v>2.0000000000000001E-4</v>
      </c>
      <c r="I36" s="2"/>
      <c r="L36" s="3" t="s">
        <v>338</v>
      </c>
      <c r="V36" s="3" t="s">
        <v>170</v>
      </c>
    </row>
    <row r="37" spans="6:26" x14ac:dyDescent="0.3">
      <c r="G37" s="2" t="s">
        <v>89</v>
      </c>
      <c r="H37">
        <v>4.0000000000000001E-3</v>
      </c>
      <c r="I37">
        <v>2E-3</v>
      </c>
      <c r="L37" s="64" t="s">
        <v>142</v>
      </c>
      <c r="M37" s="32"/>
      <c r="N37" s="32"/>
      <c r="O37" s="32"/>
      <c r="P37" s="59"/>
      <c r="V37" s="30" t="s">
        <v>142</v>
      </c>
    </row>
    <row r="38" spans="6:26" x14ac:dyDescent="0.3">
      <c r="G38" s="2" t="s">
        <v>91</v>
      </c>
      <c r="H38">
        <v>0</v>
      </c>
      <c r="I38">
        <v>0.6</v>
      </c>
      <c r="M38" s="4" t="s">
        <v>241</v>
      </c>
      <c r="N38" t="s">
        <v>242</v>
      </c>
      <c r="O38" t="s">
        <v>227</v>
      </c>
      <c r="P38" s="63" t="s">
        <v>243</v>
      </c>
      <c r="W38" s="4" t="s">
        <v>171</v>
      </c>
      <c r="X38" s="4" t="s">
        <v>140</v>
      </c>
      <c r="Y38" s="4" t="s">
        <v>155</v>
      </c>
      <c r="Z38" s="4" t="s">
        <v>137</v>
      </c>
    </row>
    <row r="39" spans="6:26" x14ac:dyDescent="0.3">
      <c r="G39" s="3" t="s">
        <v>326</v>
      </c>
      <c r="I39" s="4"/>
      <c r="L39" s="2" t="s">
        <v>88</v>
      </c>
      <c r="M39">
        <v>0.15429999999999999</v>
      </c>
      <c r="N39">
        <v>0.94020000000000004</v>
      </c>
      <c r="O39">
        <v>0.22220000000000001</v>
      </c>
      <c r="P39" s="55">
        <v>-11.509</v>
      </c>
      <c r="V39" s="2" t="s">
        <v>88</v>
      </c>
      <c r="W39">
        <v>1.5300000000000001E-4</v>
      </c>
      <c r="X39">
        <v>1.64E-4</v>
      </c>
      <c r="Y39">
        <v>3.0499999999999999E-4</v>
      </c>
      <c r="Z39">
        <v>4.8500000000000003E-4</v>
      </c>
    </row>
    <row r="40" spans="6:26" x14ac:dyDescent="0.3">
      <c r="G40" s="30" t="s">
        <v>135</v>
      </c>
      <c r="L40" s="2" t="s">
        <v>89</v>
      </c>
      <c r="M40">
        <v>-1.3827</v>
      </c>
      <c r="N40">
        <v>-1.8726</v>
      </c>
      <c r="O40">
        <v>-1.6644000000000001</v>
      </c>
      <c r="P40" s="55">
        <v>0.29409999999999997</v>
      </c>
      <c r="V40" s="2" t="s">
        <v>89</v>
      </c>
      <c r="W40">
        <v>-3.0345E-2</v>
      </c>
      <c r="X40">
        <v>-3.2806000000000002E-2</v>
      </c>
      <c r="Y40">
        <v>-6.0685000000000003E-2</v>
      </c>
      <c r="Z40">
        <v>-9.6292000000000003E-2</v>
      </c>
    </row>
    <row r="41" spans="6:26" x14ac:dyDescent="0.3">
      <c r="H41" t="s">
        <v>254</v>
      </c>
      <c r="I41" t="s">
        <v>255</v>
      </c>
      <c r="L41" s="77" t="s">
        <v>91</v>
      </c>
      <c r="M41" s="57">
        <v>0.71379999999999999</v>
      </c>
      <c r="N41" s="57">
        <v>0.73709999999999998</v>
      </c>
      <c r="O41" s="57">
        <v>0.73319999999999996</v>
      </c>
      <c r="P41" s="58">
        <v>0.70150000000000001</v>
      </c>
      <c r="V41" s="2" t="s">
        <v>91</v>
      </c>
      <c r="W41" s="49">
        <v>1.5043949999999999</v>
      </c>
      <c r="X41">
        <v>1.644131</v>
      </c>
      <c r="Y41">
        <v>3.0140349999999998</v>
      </c>
      <c r="Z41">
        <v>4.7832189999999999</v>
      </c>
    </row>
    <row r="42" spans="6:26" x14ac:dyDescent="0.3">
      <c r="G42" s="2" t="s">
        <v>88</v>
      </c>
      <c r="H42">
        <v>7.4000000000000003E-3</v>
      </c>
      <c r="I42">
        <v>-4.7999999999999996E-3</v>
      </c>
      <c r="L42" s="3" t="s">
        <v>339</v>
      </c>
    </row>
    <row r="43" spans="6:26" x14ac:dyDescent="0.3">
      <c r="G43" s="2" t="s">
        <v>89</v>
      </c>
      <c r="H43">
        <v>0</v>
      </c>
      <c r="I43">
        <v>2.2595999999999998</v>
      </c>
      <c r="L43" s="64" t="s">
        <v>142</v>
      </c>
      <c r="M43" s="32"/>
      <c r="N43" s="32"/>
      <c r="O43" s="32"/>
      <c r="P43" s="59"/>
      <c r="Q43" s="362" t="s">
        <v>190</v>
      </c>
      <c r="R43" s="362"/>
      <c r="S43" s="362"/>
      <c r="T43" s="361"/>
    </row>
    <row r="44" spans="6:26" x14ac:dyDescent="0.3">
      <c r="G44" s="3" t="s">
        <v>354</v>
      </c>
      <c r="I44" s="4"/>
      <c r="M44" s="4" t="s">
        <v>244</v>
      </c>
      <c r="N44" s="4" t="s">
        <v>245</v>
      </c>
      <c r="O44" s="4" t="s">
        <v>246</v>
      </c>
      <c r="P44" s="63" t="s">
        <v>247</v>
      </c>
      <c r="Q44" s="4" t="s">
        <v>244</v>
      </c>
      <c r="R44" s="4" t="s">
        <v>245</v>
      </c>
      <c r="S44" s="4" t="s">
        <v>246</v>
      </c>
      <c r="T44" s="63" t="s">
        <v>247</v>
      </c>
    </row>
    <row r="45" spans="6:26" x14ac:dyDescent="0.3">
      <c r="G45" t="s">
        <v>135</v>
      </c>
      <c r="L45" s="2" t="s">
        <v>88</v>
      </c>
      <c r="M45">
        <v>-2.87E-2</v>
      </c>
      <c r="N45">
        <v>0.60809999999999997</v>
      </c>
      <c r="O45">
        <v>-0.59519999999999995</v>
      </c>
      <c r="P45" s="55">
        <v>1.1912</v>
      </c>
      <c r="T45" s="55"/>
    </row>
    <row r="46" spans="6:26" x14ac:dyDescent="0.3">
      <c r="G46" s="2" t="s">
        <v>88</v>
      </c>
      <c r="H46">
        <v>1.3299999999999999E-2</v>
      </c>
      <c r="L46" s="2" t="s">
        <v>89</v>
      </c>
      <c r="M46">
        <v>-0.81730000000000003</v>
      </c>
      <c r="N46">
        <v>-1.4561999999999999</v>
      </c>
      <c r="O46">
        <v>-2.6667000000000001</v>
      </c>
      <c r="P46" s="55">
        <v>-2.1837</v>
      </c>
      <c r="Q46">
        <v>-10</v>
      </c>
      <c r="R46">
        <v>-6</v>
      </c>
      <c r="S46">
        <v>-5</v>
      </c>
      <c r="T46" s="55">
        <v>-6</v>
      </c>
    </row>
    <row r="47" spans="6:26" x14ac:dyDescent="0.3">
      <c r="G47" s="2" t="s">
        <v>89</v>
      </c>
      <c r="H47">
        <v>0</v>
      </c>
      <c r="L47" s="77" t="s">
        <v>91</v>
      </c>
      <c r="M47" s="57">
        <v>0.73270000000000002</v>
      </c>
      <c r="N47" s="57">
        <v>0.78520000000000001</v>
      </c>
      <c r="O47" s="57">
        <v>0.94479999999999997</v>
      </c>
      <c r="P47" s="58">
        <v>0.94489999999999996</v>
      </c>
      <c r="Q47" s="57">
        <v>1.1000000000000001</v>
      </c>
      <c r="R47" s="57">
        <v>1.06</v>
      </c>
      <c r="S47" s="57">
        <v>1.1499999999999999</v>
      </c>
      <c r="T47" s="58">
        <v>1.42</v>
      </c>
    </row>
    <row r="48" spans="6:26" x14ac:dyDescent="0.3">
      <c r="F48"/>
      <c r="G48" s="141" t="s">
        <v>366</v>
      </c>
      <c r="H48" s="142"/>
      <c r="I48" s="142"/>
      <c r="L48" s="3" t="s">
        <v>340</v>
      </c>
    </row>
    <row r="49" spans="7:20" x14ac:dyDescent="0.3">
      <c r="G49" s="143" t="s">
        <v>142</v>
      </c>
      <c r="H49" s="142"/>
      <c r="I49" s="142"/>
      <c r="L49" s="64" t="s">
        <v>142</v>
      </c>
      <c r="M49" s="32"/>
      <c r="N49" s="32"/>
      <c r="O49" s="32"/>
      <c r="P49" s="59"/>
      <c r="Q49" s="362" t="s">
        <v>190</v>
      </c>
      <c r="R49" s="362"/>
      <c r="S49" s="362"/>
      <c r="T49" s="361"/>
    </row>
    <row r="50" spans="7:20" x14ac:dyDescent="0.3">
      <c r="G50" s="142"/>
      <c r="H50" s="142" t="s">
        <v>254</v>
      </c>
      <c r="I50" s="142" t="s">
        <v>255</v>
      </c>
      <c r="M50" s="4" t="s">
        <v>248</v>
      </c>
      <c r="N50" s="4" t="s">
        <v>249</v>
      </c>
      <c r="O50" s="4" t="s">
        <v>250</v>
      </c>
      <c r="P50" s="63" t="s">
        <v>251</v>
      </c>
      <c r="Q50" s="4" t="s">
        <v>248</v>
      </c>
      <c r="R50" s="4" t="s">
        <v>249</v>
      </c>
      <c r="S50" s="4" t="s">
        <v>250</v>
      </c>
      <c r="T50" s="63" t="s">
        <v>251</v>
      </c>
    </row>
    <row r="51" spans="7:20" x14ac:dyDescent="0.3">
      <c r="G51" s="144" t="s">
        <v>88</v>
      </c>
      <c r="H51" s="142">
        <v>5.0000000000000001E-4</v>
      </c>
      <c r="I51" s="142">
        <v>8.3980000000000003E-4</v>
      </c>
      <c r="L51" s="2" t="s">
        <v>88</v>
      </c>
      <c r="M51">
        <v>-0.1477</v>
      </c>
      <c r="N51">
        <v>0.53659999999999997</v>
      </c>
      <c r="O51">
        <v>7.3300000000000004E-2</v>
      </c>
      <c r="P51" s="55">
        <v>-0.1013</v>
      </c>
      <c r="T51" s="55"/>
    </row>
    <row r="52" spans="7:20" x14ac:dyDescent="0.3">
      <c r="G52" s="144" t="s">
        <v>89</v>
      </c>
      <c r="H52" s="142">
        <v>8.8999999999999999E-3</v>
      </c>
      <c r="I52" s="142">
        <v>-0.17223820000000001</v>
      </c>
      <c r="L52" s="2" t="s">
        <v>89</v>
      </c>
      <c r="M52">
        <v>-0.14199999999999999</v>
      </c>
      <c r="N52">
        <v>-1.476</v>
      </c>
      <c r="O52">
        <v>-1.3424</v>
      </c>
      <c r="P52" s="55">
        <v>-0.28939999999999999</v>
      </c>
      <c r="Q52">
        <v>-2.5</v>
      </c>
      <c r="R52">
        <v>-7.5</v>
      </c>
      <c r="S52">
        <v>-4.2857000000000003</v>
      </c>
      <c r="T52" s="55">
        <v>-2</v>
      </c>
    </row>
    <row r="53" spans="7:20" x14ac:dyDescent="0.3">
      <c r="G53" s="144" t="s">
        <v>91</v>
      </c>
      <c r="H53" s="142">
        <v>8.0000000000000004E-4</v>
      </c>
      <c r="I53" s="142">
        <v>8.8267644000000001</v>
      </c>
      <c r="L53" s="77" t="s">
        <v>91</v>
      </c>
      <c r="M53" s="57">
        <v>0.73429999999999995</v>
      </c>
      <c r="N53" s="57">
        <v>0.9224</v>
      </c>
      <c r="O53" s="57">
        <v>0.96550000000000002</v>
      </c>
      <c r="P53" s="58">
        <v>0.77190000000000003</v>
      </c>
      <c r="Q53" s="57">
        <v>1.2</v>
      </c>
      <c r="R53" s="57">
        <v>1.9</v>
      </c>
      <c r="S53" s="57">
        <v>1.5570999999999999</v>
      </c>
      <c r="T53" s="58">
        <v>1.1599999999999999</v>
      </c>
    </row>
    <row r="54" spans="7:20" x14ac:dyDescent="0.3">
      <c r="G54" s="3" t="s">
        <v>87</v>
      </c>
      <c r="L54" s="32"/>
      <c r="M54" s="65" t="s">
        <v>252</v>
      </c>
      <c r="N54" s="32"/>
      <c r="O54" s="32"/>
      <c r="P54" s="59"/>
      <c r="Q54" s="66" t="s">
        <v>252</v>
      </c>
      <c r="R54" s="32"/>
      <c r="S54" s="32"/>
      <c r="T54" s="59"/>
    </row>
    <row r="55" spans="7:20" x14ac:dyDescent="0.3">
      <c r="G55" s="30" t="s">
        <v>135</v>
      </c>
      <c r="L55" s="2" t="s">
        <v>88</v>
      </c>
      <c r="M55">
        <v>-3.3300000000000003E-2</v>
      </c>
      <c r="P55" s="55"/>
      <c r="Q55" s="54"/>
      <c r="T55" s="55"/>
    </row>
    <row r="56" spans="7:20" x14ac:dyDescent="0.3">
      <c r="G56" s="2" t="s">
        <v>88</v>
      </c>
      <c r="H56">
        <v>7.25</v>
      </c>
      <c r="L56" s="2" t="s">
        <v>89</v>
      </c>
      <c r="M56">
        <v>4.3799999999999999E-2</v>
      </c>
      <c r="P56" s="55"/>
      <c r="Q56" s="54">
        <v>-0.6593</v>
      </c>
      <c r="T56" s="55"/>
    </row>
    <row r="57" spans="7:20" x14ac:dyDescent="0.3">
      <c r="G57" s="2" t="s">
        <v>89</v>
      </c>
      <c r="H57">
        <v>-7.2999999999999995E-2</v>
      </c>
      <c r="J57" s="38"/>
      <c r="L57" s="77" t="s">
        <v>91</v>
      </c>
      <c r="M57" s="57">
        <v>0.70369999999999999</v>
      </c>
      <c r="N57" s="57"/>
      <c r="O57" s="57"/>
      <c r="P57" s="58"/>
      <c r="Q57" s="56">
        <v>1.6197999999999999</v>
      </c>
      <c r="R57" s="57"/>
      <c r="S57" s="57"/>
      <c r="T57" s="58"/>
    </row>
    <row r="58" spans="7:20" ht="21" x14ac:dyDescent="0.4">
      <c r="G58" s="3" t="s">
        <v>327</v>
      </c>
      <c r="K58" s="93"/>
      <c r="L58" s="3" t="s">
        <v>341</v>
      </c>
    </row>
    <row r="59" spans="7:20" x14ac:dyDescent="0.3">
      <c r="G59" s="30" t="s">
        <v>135</v>
      </c>
      <c r="L59" s="64" t="s">
        <v>142</v>
      </c>
      <c r="M59" s="32"/>
      <c r="N59" s="32"/>
      <c r="O59" s="32"/>
      <c r="P59" s="32"/>
      <c r="Q59" s="32"/>
      <c r="R59" s="59"/>
    </row>
    <row r="60" spans="7:20" x14ac:dyDescent="0.3">
      <c r="H60" t="s">
        <v>254</v>
      </c>
      <c r="I60" t="s">
        <v>255</v>
      </c>
      <c r="M60" s="1" t="s">
        <v>176</v>
      </c>
      <c r="N60" s="1" t="s">
        <v>177</v>
      </c>
      <c r="O60" s="1" t="s">
        <v>178</v>
      </c>
      <c r="P60" s="4" t="s">
        <v>202</v>
      </c>
      <c r="Q60" s="4" t="s">
        <v>203</v>
      </c>
      <c r="R60" s="75" t="s">
        <v>179</v>
      </c>
    </row>
    <row r="61" spans="7:20" x14ac:dyDescent="0.3">
      <c r="G61" s="2" t="s">
        <v>88</v>
      </c>
      <c r="H61">
        <v>0.34499999999999997</v>
      </c>
      <c r="I61">
        <v>-0.34499999999999997</v>
      </c>
      <c r="L61" s="2" t="s">
        <v>88</v>
      </c>
      <c r="M61">
        <v>228.97</v>
      </c>
      <c r="N61">
        <v>36.421999999999997</v>
      </c>
      <c r="O61">
        <v>99.79</v>
      </c>
      <c r="R61" s="55">
        <v>24.661999999999999</v>
      </c>
    </row>
    <row r="62" spans="7:20" x14ac:dyDescent="0.3">
      <c r="G62" s="2" t="s">
        <v>89</v>
      </c>
      <c r="H62">
        <v>-0.34499999999999997</v>
      </c>
      <c r="I62">
        <v>2.415</v>
      </c>
      <c r="L62" s="2" t="s">
        <v>89</v>
      </c>
      <c r="M62">
        <v>-26.318999999999999</v>
      </c>
      <c r="N62">
        <v>-16.477</v>
      </c>
      <c r="O62">
        <v>-17.478999999999999</v>
      </c>
      <c r="P62">
        <v>-3.4091</v>
      </c>
      <c r="Q62">
        <v>-10</v>
      </c>
      <c r="R62" s="55">
        <v>-8.4255999999999993</v>
      </c>
    </row>
    <row r="63" spans="7:20" x14ac:dyDescent="0.3">
      <c r="G63" s="3" t="s">
        <v>328</v>
      </c>
      <c r="L63" s="77" t="s">
        <v>91</v>
      </c>
      <c r="M63" s="57">
        <v>0.75170000000000003</v>
      </c>
      <c r="N63" s="57">
        <v>0.73280000000000001</v>
      </c>
      <c r="O63" s="57">
        <v>0.73460000000000003</v>
      </c>
      <c r="P63" s="57">
        <v>0.44319999999999998</v>
      </c>
      <c r="Q63" s="57">
        <v>0.72</v>
      </c>
      <c r="R63" s="58">
        <v>0.71679999999999999</v>
      </c>
    </row>
    <row r="64" spans="7:20" x14ac:dyDescent="0.3">
      <c r="G64" s="30" t="s">
        <v>135</v>
      </c>
      <c r="L64" s="3" t="s">
        <v>342</v>
      </c>
      <c r="O64" s="4"/>
    </row>
    <row r="65" spans="1:20" x14ac:dyDescent="0.3">
      <c r="G65" s="2" t="s">
        <v>88</v>
      </c>
      <c r="H65">
        <v>-0.3</v>
      </c>
      <c r="L65" s="64" t="s">
        <v>142</v>
      </c>
      <c r="M65" s="32"/>
      <c r="N65" s="32"/>
      <c r="O65" s="32"/>
      <c r="P65" s="32"/>
      <c r="Q65" s="32"/>
      <c r="R65" s="32"/>
      <c r="S65" s="59"/>
    </row>
    <row r="66" spans="1:20" x14ac:dyDescent="0.3">
      <c r="G66" s="2" t="s">
        <v>89</v>
      </c>
      <c r="H66">
        <v>1.75</v>
      </c>
      <c r="M66" s="1" t="s">
        <v>180</v>
      </c>
      <c r="N66" s="1" t="s">
        <v>181</v>
      </c>
      <c r="O66" s="1" t="s">
        <v>182</v>
      </c>
      <c r="P66" s="1" t="s">
        <v>183</v>
      </c>
      <c r="Q66" s="4" t="s">
        <v>184</v>
      </c>
      <c r="R66" s="4" t="s">
        <v>185</v>
      </c>
      <c r="S66" s="63" t="s">
        <v>186</v>
      </c>
    </row>
    <row r="67" spans="1:20" x14ac:dyDescent="0.3">
      <c r="A67" s="1"/>
      <c r="B67" s="74"/>
      <c r="C67" s="87"/>
      <c r="G67" s="3" t="s">
        <v>329</v>
      </c>
      <c r="L67" s="2" t="s">
        <v>88</v>
      </c>
      <c r="M67">
        <v>572.91999999999996</v>
      </c>
      <c r="N67">
        <v>484.81</v>
      </c>
      <c r="O67">
        <v>8.0000999999999998</v>
      </c>
      <c r="P67">
        <v>148.22</v>
      </c>
      <c r="Q67">
        <v>-8.3330000000000002</v>
      </c>
      <c r="R67">
        <v>0.11020000000000001</v>
      </c>
      <c r="S67" s="55"/>
    </row>
    <row r="68" spans="1:20" x14ac:dyDescent="0.3">
      <c r="A68" s="1"/>
      <c r="B68" s="1"/>
      <c r="C68" s="75"/>
      <c r="G68" t="s">
        <v>135</v>
      </c>
      <c r="L68" s="2" t="s">
        <v>89</v>
      </c>
      <c r="M68">
        <v>-43.646000000000001</v>
      </c>
      <c r="N68">
        <v>-39.981000000000002</v>
      </c>
      <c r="O68">
        <v>-4.9477000000000002</v>
      </c>
      <c r="P68">
        <v>-21.986000000000001</v>
      </c>
      <c r="Q68">
        <v>-6</v>
      </c>
      <c r="R68">
        <v>-1.5134000000000001</v>
      </c>
      <c r="S68" s="55">
        <v>-37.5</v>
      </c>
    </row>
    <row r="69" spans="1:20" x14ac:dyDescent="0.3">
      <c r="H69" t="s">
        <v>254</v>
      </c>
      <c r="L69" s="77" t="s">
        <v>91</v>
      </c>
      <c r="M69" s="57">
        <v>0.82579999999999998</v>
      </c>
      <c r="N69" s="57">
        <v>0.81559999999999999</v>
      </c>
      <c r="O69" s="57">
        <v>0.71479999999999999</v>
      </c>
      <c r="P69" s="57">
        <v>0.78559999999999997</v>
      </c>
      <c r="Q69" s="57">
        <v>0.76080000000000003</v>
      </c>
      <c r="R69" s="57">
        <v>0.71509999999999996</v>
      </c>
      <c r="S69" s="58">
        <v>1.075</v>
      </c>
    </row>
    <row r="70" spans="1:20" x14ac:dyDescent="0.3">
      <c r="G70" s="2" t="s">
        <v>88</v>
      </c>
      <c r="H70">
        <v>0.7</v>
      </c>
      <c r="L70" s="3" t="s">
        <v>343</v>
      </c>
    </row>
    <row r="71" spans="1:20" x14ac:dyDescent="0.3">
      <c r="G71" s="2" t="s">
        <v>89</v>
      </c>
      <c r="H71">
        <v>-0.7</v>
      </c>
      <c r="L71" s="60" t="s">
        <v>142</v>
      </c>
      <c r="M71" s="32"/>
      <c r="N71" s="32"/>
      <c r="O71" s="32"/>
      <c r="P71" s="32"/>
      <c r="Q71" s="360" t="s">
        <v>190</v>
      </c>
      <c r="R71" s="362"/>
      <c r="S71" s="362"/>
      <c r="T71" s="361"/>
    </row>
    <row r="72" spans="1:20" x14ac:dyDescent="0.3">
      <c r="G72" s="3" t="s">
        <v>330</v>
      </c>
      <c r="L72" s="54"/>
      <c r="M72" s="1" t="s">
        <v>187</v>
      </c>
      <c r="N72" s="1" t="s">
        <v>188</v>
      </c>
      <c r="O72" s="1" t="s">
        <v>189</v>
      </c>
      <c r="P72" s="4" t="s">
        <v>206</v>
      </c>
      <c r="Q72" s="148" t="s">
        <v>187</v>
      </c>
      <c r="R72" s="1" t="s">
        <v>188</v>
      </c>
      <c r="S72" s="1" t="s">
        <v>189</v>
      </c>
      <c r="T72" s="63" t="s">
        <v>206</v>
      </c>
    </row>
    <row r="73" spans="1:20" x14ac:dyDescent="0.3">
      <c r="G73" t="s">
        <v>135</v>
      </c>
      <c r="L73" s="146" t="s">
        <v>88</v>
      </c>
      <c r="M73">
        <v>-2.0053000000000001</v>
      </c>
      <c r="N73">
        <v>8.8000000000000005E-3</v>
      </c>
      <c r="O73">
        <v>2.5202</v>
      </c>
      <c r="P73">
        <v>7.4821999999999997</v>
      </c>
      <c r="Q73" s="54"/>
      <c r="T73" s="55"/>
    </row>
    <row r="74" spans="1:20" x14ac:dyDescent="0.3">
      <c r="C74" s="63"/>
      <c r="H74" t="s">
        <v>254</v>
      </c>
      <c r="I74" t="s">
        <v>255</v>
      </c>
      <c r="L74" s="146" t="s">
        <v>89</v>
      </c>
      <c r="M74">
        <v>-1.2566999999999999</v>
      </c>
      <c r="N74">
        <v>-1.9538</v>
      </c>
      <c r="O74">
        <v>-3.7097000000000002</v>
      </c>
      <c r="P74">
        <v>-5.2675000000000001</v>
      </c>
      <c r="Q74" s="54">
        <v>-15</v>
      </c>
      <c r="R74">
        <v>-8.3330000000000002</v>
      </c>
      <c r="S74">
        <v>-7.1429</v>
      </c>
      <c r="T74" s="55">
        <v>-37.5</v>
      </c>
    </row>
    <row r="75" spans="1:20" x14ac:dyDescent="0.3">
      <c r="G75" s="2" t="s">
        <v>88</v>
      </c>
      <c r="H75">
        <v>0.04</v>
      </c>
      <c r="I75">
        <v>-0.04</v>
      </c>
      <c r="L75" s="147" t="s">
        <v>91</v>
      </c>
      <c r="M75" s="57">
        <v>0.73950000000000005</v>
      </c>
      <c r="N75" s="57">
        <v>0.78990000000000005</v>
      </c>
      <c r="O75" s="57">
        <v>0.8861</v>
      </c>
      <c r="P75" s="57">
        <v>0.75190000000000001</v>
      </c>
      <c r="Q75" s="56">
        <v>1.1499999999999999</v>
      </c>
      <c r="R75" s="57">
        <v>1.0832999999999999</v>
      </c>
      <c r="S75" s="57">
        <v>1.0713999999999999</v>
      </c>
      <c r="T75" s="58">
        <v>1.075</v>
      </c>
    </row>
    <row r="76" spans="1:20" x14ac:dyDescent="0.3">
      <c r="G76" s="2" t="s">
        <v>89</v>
      </c>
      <c r="H76">
        <v>-0.8</v>
      </c>
      <c r="I76">
        <v>3.6</v>
      </c>
      <c r="L76" s="3" t="s">
        <v>344</v>
      </c>
    </row>
    <row r="77" spans="1:20" x14ac:dyDescent="0.3">
      <c r="G77" s="3" t="s">
        <v>331</v>
      </c>
      <c r="L77" s="60" t="s">
        <v>142</v>
      </c>
      <c r="M77" s="32"/>
      <c r="N77" s="32"/>
      <c r="O77" s="32"/>
      <c r="P77" s="59"/>
      <c r="Q77" s="360" t="s">
        <v>190</v>
      </c>
      <c r="R77" s="362"/>
      <c r="S77" s="362"/>
      <c r="T77" s="54"/>
    </row>
    <row r="78" spans="1:20" x14ac:dyDescent="0.3">
      <c r="G78" t="s">
        <v>135</v>
      </c>
      <c r="L78" s="54"/>
      <c r="M78" s="4" t="s">
        <v>204</v>
      </c>
      <c r="N78" s="4" t="s">
        <v>205</v>
      </c>
      <c r="O78" s="4" t="s">
        <v>206</v>
      </c>
      <c r="P78" s="63" t="s">
        <v>210</v>
      </c>
      <c r="Q78" s="62" t="s">
        <v>204</v>
      </c>
      <c r="R78" s="4" t="s">
        <v>205</v>
      </c>
      <c r="S78" s="63" t="s">
        <v>206</v>
      </c>
      <c r="T78" s="54"/>
    </row>
    <row r="79" spans="1:20" x14ac:dyDescent="0.3">
      <c r="H79" t="s">
        <v>254</v>
      </c>
      <c r="I79" t="s">
        <v>255</v>
      </c>
      <c r="L79" s="146" t="s">
        <v>88</v>
      </c>
      <c r="M79">
        <v>145.5</v>
      </c>
      <c r="N79">
        <v>32.881999999999998</v>
      </c>
      <c r="O79">
        <v>11.898</v>
      </c>
      <c r="P79" s="55">
        <v>36.856999999999999</v>
      </c>
      <c r="Q79" s="54"/>
      <c r="T79" s="54"/>
    </row>
    <row r="80" spans="1:20" x14ac:dyDescent="0.3">
      <c r="G80" s="2" t="s">
        <v>88</v>
      </c>
      <c r="H80">
        <v>0.05</v>
      </c>
      <c r="I80">
        <v>-0.05</v>
      </c>
      <c r="L80" s="146" t="s">
        <v>89</v>
      </c>
      <c r="M80">
        <v>-23.558</v>
      </c>
      <c r="N80">
        <v>-10.932</v>
      </c>
      <c r="O80">
        <v>-7.3796999999999997</v>
      </c>
      <c r="P80" s="55">
        <v>-20.190000000000001</v>
      </c>
      <c r="Q80" s="54">
        <v>-100</v>
      </c>
      <c r="R80">
        <v>-75</v>
      </c>
      <c r="S80">
        <v>-60</v>
      </c>
      <c r="T80" s="54"/>
    </row>
    <row r="81" spans="7:21" x14ac:dyDescent="0.3">
      <c r="G81" s="2" t="s">
        <v>89</v>
      </c>
      <c r="H81">
        <v>-0.5</v>
      </c>
      <c r="I81">
        <v>3.5</v>
      </c>
      <c r="L81" s="147" t="s">
        <v>91</v>
      </c>
      <c r="M81" s="57">
        <v>0.81420000000000003</v>
      </c>
      <c r="N81" s="57">
        <v>0.76439999999999997</v>
      </c>
      <c r="O81" s="57">
        <v>0.75829999999999997</v>
      </c>
      <c r="P81" s="58">
        <v>0.8</v>
      </c>
      <c r="Q81" s="56">
        <v>1.2</v>
      </c>
      <c r="R81" s="57">
        <v>1.1499999999999999</v>
      </c>
      <c r="S81" s="57">
        <v>1.18</v>
      </c>
      <c r="T81" s="54"/>
    </row>
    <row r="82" spans="7:21" x14ac:dyDescent="0.3">
      <c r="G82" s="3" t="s">
        <v>332</v>
      </c>
      <c r="L82" s="3" t="s">
        <v>345</v>
      </c>
      <c r="O82" s="4"/>
    </row>
    <row r="83" spans="7:21" x14ac:dyDescent="0.3">
      <c r="G83" t="s">
        <v>135</v>
      </c>
      <c r="L83" s="64" t="s">
        <v>135</v>
      </c>
      <c r="M83" s="32"/>
      <c r="N83" s="360" t="s">
        <v>90</v>
      </c>
      <c r="O83" s="361"/>
      <c r="P83" s="360" t="s">
        <v>172</v>
      </c>
      <c r="Q83" s="361"/>
      <c r="R83" s="59" t="s">
        <v>190</v>
      </c>
    </row>
    <row r="84" spans="7:21" x14ac:dyDescent="0.3">
      <c r="H84" t="s">
        <v>254</v>
      </c>
      <c r="I84" t="s">
        <v>255</v>
      </c>
      <c r="L84" s="54"/>
      <c r="M84" s="4" t="s">
        <v>207</v>
      </c>
      <c r="N84" s="62" t="s">
        <v>208</v>
      </c>
      <c r="O84" s="63" t="s">
        <v>209</v>
      </c>
      <c r="P84" s="62" t="s">
        <v>208</v>
      </c>
      <c r="Q84" s="63" t="s">
        <v>209</v>
      </c>
      <c r="R84" s="63" t="s">
        <v>211</v>
      </c>
    </row>
    <row r="85" spans="7:21" x14ac:dyDescent="0.3">
      <c r="G85" s="2" t="s">
        <v>88</v>
      </c>
      <c r="H85">
        <v>0.05</v>
      </c>
      <c r="I85">
        <v>-2.2200000000000001E-2</v>
      </c>
      <c r="L85" s="2" t="s">
        <v>88</v>
      </c>
      <c r="M85">
        <v>-25.042000000000002</v>
      </c>
      <c r="N85" s="54">
        <v>-1.8519000000000001</v>
      </c>
      <c r="O85" s="55">
        <v>-0.65080000000000005</v>
      </c>
      <c r="P85" s="54">
        <v>-11.765000000000001</v>
      </c>
      <c r="Q85" s="55">
        <v>-2.4390000000000001</v>
      </c>
      <c r="R85" s="55">
        <v>-100</v>
      </c>
    </row>
    <row r="86" spans="7:21" x14ac:dyDescent="0.3">
      <c r="G86" s="2" t="s">
        <v>89</v>
      </c>
      <c r="H86">
        <v>0</v>
      </c>
      <c r="I86">
        <v>2</v>
      </c>
      <c r="L86" s="77" t="s">
        <v>89</v>
      </c>
      <c r="M86" s="57">
        <v>0.84250000000000003</v>
      </c>
      <c r="N86" s="56">
        <v>0.37409999999999999</v>
      </c>
      <c r="O86" s="58">
        <v>0.41060000000000002</v>
      </c>
      <c r="P86" s="56">
        <v>0.77059999999999995</v>
      </c>
      <c r="Q86" s="58">
        <v>0.71460000000000001</v>
      </c>
      <c r="R86" s="58">
        <v>1.3</v>
      </c>
    </row>
    <row r="87" spans="7:21" x14ac:dyDescent="0.3">
      <c r="G87" s="3" t="s">
        <v>333</v>
      </c>
      <c r="L87" s="3" t="s">
        <v>346</v>
      </c>
    </row>
    <row r="88" spans="7:21" x14ac:dyDescent="0.3">
      <c r="G88" t="s">
        <v>135</v>
      </c>
      <c r="L88" s="64" t="s">
        <v>142</v>
      </c>
      <c r="M88" s="32"/>
      <c r="N88" s="32"/>
      <c r="O88" s="32"/>
      <c r="P88" s="59"/>
      <c r="Q88" s="360" t="s">
        <v>190</v>
      </c>
      <c r="R88" s="362"/>
      <c r="S88" s="362"/>
      <c r="T88" s="361"/>
    </row>
    <row r="89" spans="7:21" x14ac:dyDescent="0.3">
      <c r="H89" t="s">
        <v>254</v>
      </c>
      <c r="I89" t="s">
        <v>255</v>
      </c>
      <c r="L89" s="54"/>
      <c r="M89" s="4" t="s">
        <v>212</v>
      </c>
      <c r="N89" s="4" t="s">
        <v>213</v>
      </c>
      <c r="O89" s="4" t="s">
        <v>214</v>
      </c>
      <c r="P89" s="63" t="s">
        <v>215</v>
      </c>
      <c r="Q89" s="62" t="s">
        <v>212</v>
      </c>
      <c r="R89" s="4" t="s">
        <v>213</v>
      </c>
      <c r="S89" s="4" t="s">
        <v>214</v>
      </c>
      <c r="T89" s="63" t="s">
        <v>215</v>
      </c>
    </row>
    <row r="90" spans="7:21" x14ac:dyDescent="0.3">
      <c r="G90" s="2" t="s">
        <v>88</v>
      </c>
      <c r="H90">
        <v>0.05</v>
      </c>
      <c r="I90">
        <v>-0.05</v>
      </c>
      <c r="L90" s="2" t="s">
        <v>88</v>
      </c>
      <c r="M90">
        <v>0.42799999999999999</v>
      </c>
      <c r="N90">
        <v>49.649000000000001</v>
      </c>
      <c r="O90">
        <v>102.12</v>
      </c>
      <c r="P90" s="55">
        <v>74.441999999999993</v>
      </c>
      <c r="Q90" s="54"/>
      <c r="T90" s="55"/>
    </row>
    <row r="91" spans="7:21" x14ac:dyDescent="0.3">
      <c r="G91" s="2" t="s">
        <v>89</v>
      </c>
      <c r="H91">
        <v>0</v>
      </c>
      <c r="I91">
        <v>2.5</v>
      </c>
      <c r="L91" s="2" t="s">
        <v>89</v>
      </c>
      <c r="M91">
        <v>-1.1009</v>
      </c>
      <c r="N91">
        <v>-13.077999999999999</v>
      </c>
      <c r="O91">
        <v>-26.510999999999999</v>
      </c>
      <c r="P91" s="55">
        <v>-16.849</v>
      </c>
      <c r="Q91" s="54">
        <v>-150</v>
      </c>
      <c r="R91">
        <v>-60</v>
      </c>
      <c r="S91">
        <v>-60</v>
      </c>
      <c r="T91" s="55">
        <v>-100</v>
      </c>
    </row>
    <row r="92" spans="7:21" x14ac:dyDescent="0.3">
      <c r="G92" s="3" t="s">
        <v>256</v>
      </c>
      <c r="L92" s="77" t="s">
        <v>91</v>
      </c>
      <c r="M92" s="57">
        <v>0.70660000000000001</v>
      </c>
      <c r="N92" s="57">
        <v>0.83789999999999998</v>
      </c>
      <c r="O92" s="61">
        <v>1.0034000000000001</v>
      </c>
      <c r="P92" s="58">
        <v>0.87629999999999997</v>
      </c>
      <c r="Q92" s="56">
        <v>1.6</v>
      </c>
      <c r="R92" s="57">
        <v>1.36</v>
      </c>
      <c r="S92" s="57">
        <v>1.42</v>
      </c>
      <c r="T92" s="58">
        <v>1.8</v>
      </c>
    </row>
    <row r="93" spans="7:21" x14ac:dyDescent="0.3">
      <c r="G93" t="s">
        <v>265</v>
      </c>
      <c r="L93" s="3" t="s">
        <v>347</v>
      </c>
    </row>
    <row r="94" spans="7:21" x14ac:dyDescent="0.3">
      <c r="G94" s="2" t="s">
        <v>88</v>
      </c>
      <c r="H94">
        <v>3.5417000000000001</v>
      </c>
      <c r="L94" s="64" t="s">
        <v>142</v>
      </c>
    </row>
    <row r="95" spans="7:21" x14ac:dyDescent="0.3">
      <c r="G95" s="2" t="s">
        <v>89</v>
      </c>
      <c r="H95">
        <v>-13.75</v>
      </c>
      <c r="L95" s="64"/>
      <c r="M95" s="53" t="s">
        <v>90</v>
      </c>
      <c r="N95" s="362" t="s">
        <v>93</v>
      </c>
      <c r="O95" s="362"/>
      <c r="P95" s="53" t="s">
        <v>90</v>
      </c>
      <c r="Q95" s="360" t="s">
        <v>172</v>
      </c>
      <c r="R95" s="361"/>
      <c r="S95" s="360" t="s">
        <v>190</v>
      </c>
      <c r="T95" s="362"/>
      <c r="U95" s="361"/>
    </row>
    <row r="96" spans="7:21" x14ac:dyDescent="0.3">
      <c r="G96" s="2" t="s">
        <v>91</v>
      </c>
      <c r="H96">
        <v>15.808</v>
      </c>
      <c r="L96" s="54"/>
      <c r="M96" s="4" t="s">
        <v>216</v>
      </c>
      <c r="N96" s="4" t="s">
        <v>217</v>
      </c>
      <c r="O96" s="4" t="s">
        <v>218</v>
      </c>
      <c r="P96" s="4" t="s">
        <v>219</v>
      </c>
      <c r="Q96" s="62" t="s">
        <v>216</v>
      </c>
      <c r="R96" s="63" t="s">
        <v>219</v>
      </c>
      <c r="S96" s="62" t="s">
        <v>216</v>
      </c>
      <c r="T96" s="4" t="s">
        <v>218</v>
      </c>
      <c r="U96" s="63" t="s">
        <v>219</v>
      </c>
    </row>
    <row r="97" spans="1:21" x14ac:dyDescent="0.3">
      <c r="G97" s="2" t="s">
        <v>92</v>
      </c>
      <c r="H97">
        <v>-4.5999999999999996</v>
      </c>
      <c r="I97" s="4"/>
      <c r="L97" s="2" t="s">
        <v>88</v>
      </c>
      <c r="N97">
        <v>-1.1256999999999999</v>
      </c>
      <c r="O97">
        <v>8.1789000000000005</v>
      </c>
      <c r="Q97" s="54"/>
      <c r="R97" s="55"/>
      <c r="S97" s="54"/>
    </row>
    <row r="98" spans="1:21" x14ac:dyDescent="0.3">
      <c r="G98" s="3" t="s">
        <v>276</v>
      </c>
      <c r="L98" s="2" t="s">
        <v>89</v>
      </c>
      <c r="M98">
        <v>-4.2857000000000003</v>
      </c>
      <c r="N98">
        <v>-1.2008000000000001</v>
      </c>
      <c r="O98">
        <v>-5.8491</v>
      </c>
      <c r="P98">
        <v>-1.0601</v>
      </c>
      <c r="Q98" s="54">
        <v>-1.4924999999999999</v>
      </c>
      <c r="R98" s="55">
        <v>-5.0632999999999999</v>
      </c>
      <c r="S98" s="54">
        <v>-15.789</v>
      </c>
      <c r="T98">
        <v>-23.077000000000002</v>
      </c>
      <c r="U98" s="55">
        <v>-20</v>
      </c>
    </row>
    <row r="99" spans="1:21" x14ac:dyDescent="0.3">
      <c r="G99" t="s">
        <v>135</v>
      </c>
      <c r="L99" s="77" t="s">
        <v>91</v>
      </c>
      <c r="M99" s="57">
        <v>1.5857000000000001</v>
      </c>
      <c r="N99" s="57">
        <v>0.72450000000000003</v>
      </c>
      <c r="O99" s="61">
        <v>0.8841</v>
      </c>
      <c r="P99" s="57">
        <v>0.47489999999999999</v>
      </c>
      <c r="Q99" s="56">
        <v>0.74780000000000002</v>
      </c>
      <c r="R99" s="58">
        <v>1.1354</v>
      </c>
      <c r="S99" s="56">
        <v>1.2053</v>
      </c>
      <c r="T99" s="57">
        <v>1.4615</v>
      </c>
      <c r="U99" s="58">
        <v>2.42</v>
      </c>
    </row>
    <row r="100" spans="1:21" x14ac:dyDescent="0.3">
      <c r="A100" s="80"/>
      <c r="B100" s="73"/>
      <c r="C100" s="87"/>
      <c r="G100" s="2" t="s">
        <v>88</v>
      </c>
      <c r="H100">
        <v>-2.0499999999999998</v>
      </c>
      <c r="N100" s="4"/>
    </row>
    <row r="101" spans="1:21" x14ac:dyDescent="0.3">
      <c r="A101" s="80"/>
      <c r="B101" s="73"/>
      <c r="C101" s="87"/>
      <c r="G101" s="2" t="s">
        <v>89</v>
      </c>
      <c r="H101">
        <v>3.99</v>
      </c>
    </row>
    <row r="102" spans="1:21" x14ac:dyDescent="0.3">
      <c r="A102" s="80"/>
      <c r="B102" s="73"/>
      <c r="C102" s="88"/>
      <c r="G102" s="3" t="s">
        <v>257</v>
      </c>
    </row>
    <row r="103" spans="1:21" x14ac:dyDescent="0.3">
      <c r="A103" s="1"/>
      <c r="B103" s="1"/>
      <c r="C103" s="75"/>
      <c r="G103" t="s">
        <v>135</v>
      </c>
    </row>
    <row r="104" spans="1:21" x14ac:dyDescent="0.3">
      <c r="G104" s="2" t="s">
        <v>88</v>
      </c>
      <c r="H104">
        <v>-4.3333000000000004</v>
      </c>
    </row>
    <row r="105" spans="1:21" x14ac:dyDescent="0.3">
      <c r="G105" s="2" t="s">
        <v>89</v>
      </c>
      <c r="H105">
        <v>6.8</v>
      </c>
    </row>
    <row r="106" spans="1:21" x14ac:dyDescent="0.3">
      <c r="G106" s="3" t="s">
        <v>258</v>
      </c>
    </row>
    <row r="107" spans="1:21" x14ac:dyDescent="0.3">
      <c r="G107" t="s">
        <v>135</v>
      </c>
    </row>
    <row r="108" spans="1:21" x14ac:dyDescent="0.3">
      <c r="G108" s="2" t="s">
        <v>88</v>
      </c>
      <c r="H108">
        <v>1.2</v>
      </c>
    </row>
    <row r="109" spans="1:21" x14ac:dyDescent="0.3">
      <c r="C109" s="63"/>
      <c r="G109" s="2" t="s">
        <v>89</v>
      </c>
      <c r="H109">
        <v>-0.68</v>
      </c>
    </row>
    <row r="110" spans="1:21" x14ac:dyDescent="0.3">
      <c r="G110" s="3" t="s">
        <v>259</v>
      </c>
    </row>
    <row r="111" spans="1:21" x14ac:dyDescent="0.3">
      <c r="G111" t="s">
        <v>135</v>
      </c>
    </row>
    <row r="112" spans="1:21" x14ac:dyDescent="0.3">
      <c r="G112" s="2" t="s">
        <v>88</v>
      </c>
      <c r="H112">
        <v>-4.3330000000000002</v>
      </c>
    </row>
    <row r="113" spans="7:8" x14ac:dyDescent="0.3">
      <c r="G113" s="2" t="s">
        <v>89</v>
      </c>
      <c r="H113">
        <v>5.9333</v>
      </c>
    </row>
    <row r="320" spans="22:22" x14ac:dyDescent="0.3">
      <c r="V320" s="1"/>
    </row>
    <row r="514" spans="5:6" x14ac:dyDescent="0.3">
      <c r="E514" s="1"/>
      <c r="F514" s="75"/>
    </row>
    <row r="515" spans="5:6" x14ac:dyDescent="0.3">
      <c r="E515" s="1"/>
      <c r="F515" s="75"/>
    </row>
    <row r="527" spans="5:6" x14ac:dyDescent="0.3">
      <c r="E527" s="1"/>
      <c r="F527" s="75"/>
    </row>
    <row r="528" spans="5:6" x14ac:dyDescent="0.3">
      <c r="E528" s="1"/>
      <c r="F528" s="75"/>
    </row>
  </sheetData>
  <sheetProtection algorithmName="SHA-512" hashValue="WELDfUAx29ReG87B12qKwAlR4ct8Y0ZulZYevbE+scqinz+qCmP9jm4YzZs0Xs/1uDKS0lk8+Y0UDtbEQs8npA==" saltValue="PhYvluVYdEYoggc0YzEYeg==" spinCount="100000" sheet="1" objects="1" scenarios="1"/>
  <mergeCells count="20">
    <mergeCell ref="H3:I3"/>
    <mergeCell ref="J3:K3"/>
    <mergeCell ref="H9:I9"/>
    <mergeCell ref="J9:K9"/>
    <mergeCell ref="P13:Q13"/>
    <mergeCell ref="R13:S13"/>
    <mergeCell ref="O19:P19"/>
    <mergeCell ref="Q19:R19"/>
    <mergeCell ref="Q49:T49"/>
    <mergeCell ref="Q25:T25"/>
    <mergeCell ref="Q43:T43"/>
    <mergeCell ref="O31:P31"/>
    <mergeCell ref="Q95:R95"/>
    <mergeCell ref="S95:U95"/>
    <mergeCell ref="N95:O95"/>
    <mergeCell ref="Q71:T71"/>
    <mergeCell ref="Q77:S77"/>
    <mergeCell ref="P83:Q83"/>
    <mergeCell ref="N83:O83"/>
    <mergeCell ref="Q88:T88"/>
  </mergeCells>
  <printOptions gridLines="1"/>
  <pageMargins left="0.7" right="0.7" top="0.75" bottom="0.75" header="0.3" footer="0.3"/>
  <pageSetup scale="20" fitToWidth="3" fitToHeight="0" orientation="portrait" r:id="rId1"/>
  <rowBreaks count="5" manualBreakCount="5">
    <brk id="155" max="16383" man="1"/>
    <brk id="199" max="16383" man="1"/>
    <brk id="350" max="16383" man="1"/>
    <brk id="507" max="16383" man="1"/>
    <brk id="666" max="16383" man="1"/>
  </rowBreaks>
  <colBreaks count="1" manualBreakCount="1">
    <brk id="1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3"/>
  <sheetViews>
    <sheetView topLeftCell="A68" workbookViewId="0">
      <selection activeCell="B20" sqref="B20"/>
    </sheetView>
  </sheetViews>
  <sheetFormatPr defaultRowHeight="14.4" x14ac:dyDescent="0.3"/>
  <cols>
    <col min="1" max="1" width="8.88671875" style="3"/>
    <col min="2" max="2" width="15.5546875" customWidth="1"/>
  </cols>
  <sheetData>
    <row r="1" spans="1:2" x14ac:dyDescent="0.3">
      <c r="A1" s="3" t="s">
        <v>103</v>
      </c>
    </row>
    <row r="2" spans="1:2" x14ac:dyDescent="0.3">
      <c r="B2" t="s">
        <v>19</v>
      </c>
    </row>
    <row r="3" spans="1:2" x14ac:dyDescent="0.3">
      <c r="B3" t="s">
        <v>10</v>
      </c>
    </row>
    <row r="4" spans="1:2" x14ac:dyDescent="0.3">
      <c r="B4" t="s">
        <v>11</v>
      </c>
    </row>
    <row r="5" spans="1:2" x14ac:dyDescent="0.3">
      <c r="B5" t="s">
        <v>8</v>
      </c>
    </row>
    <row r="6" spans="1:2" x14ac:dyDescent="0.3">
      <c r="B6" t="s">
        <v>9</v>
      </c>
    </row>
    <row r="7" spans="1:2" x14ac:dyDescent="0.3">
      <c r="B7" t="s">
        <v>69</v>
      </c>
    </row>
    <row r="8" spans="1:2" x14ac:dyDescent="0.3">
      <c r="B8" t="s">
        <v>70</v>
      </c>
    </row>
    <row r="9" spans="1:2" x14ac:dyDescent="0.3">
      <c r="B9" t="s">
        <v>74</v>
      </c>
    </row>
    <row r="11" spans="1:2" x14ac:dyDescent="0.3">
      <c r="A11" s="3" t="s">
        <v>104</v>
      </c>
    </row>
    <row r="12" spans="1:2" x14ac:dyDescent="0.3">
      <c r="B12" t="s">
        <v>291</v>
      </c>
    </row>
    <row r="13" spans="1:2" x14ac:dyDescent="0.3">
      <c r="B13" t="s">
        <v>292</v>
      </c>
    </row>
    <row r="14" spans="1:2" x14ac:dyDescent="0.3">
      <c r="B14" t="s">
        <v>293</v>
      </c>
    </row>
    <row r="15" spans="1:2" x14ac:dyDescent="0.3">
      <c r="B15" t="s">
        <v>21</v>
      </c>
    </row>
    <row r="16" spans="1:2" x14ac:dyDescent="0.3">
      <c r="B16" t="s">
        <v>20</v>
      </c>
    </row>
    <row r="17" spans="1:2" x14ac:dyDescent="0.3">
      <c r="B17" t="s">
        <v>294</v>
      </c>
    </row>
    <row r="18" spans="1:2" ht="15" customHeight="1" x14ac:dyDescent="0.3"/>
    <row r="19" spans="1:2" x14ac:dyDescent="0.3">
      <c r="A19" s="3" t="s">
        <v>105</v>
      </c>
    </row>
    <row r="20" spans="1:2" x14ac:dyDescent="0.3">
      <c r="B20" t="s">
        <v>352</v>
      </c>
    </row>
    <row r="21" spans="1:2" x14ac:dyDescent="0.3">
      <c r="B21" t="s">
        <v>25</v>
      </c>
    </row>
    <row r="24" spans="1:2" x14ac:dyDescent="0.3">
      <c r="A24" s="3" t="s">
        <v>106</v>
      </c>
    </row>
    <row r="25" spans="1:2" x14ac:dyDescent="0.3">
      <c r="B25" t="s">
        <v>26</v>
      </c>
    </row>
    <row r="26" spans="1:2" x14ac:dyDescent="0.3">
      <c r="B26" t="s">
        <v>27</v>
      </c>
    </row>
    <row r="27" spans="1:2" x14ac:dyDescent="0.3">
      <c r="B27" t="s">
        <v>28</v>
      </c>
    </row>
    <row r="28" spans="1:2" x14ac:dyDescent="0.3">
      <c r="B28" t="s">
        <v>29</v>
      </c>
    </row>
    <row r="29" spans="1:2" x14ac:dyDescent="0.3">
      <c r="B29" t="s">
        <v>30</v>
      </c>
    </row>
    <row r="30" spans="1:2" x14ac:dyDescent="0.3">
      <c r="B30" t="s">
        <v>35</v>
      </c>
    </row>
    <row r="31" spans="1:2" x14ac:dyDescent="0.3">
      <c r="B31" t="s">
        <v>31</v>
      </c>
    </row>
    <row r="32" spans="1:2" x14ac:dyDescent="0.3">
      <c r="B32" t="s">
        <v>32</v>
      </c>
    </row>
    <row r="33" spans="2:2" x14ac:dyDescent="0.3">
      <c r="B33" t="s">
        <v>33</v>
      </c>
    </row>
    <row r="34" spans="2:2" x14ac:dyDescent="0.3">
      <c r="B34" t="s">
        <v>34</v>
      </c>
    </row>
    <row r="35" spans="2:2" x14ac:dyDescent="0.3">
      <c r="B35" t="s">
        <v>77</v>
      </c>
    </row>
    <row r="36" spans="2:2" x14ac:dyDescent="0.3">
      <c r="B36" t="s">
        <v>76</v>
      </c>
    </row>
    <row r="37" spans="2:2" x14ac:dyDescent="0.3">
      <c r="B37" t="s">
        <v>78</v>
      </c>
    </row>
    <row r="38" spans="2:2" x14ac:dyDescent="0.3">
      <c r="B38" t="s">
        <v>36</v>
      </c>
    </row>
    <row r="39" spans="2:2" x14ac:dyDescent="0.3">
      <c r="B39" t="s">
        <v>37</v>
      </c>
    </row>
    <row r="40" spans="2:2" x14ac:dyDescent="0.3">
      <c r="B40" t="s">
        <v>38</v>
      </c>
    </row>
    <row r="41" spans="2:2" x14ac:dyDescent="0.3">
      <c r="B41" t="s">
        <v>79</v>
      </c>
    </row>
    <row r="42" spans="2:2" x14ac:dyDescent="0.3">
      <c r="B42" t="s">
        <v>41</v>
      </c>
    </row>
    <row r="43" spans="2:2" x14ac:dyDescent="0.3">
      <c r="B43" t="s">
        <v>39</v>
      </c>
    </row>
    <row r="44" spans="2:2" x14ac:dyDescent="0.3">
      <c r="B44" t="s">
        <v>80</v>
      </c>
    </row>
    <row r="45" spans="2:2" x14ac:dyDescent="0.3">
      <c r="B45" t="s">
        <v>81</v>
      </c>
    </row>
    <row r="46" spans="2:2" x14ac:dyDescent="0.3">
      <c r="B46" t="s">
        <v>82</v>
      </c>
    </row>
    <row r="47" spans="2:2" x14ac:dyDescent="0.3">
      <c r="B47" t="s">
        <v>45</v>
      </c>
    </row>
    <row r="48" spans="2:2" x14ac:dyDescent="0.3">
      <c r="B48" t="s">
        <v>83</v>
      </c>
    </row>
    <row r="49" spans="1:2" x14ac:dyDescent="0.3">
      <c r="B49" t="s">
        <v>40</v>
      </c>
    </row>
    <row r="50" spans="1:2" x14ac:dyDescent="0.3">
      <c r="B50" t="s">
        <v>84</v>
      </c>
    </row>
    <row r="51" spans="1:2" x14ac:dyDescent="0.3">
      <c r="B51" t="s">
        <v>42</v>
      </c>
    </row>
    <row r="52" spans="1:2" x14ac:dyDescent="0.3">
      <c r="B52" t="s">
        <v>43</v>
      </c>
    </row>
    <row r="53" spans="1:2" x14ac:dyDescent="0.3">
      <c r="B53" t="s">
        <v>44</v>
      </c>
    </row>
    <row r="54" spans="1:2" x14ac:dyDescent="0.3">
      <c r="B54" t="s">
        <v>46</v>
      </c>
    </row>
    <row r="56" spans="1:2" x14ac:dyDescent="0.3">
      <c r="A56" s="3" t="s">
        <v>107</v>
      </c>
    </row>
    <row r="57" spans="1:2" x14ac:dyDescent="0.3">
      <c r="B57" t="s">
        <v>112</v>
      </c>
    </row>
    <row r="58" spans="1:2" x14ac:dyDescent="0.3">
      <c r="B58" t="s">
        <v>113</v>
      </c>
    </row>
    <row r="59" spans="1:2" x14ac:dyDescent="0.3">
      <c r="B59" t="s">
        <v>237</v>
      </c>
    </row>
    <row r="60" spans="1:2" x14ac:dyDescent="0.3">
      <c r="B60" t="s">
        <v>238</v>
      </c>
    </row>
    <row r="61" spans="1:2" x14ac:dyDescent="0.3">
      <c r="B61" t="s">
        <v>194</v>
      </c>
    </row>
    <row r="62" spans="1:2" x14ac:dyDescent="0.3">
      <c r="B62" t="s">
        <v>192</v>
      </c>
    </row>
    <row r="63" spans="1:2" x14ac:dyDescent="0.3">
      <c r="B63" t="s">
        <v>191</v>
      </c>
    </row>
    <row r="64" spans="1:2" x14ac:dyDescent="0.3">
      <c r="B64" t="s">
        <v>193</v>
      </c>
    </row>
    <row r="65" spans="2:2" x14ac:dyDescent="0.3">
      <c r="B65" t="s">
        <v>196</v>
      </c>
    </row>
    <row r="66" spans="2:2" x14ac:dyDescent="0.3">
      <c r="B66" t="s">
        <v>195</v>
      </c>
    </row>
    <row r="67" spans="2:2" x14ac:dyDescent="0.3">
      <c r="B67" t="s">
        <v>114</v>
      </c>
    </row>
    <row r="68" spans="2:2" x14ac:dyDescent="0.3">
      <c r="B68" t="s">
        <v>115</v>
      </c>
    </row>
    <row r="69" spans="2:2" x14ac:dyDescent="0.3">
      <c r="B69" t="s">
        <v>198</v>
      </c>
    </row>
    <row r="70" spans="2:2" x14ac:dyDescent="0.3">
      <c r="B70" t="s">
        <v>197</v>
      </c>
    </row>
    <row r="71" spans="2:2" x14ac:dyDescent="0.3">
      <c r="B71" t="s">
        <v>116</v>
      </c>
    </row>
    <row r="72" spans="2:2" x14ac:dyDescent="0.3">
      <c r="B72" t="s">
        <v>117</v>
      </c>
    </row>
    <row r="73" spans="2:2" x14ac:dyDescent="0.3">
      <c r="B73" t="s">
        <v>235</v>
      </c>
    </row>
    <row r="74" spans="2:2" x14ac:dyDescent="0.3">
      <c r="B74" t="s">
        <v>236</v>
      </c>
    </row>
    <row r="75" spans="2:2" x14ac:dyDescent="0.3">
      <c r="B75" t="s">
        <v>199</v>
      </c>
    </row>
    <row r="76" spans="2:2" x14ac:dyDescent="0.3">
      <c r="B76" t="s">
        <v>118</v>
      </c>
    </row>
    <row r="77" spans="2:2" x14ac:dyDescent="0.3">
      <c r="B77" t="s">
        <v>201</v>
      </c>
    </row>
    <row r="78" spans="2:2" x14ac:dyDescent="0.3">
      <c r="B78" t="s">
        <v>200</v>
      </c>
    </row>
    <row r="79" spans="2:2" x14ac:dyDescent="0.3">
      <c r="B79" t="s">
        <v>120</v>
      </c>
    </row>
    <row r="80" spans="2:2" x14ac:dyDescent="0.3">
      <c r="B80" t="s">
        <v>121</v>
      </c>
    </row>
    <row r="82" spans="1:2" x14ac:dyDescent="0.3">
      <c r="A82" s="3" t="s">
        <v>108</v>
      </c>
    </row>
    <row r="83" spans="1:2" x14ac:dyDescent="0.3">
      <c r="B83" t="s">
        <v>58</v>
      </c>
    </row>
    <row r="84" spans="1:2" x14ac:dyDescent="0.3">
      <c r="B84" t="s">
        <v>59</v>
      </c>
    </row>
    <row r="86" spans="1:2" x14ac:dyDescent="0.3">
      <c r="A86" s="3" t="s">
        <v>64</v>
      </c>
    </row>
    <row r="87" spans="1:2" x14ac:dyDescent="0.3">
      <c r="B87" t="s">
        <v>60</v>
      </c>
    </row>
    <row r="88" spans="1:2" x14ac:dyDescent="0.3">
      <c r="B88" t="s">
        <v>61</v>
      </c>
    </row>
    <row r="89" spans="1:2" x14ac:dyDescent="0.3">
      <c r="B89" t="s">
        <v>62</v>
      </c>
    </row>
    <row r="90" spans="1:2" x14ac:dyDescent="0.3">
      <c r="B90" t="s">
        <v>63</v>
      </c>
    </row>
    <row r="92" spans="1:2" x14ac:dyDescent="0.3">
      <c r="A92" s="3" t="s">
        <v>109</v>
      </c>
    </row>
    <row r="93" spans="1:2" x14ac:dyDescent="0.3">
      <c r="B93" t="s">
        <v>95</v>
      </c>
    </row>
    <row r="94" spans="1:2" x14ac:dyDescent="0.3">
      <c r="B94" t="s">
        <v>69</v>
      </c>
    </row>
    <row r="95" spans="1:2" x14ac:dyDescent="0.3">
      <c r="B95" t="s">
        <v>70</v>
      </c>
    </row>
    <row r="97" spans="1:2" x14ac:dyDescent="0.3">
      <c r="A97" s="3" t="s">
        <v>110</v>
      </c>
    </row>
    <row r="98" spans="1:2" x14ac:dyDescent="0.3">
      <c r="B98" t="s">
        <v>122</v>
      </c>
    </row>
    <row r="99" spans="1:2" x14ac:dyDescent="0.3">
      <c r="B99" t="s">
        <v>123</v>
      </c>
    </row>
    <row r="101" spans="1:2" x14ac:dyDescent="0.3">
      <c r="A101" s="3" t="s">
        <v>111</v>
      </c>
    </row>
    <row r="102" spans="1:2" x14ac:dyDescent="0.3">
      <c r="B102" t="s">
        <v>98</v>
      </c>
    </row>
    <row r="103" spans="1:2" x14ac:dyDescent="0.3">
      <c r="B103" t="s">
        <v>100</v>
      </c>
    </row>
    <row r="104" spans="1:2" x14ac:dyDescent="0.3">
      <c r="B104" t="s">
        <v>99</v>
      </c>
    </row>
    <row r="106" spans="1:2" x14ac:dyDescent="0.3">
      <c r="A106" s="3" t="s">
        <v>151</v>
      </c>
    </row>
    <row r="107" spans="1:2" x14ac:dyDescent="0.3">
      <c r="B107" t="s">
        <v>152</v>
      </c>
    </row>
    <row r="108" spans="1:2" x14ac:dyDescent="0.3">
      <c r="B108" t="s">
        <v>153</v>
      </c>
    </row>
    <row r="110" spans="1:2" x14ac:dyDescent="0.3">
      <c r="A110" s="3" t="s">
        <v>261</v>
      </c>
    </row>
    <row r="111" spans="1:2" x14ac:dyDescent="0.3">
      <c r="B111" s="67" t="s">
        <v>262</v>
      </c>
    </row>
    <row r="112" spans="1:2" x14ac:dyDescent="0.3">
      <c r="B112" s="67" t="s">
        <v>263</v>
      </c>
    </row>
    <row r="113" spans="2:2" x14ac:dyDescent="0.3">
      <c r="B113" t="s">
        <v>264</v>
      </c>
    </row>
  </sheetData>
  <sheetProtection password="9A90" sheet="1" objects="1" scenarios="1"/>
  <sortState xmlns:xlrd2="http://schemas.microsoft.com/office/spreadsheetml/2017/richdata2" ref="B57:B91">
    <sortCondition ref="B9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I16" sqref="I1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Project Assessment</vt:lpstr>
      <vt:lpstr>Debit Calculator</vt:lpstr>
      <vt:lpstr>Measurement Selection Guide</vt:lpstr>
      <vt:lpstr>Existing Conditions</vt:lpstr>
      <vt:lpstr>Reference Standards</vt:lpstr>
      <vt:lpstr>Pull Down Notes</vt:lpstr>
      <vt:lpstr>Photos by Reach</vt:lpstr>
      <vt:lpstr>BedMaterial</vt:lpstr>
      <vt:lpstr>BEHI.NBS</vt:lpstr>
      <vt:lpstr>CatchmentAssessment</vt:lpstr>
      <vt:lpstr>Flow.Type</vt:lpstr>
      <vt:lpstr>'Debit Calculator'!Print_Area</vt:lpstr>
      <vt:lpstr>ProgramGoals</vt:lpstr>
      <vt:lpstr>Region</vt:lpstr>
      <vt:lpstr>StreamType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Evans, Robert R (Ryan) CIV USARMY CELRN (USA)</cp:lastModifiedBy>
  <cp:lastPrinted>2018-10-01T17:50:48Z</cp:lastPrinted>
  <dcterms:created xsi:type="dcterms:W3CDTF">2014-08-22T20:36:47Z</dcterms:created>
  <dcterms:modified xsi:type="dcterms:W3CDTF">2023-06-09T18:43:01Z</dcterms:modified>
</cp:coreProperties>
</file>